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yqb/PycharmProjects/"/>
    </mc:Choice>
  </mc:AlternateContent>
  <xr:revisionPtr revIDLastSave="0" documentId="13_ncr:1_{EF3F2101-80E5-E045-AA44-7D04631C3F64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Apple" sheetId="1" r:id="rId1"/>
    <sheet name="rate - target" sheetId="10" r:id="rId2"/>
    <sheet name="OnePlus" sheetId="9" r:id="rId3"/>
    <sheet name="cam_num" sheetId="8" r:id="rId4"/>
    <sheet name="Samsung" sheetId="7" r:id="rId5"/>
    <sheet name="airplay" sheetId="6" r:id="rId6"/>
    <sheet name="weight" sheetId="5" r:id="rId7"/>
    <sheet name="charge type" sheetId="4" r:id="rId8"/>
  </sheets>
  <definedNames>
    <definedName name="ExternalData_1" localSheetId="2" hidden="1">OnePlus!$A$1:$R$11</definedName>
    <definedName name="ExternalData_1" localSheetId="4" hidden="1">Samsung!$A$1:$AA$6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H10" i="1" l="1"/>
  <c r="BH11" i="1"/>
  <c r="BH20" i="1"/>
  <c r="BH21" i="1"/>
  <c r="BH30" i="1"/>
  <c r="BH31" i="1"/>
  <c r="BH40" i="1"/>
  <c r="BF2" i="1"/>
  <c r="BF3" i="1"/>
  <c r="BG3" i="1" s="1"/>
  <c r="BH3" i="1" s="1"/>
  <c r="BF4" i="1"/>
  <c r="BG4" i="1" s="1"/>
  <c r="BH4" i="1" s="1"/>
  <c r="BF5" i="1"/>
  <c r="BG5" i="1" s="1"/>
  <c r="BH5" i="1" s="1"/>
  <c r="BF6" i="1"/>
  <c r="BF7" i="1"/>
  <c r="BG7" i="1" s="1"/>
  <c r="BH7" i="1" s="1"/>
  <c r="BF8" i="1"/>
  <c r="BG8" i="1" s="1"/>
  <c r="BH8" i="1" s="1"/>
  <c r="BF9" i="1"/>
  <c r="BG9" i="1" s="1"/>
  <c r="BH9" i="1" s="1"/>
  <c r="BF10" i="1"/>
  <c r="BG10" i="1" s="1"/>
  <c r="BF11" i="1"/>
  <c r="BF12" i="1"/>
  <c r="BF13" i="1"/>
  <c r="BG13" i="1" s="1"/>
  <c r="BH13" i="1" s="1"/>
  <c r="BF14" i="1"/>
  <c r="BG14" i="1" s="1"/>
  <c r="BH14" i="1" s="1"/>
  <c r="BF15" i="1"/>
  <c r="BG15" i="1" s="1"/>
  <c r="BH15" i="1" s="1"/>
  <c r="BF16" i="1"/>
  <c r="BF17" i="1"/>
  <c r="BG17" i="1" s="1"/>
  <c r="BH17" i="1" s="1"/>
  <c r="BF18" i="1"/>
  <c r="BG18" i="1" s="1"/>
  <c r="BH18" i="1" s="1"/>
  <c r="BF19" i="1"/>
  <c r="BG19" i="1" s="1"/>
  <c r="BH19" i="1" s="1"/>
  <c r="BF20" i="1"/>
  <c r="BG20" i="1" s="1"/>
  <c r="BF21" i="1"/>
  <c r="BF22" i="1"/>
  <c r="BF23" i="1"/>
  <c r="BG23" i="1" s="1"/>
  <c r="BH23" i="1" s="1"/>
  <c r="BF24" i="1"/>
  <c r="BG24" i="1" s="1"/>
  <c r="BH24" i="1" s="1"/>
  <c r="BF25" i="1"/>
  <c r="BG25" i="1" s="1"/>
  <c r="BH25" i="1" s="1"/>
  <c r="BF26" i="1"/>
  <c r="BF27" i="1"/>
  <c r="BG27" i="1" s="1"/>
  <c r="BH27" i="1" s="1"/>
  <c r="BF28" i="1"/>
  <c r="BG28" i="1" s="1"/>
  <c r="BH28" i="1" s="1"/>
  <c r="BF29" i="1"/>
  <c r="BG29" i="1" s="1"/>
  <c r="BH29" i="1" s="1"/>
  <c r="BF30" i="1"/>
  <c r="BG30" i="1" s="1"/>
  <c r="BF31" i="1"/>
  <c r="BF32" i="1"/>
  <c r="BF33" i="1"/>
  <c r="BG33" i="1" s="1"/>
  <c r="BH33" i="1" s="1"/>
  <c r="BF34" i="1"/>
  <c r="BG34" i="1" s="1"/>
  <c r="BH34" i="1" s="1"/>
  <c r="BF35" i="1"/>
  <c r="BG35" i="1" s="1"/>
  <c r="BH35" i="1" s="1"/>
  <c r="BF36" i="1"/>
  <c r="BF37" i="1"/>
  <c r="BG37" i="1" s="1"/>
  <c r="BH37" i="1" s="1"/>
  <c r="BF38" i="1"/>
  <c r="BG38" i="1" s="1"/>
  <c r="BH38" i="1" s="1"/>
  <c r="BF39" i="1"/>
  <c r="BG39" i="1" s="1"/>
  <c r="BH39" i="1" s="1"/>
  <c r="BF40" i="1"/>
  <c r="BG40" i="1" s="1"/>
  <c r="BF41" i="1"/>
  <c r="BF42" i="1"/>
  <c r="BF43" i="1"/>
  <c r="BG43" i="1" s="1"/>
  <c r="BH43" i="1" s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2" i="1"/>
  <c r="AR37" i="1"/>
  <c r="AR38" i="1"/>
  <c r="AR39" i="1"/>
  <c r="AR40" i="1"/>
  <c r="AR41" i="1"/>
  <c r="AR42" i="1"/>
  <c r="AR43" i="1"/>
  <c r="R2" i="1"/>
  <c r="R3" i="1"/>
  <c r="R4" i="1"/>
  <c r="R5" i="1"/>
  <c r="R6" i="1"/>
  <c r="R7" i="1"/>
  <c r="R8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V43" i="1"/>
  <c r="U43" i="1" s="1"/>
  <c r="V42" i="1"/>
  <c r="U42" i="1" s="1"/>
  <c r="V41" i="1"/>
  <c r="U41" i="1" s="1"/>
  <c r="V40" i="1"/>
  <c r="U40" i="1" s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D2" i="8" a="1"/>
  <c r="D2" i="8" s="1"/>
  <c r="D3" i="8" a="1"/>
  <c r="D3" i="8"/>
  <c r="D4" i="8" a="1"/>
  <c r="D4" i="8"/>
  <c r="D5" i="8" a="1"/>
  <c r="D5" i="8"/>
  <c r="D6" i="8" a="1"/>
  <c r="D6" i="8" s="1"/>
  <c r="D7" i="8" a="1"/>
  <c r="D7" i="8" s="1"/>
  <c r="D8" i="8" a="1"/>
  <c r="D8" i="8" s="1"/>
  <c r="D9" i="8" a="1"/>
  <c r="D9" i="8"/>
  <c r="D10" i="8" a="1"/>
  <c r="D10" i="8"/>
  <c r="D11" i="8" a="1"/>
  <c r="D11" i="8" s="1"/>
  <c r="D12" i="8" a="1"/>
  <c r="D12" i="8" s="1"/>
  <c r="D13" i="8" a="1"/>
  <c r="D13" i="8" s="1"/>
  <c r="D14" i="8" a="1"/>
  <c r="D14" i="8"/>
  <c r="D15" i="8" a="1"/>
  <c r="D15" i="8"/>
  <c r="D16" i="8" a="1"/>
  <c r="D16" i="8" s="1"/>
  <c r="D17" i="8" a="1"/>
  <c r="D17" i="8" s="1"/>
  <c r="D18" i="8" a="1"/>
  <c r="D18" i="8" s="1"/>
  <c r="D19" i="8" a="1"/>
  <c r="D19" i="8"/>
  <c r="D20" i="8" a="1"/>
  <c r="D20" i="8"/>
  <c r="D21" i="8" a="1"/>
  <c r="D21" i="8" s="1"/>
  <c r="D22" i="8" a="1"/>
  <c r="D22" i="8" s="1"/>
  <c r="D23" i="8" a="1"/>
  <c r="D23" i="8" s="1"/>
  <c r="D24" i="8" a="1"/>
  <c r="D24" i="8"/>
  <c r="D25" i="8" a="1"/>
  <c r="D25" i="8" s="1"/>
  <c r="D26" i="8" a="1"/>
  <c r="D26" i="8" s="1"/>
  <c r="D27" i="8" a="1"/>
  <c r="D27" i="8" s="1"/>
  <c r="D28" i="8" a="1"/>
  <c r="D28" i="8" s="1"/>
  <c r="D29" i="8" a="1"/>
  <c r="D29" i="8"/>
  <c r="D30" i="8" a="1"/>
  <c r="D30" i="8"/>
  <c r="D31" i="8" a="1"/>
  <c r="D31" i="8" s="1"/>
  <c r="D32" i="8" a="1"/>
  <c r="D32" i="8" s="1"/>
  <c r="D33" i="8" a="1"/>
  <c r="D33" i="8" s="1"/>
  <c r="D34" i="8" a="1"/>
  <c r="D34" i="8"/>
  <c r="D35" i="8" a="1"/>
  <c r="D35" i="8"/>
  <c r="D36" i="8" a="1"/>
  <c r="D36" i="8" s="1"/>
  <c r="D37" i="8" a="1"/>
  <c r="D37" i="8" s="1"/>
  <c r="D38" i="8" a="1"/>
  <c r="D38" i="8" s="1"/>
  <c r="D39" i="8" a="1"/>
  <c r="D39" i="8"/>
  <c r="D40" i="8" a="1"/>
  <c r="D40" i="8"/>
  <c r="D41" i="8" a="1"/>
  <c r="D41" i="8" s="1"/>
  <c r="D42" i="8" a="1"/>
  <c r="D42" i="8" s="1"/>
  <c r="D43" i="8" a="1"/>
  <c r="D43" i="8" s="1"/>
  <c r="Q40" i="1"/>
  <c r="Q41" i="1"/>
  <c r="Q42" i="1"/>
  <c r="Q43" i="1"/>
  <c r="Q39" i="1"/>
  <c r="P39" i="1"/>
  <c r="B39" i="1" s="1"/>
  <c r="P40" i="1"/>
  <c r="B40" i="1" s="1"/>
  <c r="P41" i="1"/>
  <c r="B41" i="1" s="1"/>
  <c r="P42" i="1"/>
  <c r="D42" i="1" s="1"/>
  <c r="P43" i="1"/>
  <c r="C43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AE39" i="1" a="1"/>
  <c r="AE39" i="1" s="1"/>
  <c r="AE40" i="1" a="1"/>
  <c r="AE40" i="1" s="1"/>
  <c r="AE41" i="1" a="1"/>
  <c r="AE41" i="1" s="1"/>
  <c r="AE42" i="1" a="1"/>
  <c r="AE42" i="1" s="1"/>
  <c r="AE43" i="1" a="1"/>
  <c r="AE43" i="1" s="1"/>
  <c r="AF39" i="1" a="1"/>
  <c r="AF39" i="1" s="1"/>
  <c r="AF40" i="1" a="1"/>
  <c r="AF40" i="1" s="1"/>
  <c r="AF41" i="1" a="1"/>
  <c r="AF41" i="1" s="1"/>
  <c r="BG41" i="1" s="1"/>
  <c r="BH41" i="1" s="1"/>
  <c r="AF42" i="1" a="1"/>
  <c r="AF42" i="1" s="1"/>
  <c r="BG42" i="1" s="1"/>
  <c r="BH42" i="1" s="1"/>
  <c r="AF43" i="1" a="1"/>
  <c r="AF43" i="1" s="1"/>
  <c r="AS39" i="1"/>
  <c r="AS40" i="1"/>
  <c r="AS41" i="1"/>
  <c r="AS42" i="1"/>
  <c r="AS43" i="1"/>
  <c r="AT39" i="1"/>
  <c r="AT40" i="1"/>
  <c r="AT41" i="1"/>
  <c r="AT42" i="1"/>
  <c r="AT43" i="1"/>
  <c r="AU39" i="1"/>
  <c r="AU40" i="1"/>
  <c r="AU41" i="1"/>
  <c r="AU42" i="1"/>
  <c r="AU4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2" i="1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H34" i="1"/>
  <c r="AH35" i="1"/>
  <c r="AH36" i="1"/>
  <c r="AH37" i="1"/>
  <c r="AH38" i="1"/>
  <c r="AH31" i="1"/>
  <c r="AH32" i="1"/>
  <c r="AH33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2" i="1"/>
  <c r="AR28" i="1"/>
  <c r="AR29" i="1"/>
  <c r="AR30" i="1"/>
  <c r="AR31" i="1"/>
  <c r="AR32" i="1"/>
  <c r="AR33" i="1"/>
  <c r="AR34" i="1"/>
  <c r="AR35" i="1"/>
  <c r="AR36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" i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2" i="1" a="1"/>
  <c r="T2" i="1" s="1"/>
  <c r="AE2" i="1" a="1"/>
  <c r="AE2" i="1" s="1"/>
  <c r="AE3" i="1" a="1"/>
  <c r="AE3" i="1" s="1"/>
  <c r="AE4" i="1" a="1"/>
  <c r="AE4" i="1" s="1"/>
  <c r="AE5" i="1" a="1"/>
  <c r="AE5" i="1" s="1"/>
  <c r="AE6" i="1" a="1"/>
  <c r="AE6" i="1" s="1"/>
  <c r="AE7" i="1" a="1"/>
  <c r="AE7" i="1" s="1"/>
  <c r="AE8" i="1" a="1"/>
  <c r="AE8" i="1" s="1"/>
  <c r="AE9" i="1" a="1"/>
  <c r="AE9" i="1" s="1"/>
  <c r="AE10" i="1" a="1"/>
  <c r="AE10" i="1" s="1"/>
  <c r="AE11" i="1" a="1"/>
  <c r="AE11" i="1" s="1"/>
  <c r="AE12" i="1" a="1"/>
  <c r="AE12" i="1" s="1"/>
  <c r="AE13" i="1" a="1"/>
  <c r="AE13" i="1" s="1"/>
  <c r="AE14" i="1" a="1"/>
  <c r="AE14" i="1" s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 s="1"/>
  <c r="AE27" i="1" a="1"/>
  <c r="AE27" i="1" s="1"/>
  <c r="AE28" i="1" a="1"/>
  <c r="AE28" i="1" s="1"/>
  <c r="AE29" i="1" a="1"/>
  <c r="AE29" i="1" s="1"/>
  <c r="AE30" i="1" a="1"/>
  <c r="AE30" i="1" s="1"/>
  <c r="AE31" i="1" a="1"/>
  <c r="AE31" i="1" s="1"/>
  <c r="AE32" i="1" a="1"/>
  <c r="AE32" i="1" s="1"/>
  <c r="AE33" i="1" a="1"/>
  <c r="AE33" i="1" s="1"/>
  <c r="AE34" i="1" a="1"/>
  <c r="AE34" i="1" s="1"/>
  <c r="AE35" i="1" a="1"/>
  <c r="AE35" i="1" s="1"/>
  <c r="AE36" i="1" a="1"/>
  <c r="AE36" i="1" s="1"/>
  <c r="AE37" i="1" a="1"/>
  <c r="AE37" i="1" s="1"/>
  <c r="AE38" i="1" a="1"/>
  <c r="AE38" i="1" s="1"/>
  <c r="AF2" i="1" a="1"/>
  <c r="AF2" i="1" s="1"/>
  <c r="BG2" i="1" s="1"/>
  <c r="BH2" i="1" s="1"/>
  <c r="AF3" i="1" a="1"/>
  <c r="AF3" i="1" s="1"/>
  <c r="AF4" i="1" a="1"/>
  <c r="AF4" i="1" s="1"/>
  <c r="AF5" i="1" a="1"/>
  <c r="AF5" i="1" s="1"/>
  <c r="AF6" i="1" a="1"/>
  <c r="AF6" i="1" s="1"/>
  <c r="BG6" i="1" s="1"/>
  <c r="BH6" i="1" s="1"/>
  <c r="AF7" i="1" a="1"/>
  <c r="AF7" i="1" s="1"/>
  <c r="AF8" i="1" a="1"/>
  <c r="AF8" i="1" s="1"/>
  <c r="AF9" i="1" a="1"/>
  <c r="AF9" i="1" s="1"/>
  <c r="AF10" i="1" a="1"/>
  <c r="AF10" i="1" s="1"/>
  <c r="AF11" i="1" a="1"/>
  <c r="AF11" i="1" s="1"/>
  <c r="BG11" i="1" s="1"/>
  <c r="AF12" i="1" a="1"/>
  <c r="AF12" i="1" s="1"/>
  <c r="BG12" i="1" s="1"/>
  <c r="BH12" i="1" s="1"/>
  <c r="AF13" i="1" a="1"/>
  <c r="AF13" i="1" s="1"/>
  <c r="AF14" i="1" a="1"/>
  <c r="AF14" i="1" s="1"/>
  <c r="AF15" i="1" a="1"/>
  <c r="AF15" i="1" s="1"/>
  <c r="AF16" i="1" a="1"/>
  <c r="AF16" i="1" s="1"/>
  <c r="BG16" i="1" s="1"/>
  <c r="BH16" i="1" s="1"/>
  <c r="AF17" i="1" a="1"/>
  <c r="AF17" i="1" s="1"/>
  <c r="AF18" i="1" a="1"/>
  <c r="AF18" i="1" s="1"/>
  <c r="AF19" i="1" a="1"/>
  <c r="AF19" i="1" s="1"/>
  <c r="AF20" i="1" a="1"/>
  <c r="AF20" i="1" s="1"/>
  <c r="AF21" i="1" a="1"/>
  <c r="AF21" i="1" s="1"/>
  <c r="BG21" i="1" s="1"/>
  <c r="AF22" i="1" a="1"/>
  <c r="AF22" i="1" s="1"/>
  <c r="BG22" i="1" s="1"/>
  <c r="BH22" i="1" s="1"/>
  <c r="AF23" i="1" a="1"/>
  <c r="AF23" i="1" s="1"/>
  <c r="AF24" i="1" a="1"/>
  <c r="AF24" i="1" s="1"/>
  <c r="AF25" i="1" a="1"/>
  <c r="AF25" i="1" s="1"/>
  <c r="AF26" i="1" a="1"/>
  <c r="AF26" i="1" s="1"/>
  <c r="BG26" i="1" s="1"/>
  <c r="BH26" i="1" s="1"/>
  <c r="AF27" i="1" a="1"/>
  <c r="AF27" i="1" s="1"/>
  <c r="AF28" i="1" a="1"/>
  <c r="AF28" i="1" s="1"/>
  <c r="AF29" i="1" a="1"/>
  <c r="AF29" i="1" s="1"/>
  <c r="AF30" i="1" a="1"/>
  <c r="AF30" i="1" s="1"/>
  <c r="AF31" i="1" a="1"/>
  <c r="AF31" i="1" s="1"/>
  <c r="BG31" i="1" s="1"/>
  <c r="AF32" i="1" a="1"/>
  <c r="AF32" i="1" s="1"/>
  <c r="BG32" i="1" s="1"/>
  <c r="BH32" i="1" s="1"/>
  <c r="AF33" i="1" a="1"/>
  <c r="AF33" i="1" s="1"/>
  <c r="AF34" i="1" a="1"/>
  <c r="AF34" i="1" s="1"/>
  <c r="AF35" i="1" a="1"/>
  <c r="AF35" i="1" s="1"/>
  <c r="AF36" i="1" a="1"/>
  <c r="AF36" i="1" s="1"/>
  <c r="BG36" i="1" s="1"/>
  <c r="BH36" i="1" s="1"/>
  <c r="AF37" i="1" a="1"/>
  <c r="AF37" i="1" s="1"/>
  <c r="AF38" i="1" a="1"/>
  <c r="AF38" i="1" s="1"/>
  <c r="AD33" i="1"/>
  <c r="AD3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2" i="1"/>
  <c r="C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D2" i="1"/>
  <c r="E2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G2" i="1"/>
  <c r="H2" i="1"/>
  <c r="I2" i="1"/>
  <c r="J2" i="1"/>
  <c r="K2" i="1"/>
  <c r="N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F41" i="1" l="1"/>
  <c r="O41" i="1"/>
  <c r="N41" i="1"/>
  <c r="M41" i="1"/>
  <c r="I41" i="1"/>
  <c r="H41" i="1"/>
  <c r="G41" i="1"/>
  <c r="N40" i="1"/>
  <c r="I40" i="1"/>
  <c r="F42" i="1"/>
  <c r="L41" i="1"/>
  <c r="E41" i="1"/>
  <c r="K42" i="1"/>
  <c r="D41" i="1"/>
  <c r="K41" i="1"/>
  <c r="D40" i="1"/>
  <c r="J41" i="1"/>
  <c r="C41" i="1"/>
  <c r="M43" i="1"/>
  <c r="H43" i="1"/>
  <c r="M42" i="1"/>
  <c r="K40" i="1"/>
  <c r="H42" i="1"/>
  <c r="F40" i="1"/>
  <c r="C42" i="1"/>
  <c r="O43" i="1"/>
  <c r="J43" i="1"/>
  <c r="E43" i="1"/>
  <c r="O42" i="1"/>
  <c r="M40" i="1"/>
  <c r="J42" i="1"/>
  <c r="H40" i="1"/>
  <c r="E42" i="1"/>
  <c r="C40" i="1"/>
  <c r="L43" i="1"/>
  <c r="G43" i="1"/>
  <c r="B43" i="1"/>
  <c r="O40" i="1"/>
  <c r="L42" i="1"/>
  <c r="J40" i="1"/>
  <c r="G42" i="1"/>
  <c r="E40" i="1"/>
  <c r="B42" i="1"/>
  <c r="N43" i="1"/>
  <c r="I43" i="1"/>
  <c r="E39" i="1"/>
  <c r="N42" i="1"/>
  <c r="L40" i="1"/>
  <c r="I42" i="1"/>
  <c r="G40" i="1"/>
  <c r="D43" i="1"/>
  <c r="K43" i="1"/>
  <c r="F43" i="1"/>
  <c r="G39" i="1"/>
  <c r="K39" i="1"/>
  <c r="I39" i="1"/>
  <c r="O39" i="1"/>
  <c r="M39" i="1"/>
  <c r="C39" i="1"/>
  <c r="N39" i="1"/>
  <c r="L39" i="1"/>
  <c r="J39" i="1"/>
  <c r="H39" i="1"/>
  <c r="F39" i="1"/>
  <c r="D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3673F-1EF0-1943-8F2B-64537E96CE99}" keepAlive="1" name="שאילתה - OnePlus" description="‏‏חיבור לשאילתה 'OnePlus' בחוברת העבודה." type="5" refreshedVersion="8" background="1" saveData="1">
    <dbPr connection="Provider=Microsoft.Mashup.OleDb.1;Data Source=$Workbook$;Location=OnePlus;Extended Properties=&quot;&quot;" command="SELECT * FROM [OnePlus]"/>
  </connection>
  <connection id="2" xr16:uid="{B09E3728-C104-9F4E-A215-CEDE917BB8CB}" keepAlive="1" name="שאילתה - Samsung" description="‏‏חיבור לשאילתה 'Samsung' בחוברת העבודה." type="5" refreshedVersion="8" background="1" saveData="1">
    <dbPr connection="Provider=Microsoft.Mashup.OleDb.1;Data Source=$Workbook$;Location=Samsung;Extended Properties=&quot;&quot;" command="SELECT * FROM [Samsung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<sst xmlns="http://schemas.openxmlformats.org/spreadsheetml/2006/main" count="1457" uniqueCount="551">
  <si>
    <t>model</t>
  </si>
  <si>
    <t>colors</t>
  </si>
  <si>
    <t>front_camera_mp</t>
  </si>
  <si>
    <t>rear_camera_mp</t>
  </si>
  <si>
    <t>depth_mm</t>
  </si>
  <si>
    <t>release_date</t>
  </si>
  <si>
    <t>max_ios</t>
  </si>
  <si>
    <t>processor</t>
  </si>
  <si>
    <t>ram_gb</t>
  </si>
  <si>
    <t>storage_options_gb</t>
  </si>
  <si>
    <t>display_resolution</t>
  </si>
  <si>
    <t>battery_mah</t>
  </si>
  <si>
    <t>dimensions_mm</t>
  </si>
  <si>
    <t>weight_g</t>
  </si>
  <si>
    <t>body_material</t>
  </si>
  <si>
    <t>biometric_auth</t>
  </si>
  <si>
    <t>wireless_charging</t>
  </si>
  <si>
    <t>video_recording</t>
  </si>
  <si>
    <t>video_playback_hours</t>
  </si>
  <si>
    <t>water_resistance</t>
  </si>
  <si>
    <t>charging_wattage</t>
  </si>
  <si>
    <t>launch_price_usd.min</t>
  </si>
  <si>
    <t>launch_price_usd.max</t>
  </si>
  <si>
    <t>charging_type</t>
  </si>
  <si>
    <t>iPhone 4</t>
  </si>
  <si>
    <t>iPhone 4S</t>
  </si>
  <si>
    <t>iPhone 5</t>
  </si>
  <si>
    <t>iPhone 5s</t>
  </si>
  <si>
    <t>iPhone 6</t>
  </si>
  <si>
    <t>iPhone 6 Plus</t>
  </si>
  <si>
    <t>iPhone 6s</t>
  </si>
  <si>
    <t>iPhone 6s Plus</t>
  </si>
  <si>
    <t>iPhone 7</t>
  </si>
  <si>
    <t>iPhone 7 Plus</t>
  </si>
  <si>
    <t>iPhone 8</t>
  </si>
  <si>
    <t>iPhone 8 Plus</t>
  </si>
  <si>
    <t>iPhone X</t>
  </si>
  <si>
    <t>iPhone XR</t>
  </si>
  <si>
    <t>iPhone 11</t>
  </si>
  <si>
    <t>iPhone 11 Pro</t>
  </si>
  <si>
    <t>iPhone 11 Pro Max</t>
  </si>
  <si>
    <t>iPhone 12</t>
  </si>
  <si>
    <t>iPhone 12 Pro</t>
  </si>
  <si>
    <t>iPhone 13</t>
  </si>
  <si>
    <t>iPhone 13 Pro</t>
  </si>
  <si>
    <t>iPhone 14</t>
  </si>
  <si>
    <t>iPhone 14 Pro</t>
  </si>
  <si>
    <t>iPhone 15</t>
  </si>
  <si>
    <t>iPhone 15 Pro</t>
  </si>
  <si>
    <t>iPhone 16</t>
  </si>
  <si>
    <t>iPhone 17</t>
  </si>
  <si>
    <t>iPhone Air</t>
  </si>
  <si>
    <t>iPad (11th generation)</t>
  </si>
  <si>
    <t>iPad Air (M3) 11" / 13"</t>
  </si>
  <si>
    <t>iPad Pro (6th generation) 11" / 12.9"</t>
  </si>
  <si>
    <t>MacBook Air 13.6" (M2, 2022)</t>
  </si>
  <si>
    <t>MacBook Pro 13.3" (M2, 2022)</t>
  </si>
  <si>
    <t>MacBook Pro 14.2" (M3, 2023)</t>
  </si>
  <si>
    <t>MacBook Pro 16.2" (M3 Pro, 2023)</t>
  </si>
  <si>
    <t>MacBook Air 15.3" (M2, 2023)</t>
  </si>
  <si>
    <t>['Black', 'White']</t>
  </si>
  <si>
    <t>['Space Gray', 'Silver', 'Gold']</t>
  </si>
  <si>
    <t>['Space Gray', 'Silver', 'Gold', 'Rose Gold']</t>
  </si>
  <si>
    <t>['Black', 'Silver', 'Gold', 'Rose Gold', 'Jet Black', '(PRODUCT)RED']</t>
  </si>
  <si>
    <t>['Space Gray', 'Silver', 'Gold', '(PRODUCT)RED']</t>
  </si>
  <si>
    <t>['Space Gray', 'Silver']</t>
  </si>
  <si>
    <t>['Black', 'White', 'Red', 'Yellow', 'Blue', 'Coral']</t>
  </si>
  <si>
    <t>['Black', 'Green', 'Yellow', 'Purple', 'White', '(PRODUCT)RED']</t>
  </si>
  <si>
    <t>['Midnight Green', 'Space Gray', 'Silver', 'Gold']</t>
  </si>
  <si>
    <t>['Black', 'White', 'Red', 'Green', 'Blue', 'Purple']</t>
  </si>
  <si>
    <t>['Graphite', 'Silver', 'Gold', 'Pacific Blue']</t>
  </si>
  <si>
    <t>['Pink', 'Blue', 'Midnight', 'Starlight', '(PRODUCT)RED']</t>
  </si>
  <si>
    <t>['Graphite', 'Gold', 'Silver', 'Sierra Blue', 'Alpine Green']</t>
  </si>
  <si>
    <t>['Blue', 'Purple', 'Midnight', 'Starlight', '(PRODUCT)RED']</t>
  </si>
  <si>
    <t>['Deep Purple', 'Gold', 'Silver', 'Space Black']</t>
  </si>
  <si>
    <t>['Black', 'Blue', 'Green', 'Yellow', 'Pink']</t>
  </si>
  <si>
    <t>['Black Titanium', 'White Titanium', 'Blue Titanium', 'Natural Titanium']</t>
  </si>
  <si>
    <t>['Black', 'White', 'Pink', 'Teal', 'Ultramarine']</t>
  </si>
  <si>
    <t>['Lavender', 'Sage', 'Mist Blue', 'White', 'Black']</t>
  </si>
  <si>
    <t>['Space Black', 'Cloud White', 'Light Gold', 'Sky Blue']</t>
  </si>
  <si>
    <t>['Silver', 'Blue', 'Pink', 'Yellow']</t>
  </si>
  <si>
    <t>['Starlight', 'Space Black', 'Silver', 'Blue', 'Rose Gold']</t>
  </si>
  <si>
    <t>['Midnight', 'Starlight', 'Space Gray', 'Silver']</t>
  </si>
  <si>
    <t>2010-06-07</t>
  </si>
  <si>
    <t>2011-10-04</t>
  </si>
  <si>
    <t>2012-09-21</t>
  </si>
  <si>
    <t>2013-09-20</t>
  </si>
  <si>
    <t>2014-09-19</t>
  </si>
  <si>
    <t>2015-09-25</t>
  </si>
  <si>
    <t>2016-09-16</t>
  </si>
  <si>
    <t>2017-09-22</t>
  </si>
  <si>
    <t>2017-11-03</t>
  </si>
  <si>
    <t>2018-10-26</t>
  </si>
  <si>
    <t>2019-09-20</t>
  </si>
  <si>
    <t>2020-10-23</t>
  </si>
  <si>
    <t>2021-09-24</t>
  </si>
  <si>
    <t>2022-09-16</t>
  </si>
  <si>
    <t>2023-09-22</t>
  </si>
  <si>
    <t>2024-09-20</t>
  </si>
  <si>
    <t>2025-09-19</t>
  </si>
  <si>
    <t>2025-03-12</t>
  </si>
  <si>
    <t>2022-10-26</t>
  </si>
  <si>
    <t>2022-07-15</t>
  </si>
  <si>
    <t>2022-06-24</t>
  </si>
  <si>
    <t>2023-11-07</t>
  </si>
  <si>
    <t>2023-06-13</t>
  </si>
  <si>
    <t>iOS 7.1.2</t>
  </si>
  <si>
    <t>iOS 9.3.6</t>
  </si>
  <si>
    <t>iOS 10.3.4</t>
  </si>
  <si>
    <t>iOS 12.5.5</t>
  </si>
  <si>
    <t>iOS 15.x</t>
  </si>
  <si>
    <t>iOS 16.x</t>
  </si>
  <si>
    <t>iOS 18.x</t>
  </si>
  <si>
    <t>iOS 26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</si>
  <si>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</si>
  <si>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</si>
  <si>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</si>
  <si>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</si>
  <si>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</si>
  <si>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</si>
  <si>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</si>
  <si>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</si>
  <si>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</si>
  <si>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</si>
  <si>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</si>
  <si>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</si>
  <si>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A15 Pro</t>
  </si>
  <si>
    <t>A16</t>
  </si>
  <si>
    <t>A17 Pro</t>
  </si>
  <si>
    <t>A18</t>
  </si>
  <si>
    <t>A19</t>
  </si>
  <si>
    <t>A19 Pro</t>
  </si>
  <si>
    <t>M3</t>
  </si>
  <si>
    <t>M2</t>
  </si>
  <si>
    <t>Apple M2</t>
  </si>
  <si>
    <t>Apple M3</t>
  </si>
  <si>
    <t>Apple M3 Pro</t>
  </si>
  <si>
    <t>[8, 16, 24]</t>
  </si>
  <si>
    <t>[8, 16, 24, 36]</t>
  </si>
  <si>
    <t>[18, 36, 48]</t>
  </si>
  <si>
    <t>[8, 16, 32]</t>
  </si>
  <si>
    <t>[16, 32, 64]</t>
  </si>
  <si>
    <t>[16, 64, 128]</t>
  </si>
  <si>
    <t>[32, 128, 256]</t>
  </si>
  <si>
    <t>[64, 128, 256]</t>
  </si>
  <si>
    <t>[64, 256]</t>
  </si>
  <si>
    <t>[64, 256, 512]</t>
  </si>
  <si>
    <t>[128, 256, 512]</t>
  </si>
  <si>
    <t>[128, 256, 512, 1024]</t>
  </si>
  <si>
    <t>[256, 512]</t>
  </si>
  <si>
    <t>[256, 512, 1024]</t>
  </si>
  <si>
    <t>[128, 256, 512, 1024, 2048]</t>
  </si>
  <si>
    <t>[256, 512, 1024, 2048]</t>
  </si>
  <si>
    <t>[512, 1024, 2048, 4096]</t>
  </si>
  <si>
    <t>[512, 1024, 2048, 4096, 8192]</t>
  </si>
  <si>
    <t>640x960</t>
  </si>
  <si>
    <t>640x1136</t>
  </si>
  <si>
    <t>750x1334</t>
  </si>
  <si>
    <t>1080x1920</t>
  </si>
  <si>
    <t>1125x2436</t>
  </si>
  <si>
    <t>828x1792</t>
  </si>
  <si>
    <t>1242x2688</t>
  </si>
  <si>
    <t>1170x2532</t>
  </si>
  <si>
    <t>1179x2556</t>
  </si>
  <si>
    <t>2622x1206</t>
  </si>
  <si>
    <t>2796x1290</t>
  </si>
  <si>
    <t>2780x1265</t>
  </si>
  <si>
    <t>2360x1640</t>
  </si>
  <si>
    <t>2560×1664</t>
  </si>
  <si>
    <t>2560×1600</t>
  </si>
  <si>
    <t>3024×1964</t>
  </si>
  <si>
    <t>3456×2234</t>
  </si>
  <si>
    <t>2880×1864</t>
  </si>
  <si>
    <t>115.2×58.6×9.3</t>
  </si>
  <si>
    <t>123.8×58.6×7.6</t>
  </si>
  <si>
    <t>138.1×67×6.9</t>
  </si>
  <si>
    <t>158.1×77.8×7.1</t>
  </si>
  <si>
    <t>138.3×67.1×7.1</t>
  </si>
  <si>
    <t>158.2×77.9×7.3</t>
  </si>
  <si>
    <t>138.4×67.3×7.3</t>
  </si>
  <si>
    <t>158.4×78.1×7.5</t>
  </si>
  <si>
    <t>143.6×70.9×7.7</t>
  </si>
  <si>
    <t>150.9×75.7×8.3</t>
  </si>
  <si>
    <t>144×71.4×8.1</t>
  </si>
  <si>
    <t>158×77.8×8.1</t>
  </si>
  <si>
    <t>146.7×71.5×7.4</t>
  </si>
  <si>
    <t>146.7×71.5×7.7</t>
  </si>
  <si>
    <t>146.7×71.5×7.8</t>
  </si>
  <si>
    <t>147.5×71.5×7.9</t>
  </si>
  <si>
    <t>147.6×71.6×7.8</t>
  </si>
  <si>
    <t>146.6×70.6×8.3</t>
  </si>
  <si>
    <t>149.6×71.5×7.95</t>
  </si>
  <si>
    <t>161.6×78.1×7.95</t>
  </si>
  <si>
    <t>156.2×74.7×5.64</t>
  </si>
  <si>
    <t>248.6×179.5×7.0</t>
  </si>
  <si>
    <t>304.1×215×11.3</t>
  </si>
  <si>
    <t>304.1×212.4×15.6</t>
  </si>
  <si>
    <t>312.6×221.2×15.5</t>
  </si>
  <si>
    <t>355.7×248.1×16.8</t>
  </si>
  <si>
    <t>340.4×237.6×11.5</t>
  </si>
  <si>
    <t>Glass/Steel</t>
  </si>
  <si>
    <t>Glass/Metal</t>
  </si>
  <si>
    <t>Glass/Aluminum</t>
  </si>
  <si>
    <t>Glass/Titanium</t>
  </si>
  <si>
    <t>Titanium</t>
  </si>
  <si>
    <t>Aluminum</t>
  </si>
  <si>
    <t>Touch ID</t>
  </si>
  <si>
    <t>Face ID</t>
  </si>
  <si>
    <t>Touch Bar + Touch ID</t>
  </si>
  <si>
    <t>Qi 7.5W</t>
  </si>
  <si>
    <t>MagSafe 15W</t>
  </si>
  <si>
    <t>MagSafe 25W</t>
  </si>
  <si>
    <t>MagSafe 25W / Qi</t>
  </si>
  <si>
    <t>MagSafe / Qi</t>
  </si>
  <si>
    <t>720p 30fps</t>
  </si>
  <si>
    <t>1080p 30fps</t>
  </si>
  <si>
    <t>4K 30fps</t>
  </si>
  <si>
    <t>4K 60fps</t>
  </si>
  <si>
    <t>4K 60fps / ProRes</t>
  </si>
  <si>
    <t>1080p FaceTime HD</t>
  </si>
  <si>
    <t>720p FaceTime HD</t>
  </si>
  <si>
    <t>IP68</t>
  </si>
  <si>
    <t>USB-C</t>
  </si>
  <si>
    <t>Black</t>
  </si>
  <si>
    <t>white</t>
  </si>
  <si>
    <t>space gray</t>
  </si>
  <si>
    <t>silver</t>
  </si>
  <si>
    <t>gold</t>
  </si>
  <si>
    <t>rose gold</t>
  </si>
  <si>
    <t>jet black</t>
  </si>
  <si>
    <t>red</t>
  </si>
  <si>
    <t>yellow</t>
  </si>
  <si>
    <t>blue</t>
  </si>
  <si>
    <t>coral</t>
  </si>
  <si>
    <t>green</t>
  </si>
  <si>
    <t>purple</t>
  </si>
  <si>
    <t>graphite</t>
  </si>
  <si>
    <t>ipad os 17.x</t>
  </si>
  <si>
    <t>ipad os 18x</t>
  </si>
  <si>
    <t>macOS Sonoma</t>
  </si>
  <si>
    <t>macOS Ventura</t>
  </si>
  <si>
    <t>length</t>
  </si>
  <si>
    <t>247.6×178.5×6.1</t>
  </si>
  <si>
    <t>260×190×5.7</t>
  </si>
  <si>
    <t>width</t>
  </si>
  <si>
    <t>2500x1700</t>
  </si>
  <si>
    <t>2470x1800</t>
  </si>
  <si>
    <t>Device</t>
  </si>
  <si>
    <t>Charging Type</t>
  </si>
  <si>
    <t>Notes / Source</t>
  </si>
  <si>
    <t>30-Pin Dock Connector</t>
  </si>
  <si>
    <t>Apple Support</t>
  </si>
  <si>
    <t>Lightning Connector</t>
  </si>
  <si>
    <t>Frank Mobile</t>
  </si>
  <si>
    <t>Apple</t>
  </si>
  <si>
    <t>Wired</t>
  </si>
  <si>
    <t>USB-C (Thunderbolt/USB4)</t>
  </si>
  <si>
    <t>USB-C (MagSafe 3 / USB-C)</t>
  </si>
  <si>
    <t>Weight (g)</t>
  </si>
  <si>
    <t>iPad Air (M3) 11"</t>
  </si>
  <si>
    <t>iPad Air (M3) 13"</t>
  </si>
  <si>
    <t>iPad Pro (6th generation) 11"</t>
  </si>
  <si>
    <t>iPad Pro (6th generation) 12.9"</t>
  </si>
  <si>
    <t xml:space="preserve">Touch ID </t>
  </si>
  <si>
    <t>No</t>
  </si>
  <si>
    <t>min_price_ILS</t>
  </si>
  <si>
    <t>max_price_ILS</t>
  </si>
  <si>
    <t>Airplay_support</t>
  </si>
  <si>
    <t>AirPlay Support</t>
  </si>
  <si>
    <t>Notes</t>
  </si>
  <si>
    <t>✅ Partial</t>
  </si>
  <si>
    <t>Audio &amp; video streaming supported, no screen mirroring</t>
  </si>
  <si>
    <t>✅</t>
  </si>
  <si>
    <t>Audio &amp; video streaming; limited mirroring</t>
  </si>
  <si>
    <t>Full AirPlay support</t>
  </si>
  <si>
    <t>Supports AirPlay to Apple TV / compatible displays</t>
  </si>
  <si>
    <t>Galaxy S25</t>
  </si>
  <si>
    <t>Galaxy Note 20</t>
  </si>
  <si>
    <t>Galaxy A14</t>
  </si>
  <si>
    <t>Galaxy Z Fold 7</t>
  </si>
  <si>
    <t>Galaxy Z Flip 7</t>
  </si>
  <si>
    <t>os</t>
  </si>
  <si>
    <t>width_mm</t>
  </si>
  <si>
    <t>length_mm</t>
  </si>
  <si>
    <t>airplay_support</t>
  </si>
  <si>
    <t>['Purple', 'Green', 'Coral', 'Blue', 'Yellow', 'Red', 'Jet Black', 'Rose Gold', 'Gold', 'Silver', 'Space Gray', 'White', 'Black', 'Graphite']</t>
  </si>
  <si>
    <t>50+12+10</t>
  </si>
  <si>
    <t>Android 15</t>
  </si>
  <si>
    <t>Snapdragon 8 Elite</t>
  </si>
  <si>
    <t>6.2" AMOLED 120Hz</t>
  </si>
  <si>
    <t>146.5x70.5x7.4</t>
  </si>
  <si>
    <t>8K</t>
  </si>
  <si>
    <t>['Mystic Bronze', 'Mystic Green', 'Mystic Gray']</t>
  </si>
  <si>
    <t>12+12+64</t>
  </si>
  <si>
    <t>Android 10 / One UI 2.5</t>
  </si>
  <si>
    <t>Exynos 990 / Snapdragon 865+</t>
  </si>
  <si>
    <t>6.7</t>
  </si>
  <si>
    <t>161.6x75.2x8.3</t>
  </si>
  <si>
    <t>['Black', 'White', 'Blue', 'Red']</t>
  </si>
  <si>
    <t>50+5+2</t>
  </si>
  <si>
    <t>Android 14</t>
  </si>
  <si>
    <t>Exynos 1330 / Dimensity 700</t>
  </si>
  <si>
    <t>[64, 128]</t>
  </si>
  <si>
    <t>6.6" PLS LCD 90Hz</t>
  </si>
  <si>
    <t>164.5x77.2x8.3</t>
  </si>
  <si>
    <t>Plastic</t>
  </si>
  <si>
    <t>['Purple', 'Black', 'Silver']</t>
  </si>
  <si>
    <t>50+12</t>
  </si>
  <si>
    <t>Android 15 / One UI 8</t>
  </si>
  <si>
    <t>Exynos 2500</t>
  </si>
  <si>
    <t>6.9" AMOLED 120Hz</t>
  </si>
  <si>
    <t>85.4x71.9x17.3</t>
  </si>
  <si>
    <t>Aluminum/Plastic</t>
  </si>
  <si>
    <t>IP48</t>
  </si>
  <si>
    <t>['Silver', 'Black', 'Blue']</t>
  </si>
  <si>
    <t>200+12+10</t>
  </si>
  <si>
    <t>Android 16 / One UI 7.1</t>
  </si>
  <si>
    <t>8" AMOLED 120Hz</t>
  </si>
  <si>
    <t>158.4x128.1x6.3</t>
  </si>
  <si>
    <t>IPX4</t>
  </si>
  <si>
    <t>number_camera_mp</t>
  </si>
  <si>
    <t>מכשיר</t>
  </si>
  <si>
    <t>מצלמות אחוריות</t>
  </si>
  <si>
    <t>מצלמות קדמיות</t>
  </si>
  <si>
    <t>1 (5MP)</t>
  </si>
  <si>
    <t>1 (VGA)</t>
  </si>
  <si>
    <t>1 (8MP)</t>
  </si>
  <si>
    <t>1 (1.2MP)</t>
  </si>
  <si>
    <t>1 (12MP)</t>
  </si>
  <si>
    <t>1 (7MP)</t>
  </si>
  <si>
    <t>2 (12MP + 12MP)</t>
  </si>
  <si>
    <t>3 (12MP + 12MP + 12MP)</t>
  </si>
  <si>
    <t>1 (720p)</t>
  </si>
  <si>
    <t>1 (1080p)</t>
  </si>
  <si>
    <t>3 (50MP + 12MP + 10MP)</t>
  </si>
  <si>
    <t>1 (10MP)</t>
  </si>
  <si>
    <t>3 (12MP + 12MP + 64MP)</t>
  </si>
  <si>
    <t>3 (50MP + 5MP + 2MP)</t>
  </si>
  <si>
    <t>1 (13MP)</t>
  </si>
  <si>
    <t>2 (50MP + 12MP)</t>
  </si>
  <si>
    <t>3 (200MP + 12MP + 10MP)</t>
  </si>
  <si>
    <t>אחורית</t>
  </si>
  <si>
    <t>support_hd</t>
  </si>
  <si>
    <t>[8, 12]</t>
  </si>
  <si>
    <t>[4, 6]</t>
  </si>
  <si>
    <t>[12, 16]</t>
  </si>
  <si>
    <t>[256 , 512 1024]</t>
  </si>
  <si>
    <t>2340×1080</t>
  </si>
  <si>
    <t>2400×1080</t>
  </si>
  <si>
    <t>2408×1080</t>
  </si>
  <si>
    <t>2520×1080</t>
  </si>
  <si>
    <t>2184×1968</t>
  </si>
  <si>
    <t>146.5 × 70.5 × 7.4</t>
  </si>
  <si>
    <t>161.6 × 75.2 × 8.3</t>
  </si>
  <si>
    <t>164.5 × 77.2 × 8.3</t>
  </si>
  <si>
    <t>85.4 × 71.9 × 17.3</t>
  </si>
  <si>
    <t>158.4 × 128.1 × 6.3</t>
  </si>
  <si>
    <t>iPhone 17 Pro</t>
  </si>
  <si>
    <t>8K 24fps</t>
  </si>
  <si>
    <t>display_inner_resolution</t>
  </si>
  <si>
    <t>1048×840</t>
  </si>
  <si>
    <t>inner</t>
  </si>
  <si>
    <t>USB-C PD 3.0</t>
  </si>
  <si>
    <t>USB-C PD 3.0 / PPS</t>
  </si>
  <si>
    <t>ram</t>
  </si>
  <si>
    <t>storage</t>
  </si>
  <si>
    <t>battery</t>
  </si>
  <si>
    <t>charging</t>
  </si>
  <si>
    <t>release_year</t>
  </si>
  <si>
    <t>source</t>
  </si>
  <si>
    <t>camera_main</t>
  </si>
  <si>
    <t>camera_ultrawide</t>
  </si>
  <si>
    <t>camera_telephoto</t>
  </si>
  <si>
    <t>display_size</t>
  </si>
  <si>
    <t>display_type</t>
  </si>
  <si>
    <t>display_refresh_rate</t>
  </si>
  <si>
    <t>camera_front</t>
  </si>
  <si>
    <t>camera_macro</t>
  </si>
  <si>
    <t>OnePlus 10 Pro</t>
  </si>
  <si>
    <t>Snapdragon 8 Gen 1</t>
  </si>
  <si>
    <t>5000mAh</t>
  </si>
  <si>
    <t>65W SUPERVOOC, 50W AIRVOOC</t>
  </si>
  <si>
    <t>OxygenOS based on Android 12</t>
  </si>
  <si>
    <t>https://www.oneplus.com/us/10-pro/specs</t>
  </si>
  <si>
    <t>48MP</t>
  </si>
  <si>
    <t>50MP</t>
  </si>
  <si>
    <t>8MP</t>
  </si>
  <si>
    <t>Fluid AMOLED</t>
  </si>
  <si>
    <t>120Hz</t>
  </si>
  <si>
    <t>OnePlus 9 Pro</t>
  </si>
  <si>
    <t>Snapdragon 888</t>
  </si>
  <si>
    <t>4500mAh</t>
  </si>
  <si>
    <t>65W Warp Charge, 50W Wireless Charging</t>
  </si>
  <si>
    <t>OxygenOS based on Android 11</t>
  </si>
  <si>
    <t>https://www.oneplus.com/us/9-pro/specs</t>
  </si>
  <si>
    <t>OnePlus 8 Pro</t>
  </si>
  <si>
    <t>Snapdragon 865</t>
  </si>
  <si>
    <t>4510mAh</t>
  </si>
  <si>
    <t>30W Warp Charge, 30W Wireless Charging</t>
  </si>
  <si>
    <t>OxygenOS based on Android 10</t>
  </si>
  <si>
    <t>https://www.oneplus.com/global/8-pro/specs</t>
  </si>
  <si>
    <t>OnePlus 7 Pro</t>
  </si>
  <si>
    <t>Snapdragon 855</t>
  </si>
  <si>
    <t>4000mAh</t>
  </si>
  <si>
    <t>30W Warp Charge</t>
  </si>
  <si>
    <t>OxygenOS based on Android 9</t>
  </si>
  <si>
    <t>https://www.oneplus.com/us/7pro</t>
  </si>
  <si>
    <t>16MP</t>
  </si>
  <si>
    <t>90Hz</t>
  </si>
  <si>
    <t>OnePlus 6T</t>
  </si>
  <si>
    <t>Snapdragon 845</t>
  </si>
  <si>
    <t>3700mAh</t>
  </si>
  <si>
    <t>20W Dash Charge</t>
  </si>
  <si>
    <t>https://www.oneplus.com/global/6t/specs</t>
  </si>
  <si>
    <t>16MP + 20MP</t>
  </si>
  <si>
    <t>Optic AMOLED</t>
  </si>
  <si>
    <t>60Hz</t>
  </si>
  <si>
    <t>OnePlus 5T</t>
  </si>
  <si>
    <t>Snapdragon 835</t>
  </si>
  <si>
    <t>3300mAh</t>
  </si>
  <si>
    <t>OxygenOS based on Android 7.1.1</t>
  </si>
  <si>
    <t>https://www.oneplus.com/us/support/spec/oneplus-5t</t>
  </si>
  <si>
    <t>OnePlus 4</t>
  </si>
  <si>
    <t>Snapdragon 820</t>
  </si>
  <si>
    <t>3000mAh</t>
  </si>
  <si>
    <t>Dash Charge</t>
  </si>
  <si>
    <t>OxygenOS based on Android 6.0.1</t>
  </si>
  <si>
    <t>https://en.wikipedia.org/wiki/OnePlus_7</t>
  </si>
  <si>
    <t>OnePlus 3T</t>
  </si>
  <si>
    <t>Snapdragon 821</t>
  </si>
  <si>
    <t>3400mAh</t>
  </si>
  <si>
    <t>https://www.oneplus.com/us/support/spec/oneplus-3t</t>
  </si>
  <si>
    <t>OnePlus Nord 4</t>
  </si>
  <si>
    <t>Snapdragon 695</t>
  </si>
  <si>
    <t>33W SUPERVOOC</t>
  </si>
  <si>
    <t>https://www.oneplus.com/global/nord-4/specs</t>
  </si>
  <si>
    <t>64MP</t>
  </si>
  <si>
    <t>2MP</t>
  </si>
  <si>
    <t>צבעים זמינים</t>
  </si>
  <si>
    <t>Black, Green, Blue, Gold</t>
  </si>
  <si>
    <t>Morning Mist, Pine Green, Stellar Black, Winter Mist</t>
  </si>
  <si>
    <t>Onyx Black, Glacial Green, Ultramarine Blue, Interstellar Glow</t>
  </si>
  <si>
    <t>Almond, Nebula Blue, Mirror Gray</t>
  </si>
  <si>
    <t>Midnight Black, Mirror Black, Thunder Purple</t>
  </si>
  <si>
    <t>Midnight Black, Slate Gray</t>
  </si>
  <si>
    <t>Graphite, Soft Gold</t>
  </si>
  <si>
    <t>Graphite, Gunmetal, Soft Gold</t>
  </si>
  <si>
    <t>Blue Tide, Gray Shadow, Green Dusk</t>
  </si>
  <si>
    <t>[6, 8, 12]</t>
  </si>
  <si>
    <t>[6, 8, 10]</t>
  </si>
  <si>
    <t>[6, 8]</t>
  </si>
  <si>
    <t>[128, 256]</t>
  </si>
  <si>
    <t>עובי (mm)</t>
  </si>
  <si>
    <t>תאריך השקה</t>
  </si>
  <si>
    <t>לא שוחרר רשמית</t>
  </si>
  <si>
    <t>מידע לא זמין</t>
  </si>
  <si>
    <t>11 בינואר 2022</t>
  </si>
  <si>
    <t>31 במרץ 2021</t>
  </si>
  <si>
    <t>14 באפריל 2020</t>
  </si>
  <si>
    <t>14 במאי 2019</t>
  </si>
  <si>
    <t>6 בנובמבר 2018</t>
  </si>
  <si>
    <t>21 בנובמבר 2017</t>
  </si>
  <si>
    <t>15 בנובמבר 2016</t>
  </si>
  <si>
    <t>טרם הושק</t>
  </si>
  <si>
    <t>release_date_first</t>
  </si>
  <si>
    <t>3 (48MP + 50MP + 8MP)</t>
  </si>
  <si>
    <t>1 (32MP)</t>
  </si>
  <si>
    <t>4 (48MP + 50MP + 8MP + 2MP)</t>
  </si>
  <si>
    <t>1 (16MP)</t>
  </si>
  <si>
    <t>3 (48MP + 16MP + 8MP)</t>
  </si>
  <si>
    <t>2 (16MP + 20MP)</t>
  </si>
  <si>
    <t>4 (48MP + 48MP + 8MP + 5MP)</t>
  </si>
  <si>
    <t>OnePlus 8 Pro</t>
  </si>
  <si>
    <t>OnePlus 6T</t>
  </si>
  <si>
    <t>OnePlus 3T</t>
  </si>
  <si>
    <t>OnePlus Nord 4</t>
  </si>
  <si>
    <t>2 (50MP + 8MP)</t>
  </si>
  <si>
    <t>3216×1440</t>
  </si>
  <si>
    <t>3168×1440</t>
  </si>
  <si>
    <t>3120×1440</t>
  </si>
  <si>
    <t>2160×1080</t>
  </si>
  <si>
    <t>1920×1080</t>
  </si>
  <si>
    <t>In-display fingerprint</t>
  </si>
  <si>
    <t>65W</t>
  </si>
  <si>
    <t>$1,069</t>
  </si>
  <si>
    <t>4K</t>
  </si>
  <si>
    <t>30W</t>
  </si>
  <si>
    <t>$899</t>
  </si>
  <si>
    <t>No official</t>
  </si>
  <si>
    <t>$669</t>
  </si>
  <si>
    <t>20W</t>
  </si>
  <si>
    <t>$549</t>
  </si>
  <si>
    <t>Metal</t>
  </si>
  <si>
    <t>$499</t>
  </si>
  <si>
    <t>Front fingerprint</t>
  </si>
  <si>
    <t>Dash Charge (5V)</t>
  </si>
  <si>
    <t>$439</t>
  </si>
  <si>
    <t>תאריך</t>
  </si>
  <si>
    <t>Body Material</t>
  </si>
  <si>
    <t>Biometric Authentication</t>
  </si>
  <si>
    <t>Wireless Charging</t>
  </si>
  <si>
    <t>Video Recording</t>
  </si>
  <si>
    <t>Water Resistance</t>
  </si>
  <si>
    <t>Charging Wattage</t>
  </si>
  <si>
    <t>Launch Price USD Min</t>
  </si>
  <si>
    <t>Launch Price USD Max</t>
  </si>
  <si>
    <t>65W Warp Charge</t>
  </si>
  <si>
    <t>$969</t>
  </si>
  <si>
    <t>$540</t>
  </si>
  <si>
    <t>N/A</t>
  </si>
  <si>
    <t>Model2</t>
  </si>
  <si>
    <t>In-display fingerprint + Face recognition</t>
  </si>
  <si>
    <t>Rear fingerprint + Face recognition</t>
  </si>
  <si>
    <t>דגם</t>
  </si>
  <si>
    <t>AI/Siri</t>
  </si>
  <si>
    <t>None</t>
  </si>
  <si>
    <t>Siri</t>
  </si>
  <si>
    <t>Bixby / Samsung AI</t>
  </si>
  <si>
    <t>Data Source</t>
  </si>
  <si>
    <t>Headphone Jack</t>
  </si>
  <si>
    <t>Apple.com / GSMArena</t>
  </si>
  <si>
    <t>Samsung.com / GSMArena</t>
  </si>
  <si>
    <t>Number of Buttons ( Power , Volume Up, Volume Down, Silent Switch)</t>
  </si>
  <si>
    <t>Power</t>
  </si>
  <si>
    <t>Volume Up</t>
  </si>
  <si>
    <t>Volume Down</t>
  </si>
  <si>
    <t>Silent Switch</t>
  </si>
  <si>
    <t>ai type</t>
  </si>
  <si>
    <t>rate</t>
  </si>
  <si>
    <t>size</t>
  </si>
  <si>
    <t>משוב מרכזי (מקצועי ומשתמשים)</t>
  </si>
  <si>
    <t>נחשב ל"Groundshaker" בעולם המובייל, עיצוב רטינה וביצועים מרשימים לזמנו.</t>
  </si>
  <si>
    <t>חלוץ ה-Touch ID, ביצועים מהירים אך מסך קטן.</t>
  </si>
  <si>
    <t>מהפכת עיצוב (ללא כפתור בית), Face ID וביצועים מעולים. שביעות רצון של 97% מהמשתמשים.</t>
  </si>
  <si>
    <t>מצלמה מעולה, חיי סוללה מדהימים. נחשב ל"ה-iPhone הטוב ביותר עבור רוב האנשים".</t>
  </si>
  <si>
    <t>מצלמה "מטורפת", סוללה שמחזיקה יום שלם, וביצועים חלקים. ביקורת על מערכת הפעלה סגורה יחסית ל-Android.</t>
  </si>
  <si>
    <t>כמעט זהה ל-13, עם שיפורים מינוריים ומצלמה ללא עדשת טלפוטו. פיצ'ר Emergency SOS נתפס כתוספת חשובה.</t>
  </si>
  <si>
    <t>שבחים על USB-C, כפתור פעולה, וטיטניום. עם זאת, תלונות על התחממות בזמן טעינה.</t>
  </si>
  <si>
    <t>iPhone 16 Pro Max</t>
  </si>
  <si>
    <t>חיי סוללה מרשימים, מצלמה "טופ נאצ'". ביקורת על באגים תוכנה ופיצ'רי AI שהובטחו אך עדיין אינם שימושיים.</t>
  </si>
  <si>
    <t>עיצוב חדש, מסך ענק, מצלמת Center Stage. תלונות על עיצוב לא אסתטי ("Ugliest iPhone ever") ומחיר גבוה.</t>
  </si>
  <si>
    <t>ביצועים חריגים, מסך בהיר, חיי סוללה טובים. ביקורת על טעינה איטית (25W) ועיצוב דומה לדגמים קודמים.</t>
  </si>
  <si>
    <t>מצלמה עם זום 100x, S Pen מובנה, מסך הטוב בתעשייה.</t>
  </si>
  <si>
    <t>עיצוב מתקפל, מסך חיצוני גדול ואיכותי. ביקורת על חיי סוללה בינוניים ותהליך מסובך להפעלת יישומים על המסך החיצוני.</t>
  </si>
  <si>
    <t>דק וקל משמעותית, מסך כיסוי שימושי, מולטי-טאסקינג מעולה.</t>
  </si>
  <si>
    <t>עמיד, S Pen שימושי, מצלמה טובה. ביקורת על חיי סוללה שמתדרדרים והתחממות לאחר שנתיים.</t>
  </si>
  <si>
    <t>מחיר זול, שקע אוזניות, אחסון הניתן להרחבה. ביקורת קשה על ביצועים, באגים (One UI 7) והתחממות.</t>
  </si>
  <si>
    <t>דירוג משתמשים (1–100)</t>
  </si>
  <si>
    <t>iPhone 16 Pro</t>
  </si>
  <si>
    <t>adv_rate</t>
  </si>
  <si>
    <t>final_rate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</si>
</sst>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3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14" fontId="1" fillId="0" borderId="1" xfId="0" applyNumberFormat="1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66"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3A3C10-FCBE-C546-8BB3-847FFFCBEAA0}" autoFormatId="16" applyNumberFormats="0" applyBorderFormats="0" applyFontFormats="0" applyPatternFormats="0" applyAlignmentFormats="0" applyWidthHeightFormats="0">
  <queryTableRefresh nextId="35" unboundColumnsRight="13">
    <queryTableFields count="31">
      <queryTableField id="1" name="model" tableColumnId="1"/>
      <queryTableField id="2" name="processor" tableColumnId="2"/>
      <queryTableField id="3" name="ram" tableColumnId="3"/>
      <queryTableField id="4" name="storage" tableColumnId="4"/>
      <queryTableField id="5" name="battery" tableColumnId="5"/>
      <queryTableField id="6" name="charging" tableColumnId="6"/>
      <queryTableField id="7" name="os" tableColumnId="7"/>
      <queryTableField id="8" name="release_year" tableColumnId="8"/>
      <queryTableField id="9" name="source" tableColumnId="9"/>
      <queryTableField id="10" name="camera_main" tableColumnId="10"/>
      <queryTableField id="11" name="camera_ultrawide" tableColumnId="11"/>
      <queryTableField id="12" name="camera_telephoto" tableColumnId="12"/>
      <queryTableField id="13" name="display_size" tableColumnId="13"/>
      <queryTableField id="14" name="display_type" tableColumnId="14"/>
      <queryTableField id="15" name="display_resolution" tableColumnId="15"/>
      <queryTableField id="16" name="display_refresh_rate" tableColumnId="16"/>
      <queryTableField id="17" name="camera_front" tableColumnId="17"/>
      <queryTableField id="18" name="camera_macro" tableColumnId="18"/>
      <queryTableField id="20" dataBound="0" tableColumnId="20"/>
      <queryTableField id="22" dataBound="0" tableColumnId="22"/>
      <queryTableField id="23" dataBound="0" tableColumnId="23"/>
      <queryTableField id="25" dataBound="0" tableColumnId="19"/>
      <queryTableField id="26" dataBound="0" tableColumnId="21"/>
      <queryTableField id="27" dataBound="0" tableColumnId="24"/>
      <queryTableField id="28" dataBound="0" tableColumnId="25"/>
      <queryTableField id="29" dataBound="0" tableColumnId="26"/>
      <queryTableField id="30" dataBound="0" tableColumnId="27"/>
      <queryTableField id="31" dataBound="0" tableColumnId="28"/>
      <queryTableField id="32" dataBound="0" tableColumnId="29"/>
      <queryTableField id="33" dataBound="0" tableColumnId="30"/>
      <queryTableField id="34" dataBound="0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97EE80-C702-0144-B3B6-070E0BCA74EA}" autoFormatId="16" applyNumberFormats="0" applyBorderFormats="0" applyFontFormats="0" applyPatternFormats="0" applyAlignmentFormats="0" applyWidthHeightFormats="0">
  <queryTableRefresh nextId="28">
    <queryTableFields count="27">
      <queryTableField id="1" name="model" tableColumnId="1"/>
      <queryTableField id="2" name="colors" tableColumnId="2"/>
      <queryTableField id="3" name="front_camera_mp" tableColumnId="3"/>
      <queryTableField id="4" name="rear_camera_mp" tableColumnId="4"/>
      <queryTableField id="5" name="depth_mm" tableColumnId="5"/>
      <queryTableField id="6" name="release_date" tableColumnId="6"/>
      <queryTableField id="7" name="os" tableColumnId="7"/>
      <queryTableField id="8" name="processor" tableColumnId="8"/>
      <queryTableField id="9" name="ram_gb" tableColumnId="9"/>
      <queryTableField id="10" name="storage_options_gb" tableColumnId="10"/>
      <queryTableField id="11" name="display_resolution" tableColumnId="11"/>
      <queryTableField id="12" name="battery_mah" tableColumnId="12"/>
      <queryTableField id="13" name="width_mm" tableColumnId="13"/>
      <queryTableField id="14" name="length_mm" tableColumnId="14"/>
      <queryTableField id="15" name="dimensions_mm" tableColumnId="15"/>
      <queryTableField id="16" name="weight_g" tableColumnId="16"/>
      <queryTableField id="17" name="body_material" tableColumnId="17"/>
      <queryTableField id="18" name="biometric_auth" tableColumnId="18"/>
      <queryTableField id="19" name="wireless_charging" tableColumnId="19"/>
      <queryTableField id="20" name="video_recording" tableColumnId="20"/>
      <queryTableField id="21" name="video_playback_hours" tableColumnId="21"/>
      <queryTableField id="22" name="water_resistance" tableColumnId="22"/>
      <queryTableField id="23" name="charging_wattage" tableColumnId="23"/>
      <queryTableField id="24" name="charging_type" tableColumnId="24"/>
      <queryTableField id="25" name="airplay_support" tableColumnId="25"/>
      <queryTableField id="26" name="launch_price_usd.min" tableColumnId="26"/>
      <queryTableField id="27" name="launch_price_usd.max" tableColumnId="2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E7E78-F4E5-8640-8015-7F6BFD67E6FA}" name="טבלה1" displayName="טבלה1" ref="A1:BH43" totalsRowShown="0" headerRowDxfId="65" headerRowBorderDxfId="64" tableBorderDxfId="63">
  <autoFilter ref="A1:BH43" xr:uid="{819E7E78-F4E5-8640-8015-7F6BFD67E6FA}"/>
  <tableColumns count="60">
    <tableColumn id="1" xr3:uid="{36CDC7EB-7126-884C-AE8C-B9C69A754779}" name="model"/>
    <tableColumn id="54" xr3:uid="{12DB9332-A1A1-274F-943B-3DF0FC616903}" name="purple">
      <calculatedColumnFormula>IF(ISNUMBER(SEARCH(טבלה1[[#Headers],[purple]], $P2)), 1, 0)</calculatedColumnFormula>
    </tableColumn>
    <tableColumn id="53" xr3:uid="{1ED73B2E-E5F8-D44C-A962-26123C2E5120}" name="green">
      <calculatedColumnFormula>IF(ISNUMBER(SEARCH(טבלה1[[#Headers],[green]], $P2)), 1, 0)</calculatedColumnFormula>
    </tableColumn>
    <tableColumn id="52" xr3:uid="{5C738F5A-39D9-A847-9341-4E1A2F9CAA01}" name="coral">
      <calculatedColumnFormula>IF(ISNUMBER(SEARCH(טבלה1[[#Headers],[coral]], $P2)), 1, 0)</calculatedColumnFormula>
    </tableColumn>
    <tableColumn id="51" xr3:uid="{409F5B8B-5F82-9E41-9EA8-CF6C4957B3AD}" name="blue">
      <calculatedColumnFormula>IF(ISNUMBER(SEARCH(טבלה1[[#Headers],[blue]], $P2)), 1, 0)</calculatedColumnFormula>
    </tableColumn>
    <tableColumn id="50" xr3:uid="{5A50ACD2-0456-5A44-9A28-1110A2AB73CF}" name="yellow">
      <calculatedColumnFormula>IF(ISNUMBER(SEARCH(טבלה1[[#Headers],[yellow]], $P2)), 1, 0)</calculatedColumnFormula>
    </tableColumn>
    <tableColumn id="49" xr3:uid="{D33CF515-2D09-D448-BA7C-7831C78DDD1B}" name="red">
      <calculatedColumnFormula>IF(ISNUMBER(SEARCH(טבלה1[[#Headers],[red]], $P2)), 1, 0)</calculatedColumnFormula>
    </tableColumn>
    <tableColumn id="48" xr3:uid="{246E299E-56C0-C744-8167-D73F2B3F9E91}" name="jet black">
      <calculatedColumnFormula>IF(ISNUMBER(SEARCH(טבלה1[[#Headers],[jet black]], $P2)), 1, 0)</calculatedColumnFormula>
    </tableColumn>
    <tableColumn id="47" xr3:uid="{3C1FEB28-9C30-A54B-9EAB-145ED1637B2A}" name="rose gold">
      <calculatedColumnFormula>IF(ISNUMBER(SEARCH(טבלה1[[#Headers],[rose gold]], $P2)), 1, 0)</calculatedColumnFormula>
    </tableColumn>
    <tableColumn id="46" xr3:uid="{AAFCA0EF-902D-C94D-80E5-B40DA8DFB9BD}" name="gold">
      <calculatedColumnFormula>IF(ISNUMBER(SEARCH(טבלה1[[#Headers],[gold]], $P2)), 1, 0)</calculatedColumnFormula>
    </tableColumn>
    <tableColumn id="45" xr3:uid="{89773821-8352-634C-B3E9-BB66C43D80D2}" name="silver">
      <calculatedColumnFormula>IF(ISNUMBER(SEARCH(טבלה1[[#Headers],[silver]], $P2)), 1, 0)</calculatedColumnFormula>
    </tableColumn>
    <tableColumn id="44" xr3:uid="{72AA8434-2C53-914C-86F6-B5EAE024ACFE}" name="space gray">
      <calculatedColumnFormula>IF(ISNUMBER(SEARCH(טבלה1[[#Headers],[space gray]], $P2)), 1, 0)</calculatedColumnFormula>
    </tableColumn>
    <tableColumn id="43" xr3:uid="{B1BD8B60-B141-4A48-9420-5AF685BCE225}" name="white" dataDxfId="62">
      <calculatedColumnFormula>IF(ISNUMBER(SEARCH(טבלה1[[#Headers],[white]], $P2)), 1, 0)</calculatedColumnFormula>
    </tableColumn>
    <tableColumn id="42" xr3:uid="{39D57183-077E-4548-8EF8-770DF62F629F}" name="Black" dataDxfId="61">
      <calculatedColumnFormula>IF(ISNUMBER(SEARCH(טבלה1[[#Headers],[Black]], $P2)), 1, 0)</calculatedColumnFormula>
    </tableColumn>
    <tableColumn id="55" xr3:uid="{72E9B423-5188-C74B-B0CF-83CC19F10DAD}" name="graphite">
      <calculatedColumnFormula>IF(ISNUMBER(SEARCH(טבלה1[[#Headers],[graphite]], $P2)), 1, 0)</calculatedColumnFormula>
    </tableColumn>
    <tableColumn id="2" xr3:uid="{E933D385-D384-F243-A651-14B095C04504}" name="colors"/>
    <tableColumn id="3" xr3:uid="{028FF007-6357-E041-92F2-6747473F89C8}" name="front_camera_mp"/>
    <tableColumn id="62" xr3:uid="{ED86E3D4-EA01-3B4C-973D-358CE5506340}" name="number_camera_mp" dataDxfId="60">
      <calculatedColumnFormula>VLOOKUP(A2,camnum[],4,FALSE)</calculatedColumnFormula>
    </tableColumn>
    <tableColumn id="4" xr3:uid="{F7C1CCAC-8DBC-0443-A249-990A91DB6026}" name="rear_camera_mp"/>
    <tableColumn id="5" xr3:uid="{D6FB1BFF-08F6-E347-ADB2-373050F6A18B}" name="depth_mm" dataDxfId="59">
      <calculatedColumnFormula array="1">INDEX(_xlfn.TEXTSPLIT(טבלה1[[#This Row],[size]],"×"),3)</calculatedColumnFormula>
    </tableColumn>
    <tableColumn id="66" xr3:uid="{4AF8139E-4B76-3042-9017-30A20019E211}" name="release_date" dataDxfId="58">
      <calculatedColumnFormula>TEXT(טבלה1[[#This Row],[release_date_first]], "yyyy-mm-dd")</calculatedColumnFormula>
    </tableColumn>
    <tableColumn id="6" xr3:uid="{08963F42-5821-8848-96ED-AF29FA91273E}" name="release_date_first" dataDxfId="57"/>
    <tableColumn id="7" xr3:uid="{E6111340-848A-3847-A568-21031B1DF3A7}" name="max_ios"/>
    <tableColumn id="8" xr3:uid="{C73E4D5E-AA45-4A4F-A9AF-BFA6471CC6E9}" name="processor"/>
    <tableColumn id="9" xr3:uid="{9CC69099-0503-594C-9ACB-259BED23F92C}" name="ram_gb"/>
    <tableColumn id="10" xr3:uid="{F1E607F6-D20B-6F40-929E-C3B530D1818C}" name="storage_options_gb"/>
    <tableColumn id="65" xr3:uid="{914B20CE-B2F9-8345-B1D9-2EB65EDA3D4C}" name="inner" dataDxfId="56">
      <calculatedColumnFormula>IF(טבלה1[[#This Row],[display_inner_resolution]]&gt;0,1,0)</calculatedColumnFormula>
    </tableColumn>
    <tableColumn id="64" xr3:uid="{11D86E93-3F94-E94C-B2A2-CA8625B46A8A}" name="display_inner_resolution"/>
    <tableColumn id="11" xr3:uid="{26A08D85-2D70-B24B-8964-500C2ED64622}" name="display_resolution"/>
    <tableColumn id="12" xr3:uid="{E598EDBA-0FAD-3E4A-8913-8A6E1289687D}" name="battery_mah"/>
    <tableColumn id="58" xr3:uid="{0FDE8EFE-FA8B-8A44-9835-4F8724A34CF0}" name="width" dataDxfId="55">
      <calculatedColumnFormula array="1">INDEX(_xlfn.TEXTSPLIT(טבלה1[[#This Row],[size]],"×"),2)</calculatedColumnFormula>
    </tableColumn>
    <tableColumn id="57" xr3:uid="{529DC565-D8B3-2C4F-B7F5-B398337767E5}" name="length" dataDxfId="54">
      <calculatedColumnFormula array="1">INDEX(_xlfn.TEXTSPLIT(טבלה1[[#This Row],[size]],"×"),1)</calculatedColumnFormula>
    </tableColumn>
    <tableColumn id="13" xr3:uid="{40FEE0E3-7BD7-3140-992C-9B9280C2D40B}" name="size"/>
    <tableColumn id="14" xr3:uid="{E0F754B3-82B6-A642-B6D3-3F9902A45B3F}" name="weight_g"/>
    <tableColumn id="15" xr3:uid="{36CF5B2D-C438-D049-A229-8FBAB456AB89}" name="body_material"/>
    <tableColumn id="16" xr3:uid="{DEC9F8E5-A047-E44F-9889-75D2EF9B4F87}" name="biometric_auth"/>
    <tableColumn id="17" xr3:uid="{9F7CEDC9-E7BC-B640-A9A1-0C3079DEE879}" name="wireless_charging"/>
    <tableColumn id="18" xr3:uid="{9E592566-B399-FB49-AEE4-5E5FE26BEF6F}" name="video_recording"/>
    <tableColumn id="19" xr3:uid="{F60D368D-4D59-0B4F-9F75-85CF2F42443D}" name="video_playback_hours"/>
    <tableColumn id="20" xr3:uid="{C25AAC5C-3663-6F4B-928D-A3B98B79F4F1}" name="water_resistance"/>
    <tableColumn id="21" xr3:uid="{744FD20F-8F3D-DA4F-B897-2C84F5C93755}" name="charging_wattage"/>
    <tableColumn id="22" xr3:uid="{350B49D3-F1FF-024C-82FC-87F63A72FE85}" name="launch_price_usd.min"/>
    <tableColumn id="23" xr3:uid="{35D5FE64-CE5A-2E4C-A415-5EAA2BA6A886}" name="launch_price_usd.max"/>
    <tableColumn id="24" xr3:uid="{9B722953-6E91-5440-BFC4-4B87074983DD}" name="charging_type">
      <calculatedColumnFormula>VLOOKUP(A2,charge[],2,FALSE)</calculatedColumnFormula>
    </tableColumn>
    <tableColumn id="59" xr3:uid="{6F93219B-E371-0B49-BE49-6919B0BD0F18}" name="min_price_ILS" dataDxfId="53">
      <calculatedColumnFormula>טבלה1[[#This Row],[launch_price_usd.min]]*3.33</calculatedColumnFormula>
    </tableColumn>
    <tableColumn id="60" xr3:uid="{0A18114D-C375-8E49-BF78-E779D516D4BD}" name="max_price_ILS">
      <calculatedColumnFormula>טבלה1[[#This Row],[launch_price_usd.max]]*3.33</calculatedColumnFormula>
    </tableColumn>
    <tableColumn id="61" xr3:uid="{2EBE0059-A187-D342-9BA1-CC144A3B6E05}" name="Airplay_support" dataDxfId="52">
      <calculatedColumnFormula>VLOOKUP(A2,airplay[],3,FALSE)</calculatedColumnFormula>
    </tableColumn>
    <tableColumn id="63" xr3:uid="{91D84307-0745-164B-9758-7D38686AD88A}" name="support_hd"/>
    <tableColumn id="30" xr3:uid="{7A86E34C-A8DB-614F-B1E3-E2B086C86855}" name="AI/Siri"/>
    <tableColumn id="31" xr3:uid="{B29E9C02-7E75-3D4A-A97C-17409D6142E8}" name="ai type"/>
    <tableColumn id="32" xr3:uid="{BF5D7419-03AF-DC42-8B01-F22AE0B11CB1}" name="Data Source"/>
    <tableColumn id="33" xr3:uid="{AD986549-CA2F-0742-9D2A-6367936B22D2}" name="Headphone Jack"/>
    <tableColumn id="35" xr3:uid="{15D978D1-C2E7-904E-B7B6-09DD97BF161D}" name="Number of Buttons ( Power , Volume Up, Volume Down, Silent Switch)"/>
    <tableColumn id="37" xr3:uid="{256FD07F-0E5A-2147-95C6-7E5C12A876E9}" name="Power"/>
    <tableColumn id="38" xr3:uid="{F583E325-ADEC-AD44-8F4C-39FBF5D05395}" name="Volume Up"/>
    <tableColumn id="39" xr3:uid="{FDC3EC9C-5A74-AF4F-9870-FFFDF779D6B7}" name="Volume Down"/>
    <tableColumn id="40" xr3:uid="{BD00755E-D073-A64A-BA36-5AE327FCF1E3}" name="Silent Switch"/>
    <tableColumn id="41" xr3:uid="{D9AE2C55-7B6A-A344-9BC7-EF8CED72F1AA}" name="rate" dataDxfId="51">
      <calculatedColumnFormula>VLOOKUP(A2,rate[],2,FALSE)</calculatedColumnFormula>
    </tableColumn>
    <tableColumn id="25" xr3:uid="{A0219507-EA6E-7249-AB69-D2EDC7DA0785}" name="adv_rate" dataDxfId="1">
      <calculatedColumnFormula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calculatedColumnFormula>
    </tableColumn>
    <tableColumn id="26" xr3:uid="{A44351BE-AD72-2B4B-ABEA-70FA58570702}" name="final_rate" dataDxfId="0">
      <calculatedColumnFormula>ROUND(LOG(BG2, 1.5), 2)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D96C02-6C07-5645-A6B6-7D29302E803D}" name="rate" displayName="rate" ref="A1:C47" totalsRowShown="0" headerRowDxfId="50">
  <autoFilter ref="A1:C47" xr:uid="{1CD96C02-6C07-5645-A6B6-7D29302E803D}"/>
  <tableColumns count="3">
    <tableColumn id="1" xr3:uid="{24D41065-7EBF-C640-A943-71361A7C62C1}" name="דגם"/>
    <tableColumn id="2" xr3:uid="{975B9639-0671-8C46-929F-404E8DE554CD}" name="דירוג משתמשים (1–100)"/>
    <tableColumn id="3" xr3:uid="{6C0166CF-B1C6-1645-8FDB-34DE8A319070}" name="משוב מרכזי (מקצועי ומשתמשים)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46993F-DE31-6C42-A7C7-25B640A1B6A6}" name="OnePlus" displayName="OnePlus" ref="A1:AE11" tableType="queryTable" totalsRowShown="0">
  <autoFilter ref="A1:AE11" xr:uid="{6846993F-DE31-6C42-A7C7-25B640A1B6A6}"/>
  <tableColumns count="31">
    <tableColumn id="1" xr3:uid="{A7AB8738-7732-7347-8FD8-DE56F752A5E0}" uniqueName="1" name="model" queryTableFieldId="1" dataDxfId="49"/>
    <tableColumn id="2" xr3:uid="{58CD39E7-8E9F-1B41-B2DD-C8B348F779A3}" uniqueName="2" name="processor" queryTableFieldId="2" dataDxfId="48"/>
    <tableColumn id="3" xr3:uid="{BDDAF4CB-5C27-884A-9D8C-CBD7FC7ED325}" uniqueName="3" name="ram" queryTableFieldId="3" dataDxfId="47"/>
    <tableColumn id="4" xr3:uid="{D3615A5C-267B-2940-B664-0481932F5699}" uniqueName="4" name="storage" queryTableFieldId="4" dataDxfId="46"/>
    <tableColumn id="5" xr3:uid="{BBEC2913-B8E4-8B4D-9F84-8EEF2ED20B65}" uniqueName="5" name="battery" queryTableFieldId="5" dataDxfId="45"/>
    <tableColumn id="6" xr3:uid="{C7199803-E214-7242-BCF9-2AECD2634B36}" uniqueName="6" name="charging" queryTableFieldId="6" dataDxfId="44"/>
    <tableColumn id="7" xr3:uid="{8FF0C0F9-486F-DE46-A193-C1697A410B99}" uniqueName="7" name="os" queryTableFieldId="7" dataDxfId="43"/>
    <tableColumn id="8" xr3:uid="{A9B74684-C17B-9A4C-B19B-A722FA458779}" uniqueName="8" name="release_year" queryTableFieldId="8"/>
    <tableColumn id="9" xr3:uid="{E3E2C78C-56EA-7E45-9AD3-28AD2ADE2456}" uniqueName="9" name="source" queryTableFieldId="9" dataDxfId="42"/>
    <tableColumn id="10" xr3:uid="{E77B4B7D-EA7F-7042-8028-70325AEF8EDD}" uniqueName="10" name="camera_main" queryTableFieldId="10" dataDxfId="41"/>
    <tableColumn id="11" xr3:uid="{606BDC90-C8FB-9D46-8FE4-994E96F86DA2}" uniqueName="11" name="camera_ultrawide" queryTableFieldId="11" dataDxfId="40"/>
    <tableColumn id="12" xr3:uid="{00D378E7-DF26-3C4F-8EAC-C512A103C5FC}" uniqueName="12" name="camera_telephoto" queryTableFieldId="12" dataDxfId="39"/>
    <tableColumn id="13" xr3:uid="{598CEDC1-4163-514F-BDEA-C66DDE413D7B}" uniqueName="13" name="display_size" queryTableFieldId="13"/>
    <tableColumn id="14" xr3:uid="{D10AE4F0-C1D4-844F-9119-1833D47E1D71}" uniqueName="14" name="display_type" queryTableFieldId="14" dataDxfId="38"/>
    <tableColumn id="15" xr3:uid="{26045ADC-3296-3C41-AFFD-1F02603A8E3B}" uniqueName="15" name="display_resolution" queryTableFieldId="15" dataDxfId="37"/>
    <tableColumn id="16" xr3:uid="{41D40B85-D17B-A84E-80DB-FBE5F92491AC}" uniqueName="16" name="display_refresh_rate" queryTableFieldId="16" dataDxfId="36"/>
    <tableColumn id="17" xr3:uid="{3F04FA38-9CB3-6F45-9A6A-73D18A69ECFD}" uniqueName="17" name="camera_front" queryTableFieldId="17" dataDxfId="35"/>
    <tableColumn id="18" xr3:uid="{F88E8FCD-BFF3-B746-9F75-B7A03E51AC28}" uniqueName="18" name="camera_macro" queryTableFieldId="18" dataDxfId="34"/>
    <tableColumn id="20" xr3:uid="{5C4C5F1F-BC1B-FA41-A196-E8F830674855}" uniqueName="20" name="צבעים זמינים" queryTableFieldId="20" dataDxfId="33"/>
    <tableColumn id="22" xr3:uid="{D54843A7-485D-2143-A95D-DC40FDA64D03}" uniqueName="22" name="עובי (mm)" queryTableFieldId="22" dataDxfId="32"/>
    <tableColumn id="23" xr3:uid="{CB4CC92C-5917-524C-8201-331F32861B22}" uniqueName="23" name="תאריך השקה" queryTableFieldId="23" dataDxfId="31"/>
    <tableColumn id="19" xr3:uid="{C51F56E1-16E8-2E4D-A888-0867A43B7825}" uniqueName="19" name="תאריך" queryTableFieldId="25" dataDxfId="30"/>
    <tableColumn id="21" xr3:uid="{CEC1F620-B34E-4F48-94D1-FA7F3D5DEC5C}" uniqueName="21" name="Model2" queryTableFieldId="26" dataDxfId="29"/>
    <tableColumn id="24" xr3:uid="{B3D171DD-44E7-5244-B8F1-FF3D2DD711E4}" uniqueName="24" name="Body Material" queryTableFieldId="27" dataDxfId="28"/>
    <tableColumn id="25" xr3:uid="{A7F0CD4D-7FC4-AD47-9D9C-F58ECDA48DAC}" uniqueName="25" name="Biometric Authentication" queryTableFieldId="28" dataDxfId="27"/>
    <tableColumn id="26" xr3:uid="{F7A5D272-FD4A-DA49-98C7-170A8289A717}" uniqueName="26" name="Wireless Charging" queryTableFieldId="29" dataDxfId="26"/>
    <tableColumn id="27" xr3:uid="{49C584CB-24DB-B541-8068-1735835C006D}" uniqueName="27" name="Video Recording" queryTableFieldId="30" dataDxfId="25"/>
    <tableColumn id="28" xr3:uid="{6C059416-7765-E145-B222-EE26D0C5DCDF}" uniqueName="28" name="Water Resistance" queryTableFieldId="31" dataDxfId="24"/>
    <tableColumn id="29" xr3:uid="{EF7BB221-6DA6-E748-9159-37E676C53DD9}" uniqueName="29" name="Charging Wattage" queryTableFieldId="32" dataDxfId="23"/>
    <tableColumn id="30" xr3:uid="{A23FDF08-7518-C74B-B3BE-7A345856FB01}" uniqueName="30" name="Launch Price USD Min" queryTableFieldId="33" dataDxfId="22"/>
    <tableColumn id="31" xr3:uid="{75ADEF7B-55E9-534D-B323-6A30BE52CCC6}" uniqueName="31" name="Launch Price USD Max" queryTableFieldId="34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63B33D-35C8-704B-8252-4FC7C9F1D483}" name="camnum" displayName="camnum" ref="A1:D51" totalsRowShown="0" headerRowDxfId="20">
  <autoFilter ref="A1:D51" xr:uid="{2E63B33D-35C8-704B-8252-4FC7C9F1D483}"/>
  <tableColumns count="4">
    <tableColumn id="1" xr3:uid="{00FDD9F0-0044-4F41-A242-400F4B60A11D}" name="מכשיר"/>
    <tableColumn id="2" xr3:uid="{B6614B0E-91D7-1A4E-85B7-8816DA8F6BF5}" name="מצלמות אחוריות"/>
    <tableColumn id="3" xr3:uid="{64194AB2-B0B2-3241-BF82-14F91872D755}" name="מצלמות קדמיות"/>
    <tableColumn id="4" xr3:uid="{C4843F24-D62D-B64C-9824-50552E88B57B}" name="אחורית" dataDxfId="19">
      <calculatedColumnFormula array="1">INDEX(_xlfn.TEXTSPLIT(B2," "),1)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A1EF19-6D5E-9844-A71D-E6A4CFBA76BD}" name="Sam" displayName="Sam" ref="A1:AA6" tableType="queryTable" totalsRowShown="0">
  <autoFilter ref="A1:AA6" xr:uid="{9DA1EF19-6D5E-9844-A71D-E6A4CFBA76BD}"/>
  <tableColumns count="27">
    <tableColumn id="1" xr3:uid="{9324DD8A-858A-7143-B500-8B66EF828B8A}" uniqueName="1" name="model" queryTableFieldId="1" dataDxfId="18"/>
    <tableColumn id="2" xr3:uid="{20169F1B-9582-1A45-95E9-D5746E896E4A}" uniqueName="2" name="colors" queryTableFieldId="2" dataDxfId="17"/>
    <tableColumn id="3" xr3:uid="{C122FE49-552A-9A4C-BDB8-0684F328EBDB}" uniqueName="3" name="front_camera_mp" queryTableFieldId="3"/>
    <tableColumn id="4" xr3:uid="{2F220C50-4DE0-8C4D-A97D-D51DC532713A}" uniqueName="4" name="rear_camera_mp" queryTableFieldId="4" dataDxfId="16"/>
    <tableColumn id="5" xr3:uid="{80933EFB-9EFE-8E4E-AD1B-84679F60E734}" uniqueName="5" name="depth_mm" queryTableFieldId="5"/>
    <tableColumn id="6" xr3:uid="{FDCA400C-13E7-CB46-B591-1E23979CE5CF}" uniqueName="6" name="release_date" queryTableFieldId="6" dataDxfId="15"/>
    <tableColumn id="7" xr3:uid="{9FF42673-D97E-2548-A1F2-B720CAAFE5BB}" uniqueName="7" name="os" queryTableFieldId="7" dataDxfId="14"/>
    <tableColumn id="8" xr3:uid="{B267F96A-31DE-5F4C-81C4-5764CFFB56D8}" uniqueName="8" name="processor" queryTableFieldId="8" dataDxfId="13"/>
    <tableColumn id="9" xr3:uid="{705A405C-9266-6042-BAFD-9311537059B7}" uniqueName="9" name="ram_gb" queryTableFieldId="9"/>
    <tableColumn id="10" xr3:uid="{BA118635-7F0F-A34C-9E64-5AB3F0BEEF2E}" uniqueName="10" name="storage_options_gb" queryTableFieldId="10" dataDxfId="12"/>
    <tableColumn id="11" xr3:uid="{580FBC1E-4682-2742-9176-1A5CB694ABDA}" uniqueName="11" name="display_resolution" queryTableFieldId="11" dataDxfId="11"/>
    <tableColumn id="12" xr3:uid="{6D54F04F-AC55-E943-834D-3A4211412C9D}" uniqueName="12" name="battery_mah" queryTableFieldId="12"/>
    <tableColumn id="13" xr3:uid="{C3F2E089-E4F8-AD4A-B992-4E22A5683F69}" uniqueName="13" name="width_mm" queryTableFieldId="13"/>
    <tableColumn id="14" xr3:uid="{551F0D30-7A20-6345-9B7C-E1C070120B35}" uniqueName="14" name="length_mm" queryTableFieldId="14"/>
    <tableColumn id="15" xr3:uid="{99459E33-758F-2647-B3D2-49C60A6AF4A4}" uniqueName="15" name="dimensions_mm" queryTableFieldId="15" dataDxfId="10"/>
    <tableColumn id="16" xr3:uid="{D077CE38-E243-E847-8D61-B597082E7B5D}" uniqueName="16" name="weight_g" queryTableFieldId="16"/>
    <tableColumn id="17" xr3:uid="{D53739DA-17F1-334B-9558-A77C0C2B7192}" uniqueName="17" name="body_material" queryTableFieldId="17" dataDxfId="9"/>
    <tableColumn id="18" xr3:uid="{955B04C6-63A9-DD4E-A329-BA9777204757}" uniqueName="18" name="biometric_auth" queryTableFieldId="18"/>
    <tableColumn id="19" xr3:uid="{2EA26961-B378-C243-B3C0-0094DAC59F4B}" uniqueName="19" name="wireless_charging" queryTableFieldId="19"/>
    <tableColumn id="20" xr3:uid="{75C322F4-2512-384E-871A-697060A02311}" uniqueName="20" name="video_recording" queryTableFieldId="20"/>
    <tableColumn id="21" xr3:uid="{399B9B72-6D48-9040-9D72-F51C18F1E946}" uniqueName="21" name="video_playback_hours" queryTableFieldId="21"/>
    <tableColumn id="22" xr3:uid="{6F848728-E9AE-D840-9E42-F8B2EE208E24}" uniqueName="22" name="water_resistance" queryTableFieldId="22" dataDxfId="8"/>
    <tableColumn id="23" xr3:uid="{C6F8BAD5-591F-2440-BC27-B9ED12F78351}" uniqueName="23" name="charging_wattage" queryTableFieldId="23"/>
    <tableColumn id="24" xr3:uid="{18DC1955-D7BE-7E43-8387-13943508748E}" uniqueName="24" name="charging_type" queryTableFieldId="24" dataDxfId="7"/>
    <tableColumn id="25" xr3:uid="{6A41C689-C645-2747-A495-836A1FA8636C}" uniqueName="25" name="airplay_support" queryTableFieldId="25"/>
    <tableColumn id="26" xr3:uid="{B0C6704E-40D8-7C4F-A42C-1BB2B8D10246}" uniqueName="26" name="launch_price_usd.min" queryTableFieldId="26"/>
    <tableColumn id="27" xr3:uid="{90091AF0-1858-3B40-A159-546304CC010F}" uniqueName="27" name="launch_price_usd.max" queryTableField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98C9E3-195F-EB44-9AB8-37EB84445133}" name="airplay" displayName="airplay" ref="A1:C43" totalsRowShown="0" headerRowDxfId="6">
  <autoFilter ref="A1:C43" xr:uid="{FF98C9E3-195F-EB44-9AB8-37EB84445133}"/>
  <tableColumns count="3">
    <tableColumn id="1" xr3:uid="{988100B9-4CCA-7C4B-9E2E-2F6AB5250F9B}" name="Device"/>
    <tableColumn id="2" xr3:uid="{BA4D6DB5-2D41-EC45-9E30-FF4C1964F140}" name="AirPlay Support"/>
    <tableColumn id="3" xr3:uid="{D4C60497-8444-0740-A492-DB9B81F28E46}" name="Note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1183EF-9601-CC47-A7CA-677D3E1E829A}" name="weight" displayName="weight" ref="A1:B42" totalsRowShown="0" headerRowDxfId="5">
  <autoFilter ref="A1:B42" xr:uid="{BC1183EF-9601-CC47-A7CA-677D3E1E829A}"/>
  <tableColumns count="2">
    <tableColumn id="1" xr3:uid="{E1E8AFF1-4E74-5147-B8A5-8C319FF69A05}" name="Device"/>
    <tableColumn id="2" xr3:uid="{21820089-0F03-AC4B-A4D6-B4849C8664EB}" name="Weight (g)" dataDxfId="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F3630A-311C-784D-9198-A5518EE0E978}" name="charge" displayName="charge" ref="A1:C43" totalsRowShown="0" headerRowDxfId="3">
  <autoFilter ref="A1:C43" xr:uid="{09F3630A-311C-784D-9198-A5518EE0E978}"/>
  <tableColumns count="3">
    <tableColumn id="1" xr3:uid="{0620AC2E-CE13-E14A-B85D-1CAC692BD998}" name="Device"/>
    <tableColumn id="2" xr3:uid="{A6CE8793-B75B-DF4E-A1FF-F7586D75084A}" name="Charging Type"/>
    <tableColumn id="3" xr3:uid="{9A311C7D-CDFA-9A4F-AC71-28FE815B60CA}" name="Notes / 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3"/>
  <sheetViews>
    <sheetView tabSelected="1" topLeftCell="BA1" workbookViewId="0">
      <selection activeCell="BI19" sqref="BI19"/>
    </sheetView>
  </sheetViews>
  <sheetFormatPr baseColWidth="10" defaultColWidth="8.83203125" defaultRowHeight="14" x14ac:dyDescent="0.15"/>
  <cols>
    <col min="1" max="1" width="31.1640625" bestFit="1" customWidth="1"/>
    <col min="2" max="2" width="11.83203125" bestFit="1" customWidth="1"/>
    <col min="3" max="3" width="11.1640625" bestFit="1" customWidth="1"/>
    <col min="4" max="4" width="9" bestFit="1" customWidth="1"/>
    <col min="5" max="5" width="13.5" bestFit="1" customWidth="1"/>
    <col min="6" max="6" width="14.5" bestFit="1" customWidth="1"/>
    <col min="7" max="7" width="10" bestFit="1" customWidth="1"/>
    <col min="8" max="8" width="11" bestFit="1" customWidth="1"/>
    <col min="9" max="9" width="15.6640625" bestFit="1" customWidth="1"/>
    <col min="10" max="10" width="12" bestFit="1" customWidth="1"/>
    <col min="11" max="12" width="11" bestFit="1" customWidth="1"/>
    <col min="13" max="13" width="10.83203125" bestFit="1" customWidth="1"/>
    <col min="14" max="14" width="13" customWidth="1"/>
    <col min="15" max="15" width="13.33203125" bestFit="1" customWidth="1"/>
    <col min="16" max="16" width="105.83203125" bestFit="1" customWidth="1"/>
    <col min="17" max="18" width="10.1640625" customWidth="1"/>
    <col min="19" max="19" width="21.33203125" customWidth="1"/>
    <col min="20" max="20" width="19.83203125" style="3" customWidth="1"/>
    <col min="21" max="21" width="14.5" customWidth="1"/>
    <col min="22" max="22" width="18.1640625" customWidth="1"/>
    <col min="23" max="23" width="11.6640625" customWidth="1"/>
    <col min="24" max="24" width="16" customWidth="1"/>
    <col min="25" max="26" width="16.83203125" customWidth="1"/>
    <col min="27" max="27" width="19.5" customWidth="1"/>
    <col min="28" max="28" width="22.5" bestFit="1" customWidth="1"/>
    <col min="29" max="29" width="23.33203125" customWidth="1"/>
    <col min="30" max="30" width="18.33203125" customWidth="1"/>
    <col min="31" max="31" width="19.33203125" customWidth="1"/>
    <col min="32" max="32" width="23" customWidth="1"/>
    <col min="33" max="33" width="23.33203125" customWidth="1"/>
    <col min="34" max="34" width="16.1640625" customWidth="1"/>
    <col min="35" max="35" width="16.33203125" customWidth="1"/>
    <col min="36" max="36" width="14.1640625" customWidth="1"/>
    <col min="37" max="38" width="18" customWidth="1"/>
    <col min="39" max="39" width="22.6640625" customWidth="1"/>
    <col min="40" max="40" width="24.1640625" customWidth="1"/>
    <col min="41" max="41" width="18.5" customWidth="1"/>
    <col min="42" max="42" width="37.83203125" bestFit="1" customWidth="1"/>
    <col min="43" max="43" width="39.5" bestFit="1" customWidth="1"/>
    <col min="44" max="44" width="22.33203125" customWidth="1"/>
    <col min="45" max="45" width="47.6640625" bestFit="1" customWidth="1"/>
    <col min="46" max="46" width="23.83203125" customWidth="1"/>
    <col min="47" max="47" width="26.6640625" customWidth="1"/>
    <col min="48" max="48" width="14" customWidth="1"/>
    <col min="51" max="51" width="23.83203125" bestFit="1" customWidth="1"/>
    <col min="52" max="52" width="20.6640625" bestFit="1" customWidth="1"/>
    <col min="53" max="53" width="68.83203125" bestFit="1" customWidth="1"/>
  </cols>
  <sheetData>
    <row r="1" spans="1:60" x14ac:dyDescent="0.15">
      <c r="A1" s="1" t="s">
        <v>0</v>
      </c>
      <c r="B1" s="1" t="s">
        <v>235</v>
      </c>
      <c r="C1" s="1" t="s">
        <v>234</v>
      </c>
      <c r="D1" s="1" t="s">
        <v>233</v>
      </c>
      <c r="E1" s="1" t="s">
        <v>232</v>
      </c>
      <c r="F1" s="1" t="s">
        <v>231</v>
      </c>
      <c r="G1" s="1" t="s">
        <v>230</v>
      </c>
      <c r="H1" s="1" t="s">
        <v>229</v>
      </c>
      <c r="I1" s="1" t="s">
        <v>228</v>
      </c>
      <c r="J1" s="1" t="s">
        <v>227</v>
      </c>
      <c r="K1" s="1" t="s">
        <v>226</v>
      </c>
      <c r="L1" s="1" t="s">
        <v>225</v>
      </c>
      <c r="M1" s="1" t="s">
        <v>224</v>
      </c>
      <c r="N1" s="1" t="s">
        <v>223</v>
      </c>
      <c r="O1" s="1" t="s">
        <v>236</v>
      </c>
      <c r="P1" s="1" t="s">
        <v>1</v>
      </c>
      <c r="Q1" s="1" t="s">
        <v>2</v>
      </c>
      <c r="R1" s="1" t="s">
        <v>320</v>
      </c>
      <c r="S1" s="1" t="s">
        <v>3</v>
      </c>
      <c r="T1" s="2" t="s">
        <v>4</v>
      </c>
      <c r="U1" s="2" t="s">
        <v>5</v>
      </c>
      <c r="V1" s="10" t="s">
        <v>464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361</v>
      </c>
      <c r="AB1" s="1" t="s">
        <v>359</v>
      </c>
      <c r="AC1" s="1" t="s">
        <v>10</v>
      </c>
      <c r="AD1" s="1" t="s">
        <v>11</v>
      </c>
      <c r="AE1" s="1" t="s">
        <v>244</v>
      </c>
      <c r="AF1" s="1" t="s">
        <v>241</v>
      </c>
      <c r="AG1" s="1" t="s">
        <v>529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265</v>
      </c>
      <c r="AT1" s="1" t="s">
        <v>266</v>
      </c>
      <c r="AU1" s="1" t="s">
        <v>267</v>
      </c>
      <c r="AV1" s="1" t="s">
        <v>342</v>
      </c>
      <c r="AW1" s="5" t="s">
        <v>514</v>
      </c>
      <c r="AX1" s="1" t="s">
        <v>527</v>
      </c>
      <c r="AY1" s="1" t="s">
        <v>518</v>
      </c>
      <c r="AZ1" s="1" t="s">
        <v>519</v>
      </c>
      <c r="BA1" s="1" t="s">
        <v>522</v>
      </c>
      <c r="BB1" s="1" t="s">
        <v>523</v>
      </c>
      <c r="BC1" s="1" t="s">
        <v>524</v>
      </c>
      <c r="BD1" s="1" t="s">
        <v>525</v>
      </c>
      <c r="BE1" s="1" t="s">
        <v>526</v>
      </c>
      <c r="BF1" s="1" t="s">
        <v>528</v>
      </c>
      <c r="BG1" s="1" t="s">
        <v>549</v>
      </c>
      <c r="BH1" s="1" t="s">
        <v>550</v>
      </c>
    </row>
    <row r="2" spans="1:60" x14ac:dyDescent="0.15">
      <c r="A2" t="s">
        <v>24</v>
      </c>
      <c r="B2">
        <f>IF(ISNUMBER(SEARCH(טבלה1[[#Headers],[purple]], $P2)), 1, 0)</f>
        <v>0</v>
      </c>
      <c r="C2">
        <f>IF(ISNUMBER(SEARCH(טבלה1[[#Headers],[green]], $P2)), 1, 0)</f>
        <v>0</v>
      </c>
      <c r="D2">
        <f>IF(ISNUMBER(SEARCH(טבלה1[[#Headers],[coral]], $P2)), 1, 0)</f>
        <v>0</v>
      </c>
      <c r="E2">
        <f>IF(ISNUMBER(SEARCH(טבלה1[[#Headers],[blue]], $P2)), 1, 0)</f>
        <v>0</v>
      </c>
      <c r="F2">
        <f>IF(ISNUMBER(SEARCH(טבלה1[[#Headers],[yellow]], $P2)), 1, 0)</f>
        <v>0</v>
      </c>
      <c r="G2">
        <f>IF(ISNUMBER(SEARCH(טבלה1[[#Headers],[red]], $P2)), 1, 0)</f>
        <v>0</v>
      </c>
      <c r="H2">
        <f>IF(ISNUMBER(SEARCH(טבלה1[[#Headers],[jet black]], $P2)), 1, 0)</f>
        <v>0</v>
      </c>
      <c r="I2">
        <f>IF(ISNUMBER(SEARCH(טבלה1[[#Headers],[rose gold]], $P2)), 1, 0)</f>
        <v>0</v>
      </c>
      <c r="J2">
        <f>IF(ISNUMBER(SEARCH(טבלה1[[#Headers],[gold]], $P2)), 1, 0)</f>
        <v>0</v>
      </c>
      <c r="K2">
        <f>IF(ISNUMBER(SEARCH(טבלה1[[#Headers],[silver]], $P2)), 1, 0)</f>
        <v>0</v>
      </c>
      <c r="L2">
        <f>IF(ISNUMBER(SEARCH(טבלה1[[#Headers],[space gray]], $P2)), 1, 0)</f>
        <v>0</v>
      </c>
      <c r="M2">
        <f>IF(ISNUMBER(SEARCH(טבלה1[[#Headers],[white]], $P2)), 1, 0)</f>
        <v>1</v>
      </c>
      <c r="N2">
        <f>IF(ISNUMBER(SEARCH(טבלה1[[#Headers],[Black]], $P2)), 1, 0)</f>
        <v>1</v>
      </c>
      <c r="O2">
        <f>IF(ISNUMBER(SEARCH(טבלה1[[#Headers],[graphite]], $P2)), 1, 0)</f>
        <v>0</v>
      </c>
      <c r="P2" t="s">
        <v>60</v>
      </c>
      <c r="Q2">
        <v>0</v>
      </c>
      <c r="R2" s="3" t="str">
        <f>VLOOKUP(A2,camnum[],4,FALSE)</f>
        <v>1</v>
      </c>
      <c r="S2">
        <v>5</v>
      </c>
      <c r="T2" s="3" t="str" cm="1">
        <f t="array" ref="T2">INDEX(_xlfn.TEXTSPLIT(טבלה1[[#This Row],[size]],"×"),3)</f>
        <v>9.3</v>
      </c>
      <c r="U2" s="3" t="str">
        <f>TEXT(טבלה1[[#This Row],[release_date_first]], "yyyy-mm-dd")</f>
        <v>2010-06-07</v>
      </c>
      <c r="V2" s="8" t="s">
        <v>83</v>
      </c>
      <c r="W2" t="s">
        <v>106</v>
      </c>
      <c r="X2" t="s">
        <v>114</v>
      </c>
      <c r="Y2">
        <v>0.5</v>
      </c>
      <c r="Z2" t="s">
        <v>140</v>
      </c>
      <c r="AA2">
        <f>IF(טבלה1[[#This Row],[display_inner_resolution]]&gt;0,1,0)</f>
        <v>0</v>
      </c>
      <c r="AC2" t="s">
        <v>155</v>
      </c>
      <c r="AD2">
        <v>1420</v>
      </c>
      <c r="AE2" t="str" cm="1">
        <f t="array" ref="AE2">INDEX(_xlfn.TEXTSPLIT(טבלה1[[#This Row],[size]],"×"),2)</f>
        <v>58.6</v>
      </c>
      <c r="AF2" t="str" cm="1">
        <f t="array" ref="AF2">INDEX(_xlfn.TEXTSPLIT(טבלה1[[#This Row],[size]],"×"),1)</f>
        <v>115.2</v>
      </c>
      <c r="AG2" t="s">
        <v>173</v>
      </c>
      <c r="AH2">
        <f>VLOOKUP(A2,weight[],2,FALSE)</f>
        <v>137</v>
      </c>
      <c r="AI2" t="s">
        <v>200</v>
      </c>
      <c r="AJ2" t="s">
        <v>206</v>
      </c>
      <c r="AK2" t="s">
        <v>264</v>
      </c>
      <c r="AL2" t="s">
        <v>214</v>
      </c>
      <c r="AM2">
        <v>7</v>
      </c>
      <c r="AN2">
        <v>0</v>
      </c>
      <c r="AO2">
        <v>5</v>
      </c>
      <c r="AP2">
        <v>199</v>
      </c>
      <c r="AQ2">
        <v>299</v>
      </c>
      <c r="AR2" t="str">
        <f>VLOOKUP(A2,charge[],2,FALSE)</f>
        <v>30-Pin Dock Connector</v>
      </c>
      <c r="AS2">
        <f>טבלה1[[#This Row],[launch_price_usd.min]]*3.33</f>
        <v>662.67</v>
      </c>
      <c r="AT2">
        <f>טבלה1[[#This Row],[launch_price_usd.max]]*3.33</f>
        <v>995.67000000000007</v>
      </c>
      <c r="AU2" t="str">
        <f>VLOOKUP(A2,airplay[],3,FALSE)</f>
        <v>Audio &amp; video streaming supported, no screen mirroring</v>
      </c>
      <c r="AV2">
        <v>0</v>
      </c>
      <c r="AW2">
        <v>0</v>
      </c>
      <c r="AX2" t="s">
        <v>515</v>
      </c>
      <c r="AY2" t="s">
        <v>520</v>
      </c>
      <c r="AZ2">
        <v>1</v>
      </c>
      <c r="BA2">
        <f>SUM(טבלה1[[#This Row],[Power]:[Silent Switch]])</f>
        <v>4</v>
      </c>
      <c r="BB2">
        <v>1</v>
      </c>
      <c r="BC2">
        <v>1</v>
      </c>
      <c r="BD2">
        <v>1</v>
      </c>
      <c r="BE2">
        <v>1</v>
      </c>
      <c r="BF2">
        <f>VLOOKUP(A2,rate[],2,FALSE)</f>
        <v>74</v>
      </c>
      <c r="BG2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6803.2831185819778</v>
      </c>
      <c r="BH2">
        <f t="shared" ref="BH2:BH43" si="0">ROUND(LOG(BG2, 1.5), 2)</f>
        <v>21.77</v>
      </c>
    </row>
    <row r="3" spans="1:60" x14ac:dyDescent="0.15">
      <c r="A3" t="s">
        <v>25</v>
      </c>
      <c r="B3">
        <f>IF(ISNUMBER(SEARCH(טבלה1[[#Headers],[purple]], $P3)), 1, 0)</f>
        <v>0</v>
      </c>
      <c r="C3">
        <f>IF(ISNUMBER(SEARCH(טבלה1[[#Headers],[green]], $P3)), 1, 0)</f>
        <v>0</v>
      </c>
      <c r="D3">
        <f>IF(ISNUMBER(SEARCH(טבלה1[[#Headers],[coral]], $P3)), 1, 0)</f>
        <v>0</v>
      </c>
      <c r="E3">
        <f>IF(ISNUMBER(SEARCH(טבלה1[[#Headers],[blue]], $P3)), 1, 0)</f>
        <v>0</v>
      </c>
      <c r="F3">
        <f>IF(ISNUMBER(SEARCH(טבלה1[[#Headers],[yellow]], $P3)), 1, 0)</f>
        <v>0</v>
      </c>
      <c r="G3">
        <f>IF(ISNUMBER(SEARCH(טבלה1[[#Headers],[red]], $P3)), 1, 0)</f>
        <v>0</v>
      </c>
      <c r="H3">
        <f>IF(ISNUMBER(SEARCH(טבלה1[[#Headers],[jet black]], $P3)), 1, 0)</f>
        <v>0</v>
      </c>
      <c r="I3">
        <f>IF(ISNUMBER(SEARCH(טבלה1[[#Headers],[rose gold]], $P3)), 1, 0)</f>
        <v>0</v>
      </c>
      <c r="J3">
        <f>IF(ISNUMBER(SEARCH(טבלה1[[#Headers],[gold]], $P3)), 1, 0)</f>
        <v>0</v>
      </c>
      <c r="K3">
        <f>IF(ISNUMBER(SEARCH(טבלה1[[#Headers],[silver]], $P3)), 1, 0)</f>
        <v>0</v>
      </c>
      <c r="L3">
        <f>IF(ISNUMBER(SEARCH(טבלה1[[#Headers],[space gray]], $P3)), 1, 0)</f>
        <v>0</v>
      </c>
      <c r="M3">
        <f>IF(ISNUMBER(SEARCH(טבלה1[[#Headers],[white]], $P3)), 1, 0)</f>
        <v>1</v>
      </c>
      <c r="N3">
        <f>IF(ISNUMBER(SEARCH(טבלה1[[#Headers],[Black]], $P3)), 1, 0)</f>
        <v>1</v>
      </c>
      <c r="O3">
        <f>IF(ISNUMBER(SEARCH(טבלה1[[#Headers],[graphite]], $P3)), 1, 0)</f>
        <v>0</v>
      </c>
      <c r="P3" t="s">
        <v>60</v>
      </c>
      <c r="Q3">
        <v>0.3</v>
      </c>
      <c r="R3" s="3" t="str">
        <f>VLOOKUP(A3,camnum[],4,FALSE)</f>
        <v>1</v>
      </c>
      <c r="S3">
        <v>8</v>
      </c>
      <c r="T3" s="3" t="str" cm="1">
        <f t="array" ref="T3">INDEX(_xlfn.TEXTSPLIT(טבלה1[[#This Row],[size]],"×"),3)</f>
        <v>9.3</v>
      </c>
      <c r="U3" s="3" t="str">
        <f>TEXT(טבלה1[[#This Row],[release_date_first]], "yyyy-mm-dd")</f>
        <v>2011-10-04</v>
      </c>
      <c r="V3" s="8" t="s">
        <v>84</v>
      </c>
      <c r="W3" t="s">
        <v>107</v>
      </c>
      <c r="X3" t="s">
        <v>115</v>
      </c>
      <c r="Y3">
        <v>0.5</v>
      </c>
      <c r="Z3" t="s">
        <v>141</v>
      </c>
      <c r="AA3">
        <f>IF(טבלה1[[#This Row],[display_inner_resolution]]&gt;0,1,0)</f>
        <v>0</v>
      </c>
      <c r="AC3" t="s">
        <v>155</v>
      </c>
      <c r="AD3">
        <v>1432</v>
      </c>
      <c r="AE3" t="str" cm="1">
        <f t="array" ref="AE3">INDEX(_xlfn.TEXTSPLIT(טבלה1[[#This Row],[size]],"×"),2)</f>
        <v>58.6</v>
      </c>
      <c r="AF3" t="str" cm="1">
        <f t="array" ref="AF3">INDEX(_xlfn.TEXTSPLIT(טבלה1[[#This Row],[size]],"×"),1)</f>
        <v>115.2</v>
      </c>
      <c r="AG3" t="s">
        <v>173</v>
      </c>
      <c r="AH3">
        <f>VLOOKUP(A3,weight[],2,FALSE)</f>
        <v>140</v>
      </c>
      <c r="AI3" t="s">
        <v>200</v>
      </c>
      <c r="AJ3" t="s">
        <v>206</v>
      </c>
      <c r="AK3" t="s">
        <v>264</v>
      </c>
      <c r="AL3" t="s">
        <v>215</v>
      </c>
      <c r="AM3">
        <v>8</v>
      </c>
      <c r="AN3">
        <v>0</v>
      </c>
      <c r="AO3">
        <v>5</v>
      </c>
      <c r="AP3">
        <v>199</v>
      </c>
      <c r="AQ3">
        <v>299</v>
      </c>
      <c r="AR3" t="str">
        <f>VLOOKUP(A3,charge[],2,FALSE)</f>
        <v>30-Pin Dock Connector</v>
      </c>
      <c r="AS3">
        <f>טבלה1[[#This Row],[launch_price_usd.min]]*3.33</f>
        <v>662.67</v>
      </c>
      <c r="AT3">
        <f>טבלה1[[#This Row],[launch_price_usd.max]]*3.33</f>
        <v>995.67000000000007</v>
      </c>
      <c r="AU3" t="str">
        <f>VLOOKUP(A3,airplay[],3,FALSE)</f>
        <v>Audio &amp; video streaming supported, no screen mirroring</v>
      </c>
      <c r="AV3">
        <v>0</v>
      </c>
      <c r="AW3">
        <v>1</v>
      </c>
      <c r="AX3" t="s">
        <v>516</v>
      </c>
      <c r="AY3" t="s">
        <v>520</v>
      </c>
      <c r="AZ3">
        <v>1</v>
      </c>
      <c r="BA3">
        <f>SUM(טבלה1[[#This Row],[Power]:[Silent Switch]])</f>
        <v>4</v>
      </c>
      <c r="BB3">
        <v>1</v>
      </c>
      <c r="BC3">
        <v>1</v>
      </c>
      <c r="BD3">
        <v>1</v>
      </c>
      <c r="BE3">
        <v>1</v>
      </c>
      <c r="BF3">
        <f>VLOOKUP(A3,rate[],2,FALSE)</f>
        <v>70</v>
      </c>
      <c r="BG3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9613.2967494071545</v>
      </c>
      <c r="BH3">
        <f t="shared" si="0"/>
        <v>22.62</v>
      </c>
    </row>
    <row r="4" spans="1:60" x14ac:dyDescent="0.15">
      <c r="A4" t="s">
        <v>26</v>
      </c>
      <c r="B4">
        <f>IF(ISNUMBER(SEARCH(טבלה1[[#Headers],[purple]], $P4)), 1, 0)</f>
        <v>0</v>
      </c>
      <c r="C4">
        <f>IF(ISNUMBER(SEARCH(טבלה1[[#Headers],[green]], $P4)), 1, 0)</f>
        <v>0</v>
      </c>
      <c r="D4">
        <f>IF(ISNUMBER(SEARCH(טבלה1[[#Headers],[coral]], $P4)), 1, 0)</f>
        <v>0</v>
      </c>
      <c r="E4">
        <f>IF(ISNUMBER(SEARCH(טבלה1[[#Headers],[blue]], $P4)), 1, 0)</f>
        <v>0</v>
      </c>
      <c r="F4">
        <f>IF(ISNUMBER(SEARCH(טבלה1[[#Headers],[yellow]], $P4)), 1, 0)</f>
        <v>0</v>
      </c>
      <c r="G4">
        <f>IF(ISNUMBER(SEARCH(טבלה1[[#Headers],[red]], $P4)), 1, 0)</f>
        <v>0</v>
      </c>
      <c r="H4">
        <f>IF(ISNUMBER(SEARCH(טבלה1[[#Headers],[jet black]], $P4)), 1, 0)</f>
        <v>0</v>
      </c>
      <c r="I4">
        <f>IF(ISNUMBER(SEARCH(טבלה1[[#Headers],[rose gold]], $P4)), 1, 0)</f>
        <v>0</v>
      </c>
      <c r="J4">
        <f>IF(ISNUMBER(SEARCH(טבלה1[[#Headers],[gold]], $P4)), 1, 0)</f>
        <v>0</v>
      </c>
      <c r="K4">
        <f>IF(ISNUMBER(SEARCH(טבלה1[[#Headers],[silver]], $P4)), 1, 0)</f>
        <v>0</v>
      </c>
      <c r="L4">
        <f>IF(ISNUMBER(SEARCH(טבלה1[[#Headers],[space gray]], $P4)), 1, 0)</f>
        <v>0</v>
      </c>
      <c r="M4">
        <f>IF(ISNUMBER(SEARCH(טבלה1[[#Headers],[white]], $P4)), 1, 0)</f>
        <v>1</v>
      </c>
      <c r="N4">
        <f>IF(ISNUMBER(SEARCH(טבלה1[[#Headers],[Black]], $P4)), 1, 0)</f>
        <v>1</v>
      </c>
      <c r="O4">
        <f>IF(ISNUMBER(SEARCH(טבלה1[[#Headers],[graphite]], $P4)), 1, 0)</f>
        <v>0</v>
      </c>
      <c r="P4" t="s">
        <v>60</v>
      </c>
      <c r="Q4">
        <v>1.2</v>
      </c>
      <c r="R4" s="3" t="str">
        <f>VLOOKUP(A4,camnum[],4,FALSE)</f>
        <v>1</v>
      </c>
      <c r="S4">
        <v>8</v>
      </c>
      <c r="T4" s="3" t="str" cm="1">
        <f t="array" ref="T4">INDEX(_xlfn.TEXTSPLIT(טבלה1[[#This Row],[size]],"×"),3)</f>
        <v>7.6</v>
      </c>
      <c r="U4" s="3" t="str">
        <f>TEXT(טבלה1[[#This Row],[release_date_first]], "yyyy-mm-dd")</f>
        <v>2012-09-21</v>
      </c>
      <c r="V4" s="8" t="s">
        <v>85</v>
      </c>
      <c r="W4" t="s">
        <v>108</v>
      </c>
      <c r="X4" t="s">
        <v>116</v>
      </c>
      <c r="Y4">
        <v>1</v>
      </c>
      <c r="Z4" t="s">
        <v>141</v>
      </c>
      <c r="AA4">
        <f>IF(טבלה1[[#This Row],[display_inner_resolution]]&gt;0,1,0)</f>
        <v>0</v>
      </c>
      <c r="AC4" t="s">
        <v>156</v>
      </c>
      <c r="AD4">
        <v>1440</v>
      </c>
      <c r="AE4" t="str" cm="1">
        <f t="array" ref="AE4">INDEX(_xlfn.TEXTSPLIT(טבלה1[[#This Row],[size]],"×"),2)</f>
        <v>58.6</v>
      </c>
      <c r="AF4" t="str" cm="1">
        <f t="array" ref="AF4">INDEX(_xlfn.TEXTSPLIT(טבלה1[[#This Row],[size]],"×"),1)</f>
        <v>123.8</v>
      </c>
      <c r="AG4" t="s">
        <v>174</v>
      </c>
      <c r="AH4">
        <f>VLOOKUP(A4,weight[],2,FALSE)</f>
        <v>112</v>
      </c>
      <c r="AI4" t="s">
        <v>201</v>
      </c>
      <c r="AJ4" t="s">
        <v>206</v>
      </c>
      <c r="AK4" t="s">
        <v>264</v>
      </c>
      <c r="AL4" t="s">
        <v>215</v>
      </c>
      <c r="AM4">
        <v>8</v>
      </c>
      <c r="AN4">
        <v>0</v>
      </c>
      <c r="AO4">
        <v>5</v>
      </c>
      <c r="AP4">
        <v>199</v>
      </c>
      <c r="AQ4">
        <v>299</v>
      </c>
      <c r="AR4" t="str">
        <f>VLOOKUP(A4,charge[],2,FALSE)</f>
        <v>Lightning Connector</v>
      </c>
      <c r="AS4">
        <f>טבלה1[[#This Row],[launch_price_usd.min]]*3.33</f>
        <v>662.67</v>
      </c>
      <c r="AT4">
        <f>טבלה1[[#This Row],[launch_price_usd.max]]*3.33</f>
        <v>995.67000000000007</v>
      </c>
      <c r="AU4" t="str">
        <f>VLOOKUP(A4,airplay[],3,FALSE)</f>
        <v>Audio &amp; video streaming supported, no screen mirroring</v>
      </c>
      <c r="AV4">
        <v>1</v>
      </c>
      <c r="AW4">
        <v>1</v>
      </c>
      <c r="AX4" t="s">
        <v>516</v>
      </c>
      <c r="AY4" t="s">
        <v>520</v>
      </c>
      <c r="AZ4">
        <v>1</v>
      </c>
      <c r="BA4">
        <f>SUM(טבלה1[[#This Row],[Power]:[Silent Switch]])</f>
        <v>4</v>
      </c>
      <c r="BB4">
        <v>1</v>
      </c>
      <c r="BC4">
        <v>1</v>
      </c>
      <c r="BD4">
        <v>1</v>
      </c>
      <c r="BE4">
        <v>1</v>
      </c>
      <c r="BF4">
        <f>VLOOKUP(A4,rate[],2,FALSE)</f>
        <v>72</v>
      </c>
      <c r="BG4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13998.501419729344</v>
      </c>
      <c r="BH4">
        <f t="shared" si="0"/>
        <v>23.55</v>
      </c>
    </row>
    <row r="5" spans="1:60" x14ac:dyDescent="0.15">
      <c r="A5" t="s">
        <v>27</v>
      </c>
      <c r="B5">
        <f>IF(ISNUMBER(SEARCH(טבלה1[[#Headers],[purple]], $P5)), 1, 0)</f>
        <v>0</v>
      </c>
      <c r="C5">
        <f>IF(ISNUMBER(SEARCH(טבלה1[[#Headers],[green]], $P5)), 1, 0)</f>
        <v>0</v>
      </c>
      <c r="D5">
        <f>IF(ISNUMBER(SEARCH(טבלה1[[#Headers],[coral]], $P5)), 1, 0)</f>
        <v>0</v>
      </c>
      <c r="E5">
        <f>IF(ISNUMBER(SEARCH(טבלה1[[#Headers],[blue]], $P5)), 1, 0)</f>
        <v>0</v>
      </c>
      <c r="F5">
        <f>IF(ISNUMBER(SEARCH(טבלה1[[#Headers],[yellow]], $P5)), 1, 0)</f>
        <v>0</v>
      </c>
      <c r="G5">
        <f>IF(ISNUMBER(SEARCH(טבלה1[[#Headers],[red]], $P5)), 1, 0)</f>
        <v>0</v>
      </c>
      <c r="H5">
        <f>IF(ISNUMBER(SEARCH(טבלה1[[#Headers],[jet black]], $P5)), 1, 0)</f>
        <v>0</v>
      </c>
      <c r="I5">
        <f>IF(ISNUMBER(SEARCH(טבלה1[[#Headers],[rose gold]], $P5)), 1, 0)</f>
        <v>0</v>
      </c>
      <c r="J5">
        <f>IF(ISNUMBER(SEARCH(טבלה1[[#Headers],[gold]], $P5)), 1, 0)</f>
        <v>1</v>
      </c>
      <c r="K5">
        <f>IF(ISNUMBER(SEARCH(טבלה1[[#Headers],[silver]], $P5)), 1, 0)</f>
        <v>1</v>
      </c>
      <c r="L5">
        <f>IF(ISNUMBER(SEARCH(טבלה1[[#Headers],[space gray]], $P5)), 1, 0)</f>
        <v>1</v>
      </c>
      <c r="M5">
        <f>IF(ISNUMBER(SEARCH(טבלה1[[#Headers],[white]], $P5)), 1, 0)</f>
        <v>0</v>
      </c>
      <c r="N5">
        <f>IF(ISNUMBER(SEARCH(טבלה1[[#Headers],[Black]], $P5)), 1, 0)</f>
        <v>0</v>
      </c>
      <c r="O5">
        <f>IF(ISNUMBER(SEARCH(טבלה1[[#Headers],[graphite]], $P5)), 1, 0)</f>
        <v>0</v>
      </c>
      <c r="P5" t="s">
        <v>61</v>
      </c>
      <c r="Q5">
        <v>1.2</v>
      </c>
      <c r="R5" s="3" t="str">
        <f>VLOOKUP(A5,camnum[],4,FALSE)</f>
        <v>1</v>
      </c>
      <c r="S5">
        <v>8</v>
      </c>
      <c r="T5" s="3" t="str" cm="1">
        <f t="array" ref="T5">INDEX(_xlfn.TEXTSPLIT(טבלה1[[#This Row],[size]],"×"),3)</f>
        <v>7.6</v>
      </c>
      <c r="U5" s="3" t="str">
        <f>TEXT(טבלה1[[#This Row],[release_date_first]], "yyyy-mm-dd")</f>
        <v>2013-09-20</v>
      </c>
      <c r="V5" s="8" t="s">
        <v>86</v>
      </c>
      <c r="W5" t="s">
        <v>109</v>
      </c>
      <c r="X5" t="s">
        <v>117</v>
      </c>
      <c r="Y5">
        <v>1</v>
      </c>
      <c r="Z5" t="s">
        <v>141</v>
      </c>
      <c r="AA5">
        <f>IF(טבלה1[[#This Row],[display_inner_resolution]]&gt;0,1,0)</f>
        <v>0</v>
      </c>
      <c r="AC5" t="s">
        <v>156</v>
      </c>
      <c r="AD5">
        <v>1560</v>
      </c>
      <c r="AE5" t="str" cm="1">
        <f t="array" ref="AE5">INDEX(_xlfn.TEXTSPLIT(טבלה1[[#This Row],[size]],"×"),2)</f>
        <v>58.6</v>
      </c>
      <c r="AF5" t="str" cm="1">
        <f t="array" ref="AF5">INDEX(_xlfn.TEXTSPLIT(טבלה1[[#This Row],[size]],"×"),1)</f>
        <v>123.8</v>
      </c>
      <c r="AG5" t="s">
        <v>174</v>
      </c>
      <c r="AH5">
        <f>VLOOKUP(A5,weight[],2,FALSE)</f>
        <v>112</v>
      </c>
      <c r="AI5" t="s">
        <v>201</v>
      </c>
      <c r="AJ5" t="s">
        <v>206</v>
      </c>
      <c r="AK5" t="s">
        <v>264</v>
      </c>
      <c r="AL5" t="s">
        <v>215</v>
      </c>
      <c r="AM5">
        <v>10</v>
      </c>
      <c r="AN5">
        <v>0</v>
      </c>
      <c r="AO5">
        <v>5</v>
      </c>
      <c r="AP5">
        <v>199</v>
      </c>
      <c r="AQ5">
        <v>299</v>
      </c>
      <c r="AR5" t="str">
        <f>VLOOKUP(A5,charge[],2,FALSE)</f>
        <v>Lightning Connector</v>
      </c>
      <c r="AS5">
        <f>טבלה1[[#This Row],[launch_price_usd.min]]*3.33</f>
        <v>662.67</v>
      </c>
      <c r="AT5">
        <f>טבלה1[[#This Row],[launch_price_usd.max]]*3.33</f>
        <v>995.67000000000007</v>
      </c>
      <c r="AU5" t="str">
        <f>VLOOKUP(A5,airplay[],3,FALSE)</f>
        <v>Audio &amp; video streaming supported, no screen mirroring</v>
      </c>
      <c r="AV5">
        <v>1</v>
      </c>
      <c r="AW5">
        <v>1</v>
      </c>
      <c r="AX5" t="s">
        <v>516</v>
      </c>
      <c r="AY5" t="s">
        <v>520</v>
      </c>
      <c r="AZ5">
        <v>1</v>
      </c>
      <c r="BA5">
        <f>SUM(טבלה1[[#This Row],[Power]:[Silent Switch]])</f>
        <v>4</v>
      </c>
      <c r="BB5">
        <v>1</v>
      </c>
      <c r="BC5">
        <v>1</v>
      </c>
      <c r="BD5">
        <v>1</v>
      </c>
      <c r="BE5">
        <v>1</v>
      </c>
      <c r="BF5">
        <f>VLOOKUP(A5,rate[],2,FALSE)</f>
        <v>85</v>
      </c>
      <c r="BG5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24979.438869392357</v>
      </c>
      <c r="BH5">
        <f t="shared" si="0"/>
        <v>24.97</v>
      </c>
    </row>
    <row r="6" spans="1:60" x14ac:dyDescent="0.15">
      <c r="A6" t="s">
        <v>28</v>
      </c>
      <c r="B6">
        <f>IF(ISNUMBER(SEARCH(טבלה1[[#Headers],[purple]], $P6)), 1, 0)</f>
        <v>0</v>
      </c>
      <c r="C6">
        <f>IF(ISNUMBER(SEARCH(טבלה1[[#Headers],[green]], $P6)), 1, 0)</f>
        <v>0</v>
      </c>
      <c r="D6">
        <f>IF(ISNUMBER(SEARCH(טבלה1[[#Headers],[coral]], $P6)), 1, 0)</f>
        <v>0</v>
      </c>
      <c r="E6">
        <f>IF(ISNUMBER(SEARCH(טבלה1[[#Headers],[blue]], $P6)), 1, 0)</f>
        <v>0</v>
      </c>
      <c r="F6">
        <f>IF(ISNUMBER(SEARCH(טבלה1[[#Headers],[yellow]], $P6)), 1, 0)</f>
        <v>0</v>
      </c>
      <c r="G6">
        <f>IF(ISNUMBER(SEARCH(טבלה1[[#Headers],[red]], $P6)), 1, 0)</f>
        <v>0</v>
      </c>
      <c r="H6">
        <f>IF(ISNUMBER(SEARCH(טבלה1[[#Headers],[jet black]], $P6)), 1, 0)</f>
        <v>0</v>
      </c>
      <c r="I6">
        <f>IF(ISNUMBER(SEARCH(טבלה1[[#Headers],[rose gold]], $P6)), 1, 0)</f>
        <v>0</v>
      </c>
      <c r="J6">
        <f>IF(ISNUMBER(SEARCH(טבלה1[[#Headers],[gold]], $P6)), 1, 0)</f>
        <v>1</v>
      </c>
      <c r="K6">
        <f>IF(ISNUMBER(SEARCH(טבלה1[[#Headers],[silver]], $P6)), 1, 0)</f>
        <v>1</v>
      </c>
      <c r="L6">
        <f>IF(ISNUMBER(SEARCH(טבלה1[[#Headers],[space gray]], $P6)), 1, 0)</f>
        <v>1</v>
      </c>
      <c r="M6">
        <f>IF(ISNUMBER(SEARCH(טבלה1[[#Headers],[white]], $P6)), 1, 0)</f>
        <v>0</v>
      </c>
      <c r="N6">
        <f>IF(ISNUMBER(SEARCH(טבלה1[[#Headers],[Black]], $P6)), 1, 0)</f>
        <v>0</v>
      </c>
      <c r="O6">
        <f>IF(ISNUMBER(SEARCH(טבלה1[[#Headers],[graphite]], $P6)), 1, 0)</f>
        <v>0</v>
      </c>
      <c r="P6" t="s">
        <v>61</v>
      </c>
      <c r="Q6">
        <v>1.2</v>
      </c>
      <c r="R6" s="3" t="str">
        <f>VLOOKUP(A6,camnum[],4,FALSE)</f>
        <v>1</v>
      </c>
      <c r="S6">
        <v>8</v>
      </c>
      <c r="T6" s="3" t="str" cm="1">
        <f t="array" ref="T6">INDEX(_xlfn.TEXTSPLIT(טבלה1[[#This Row],[size]],"×"),3)</f>
        <v>6.9</v>
      </c>
      <c r="U6" s="3" t="str">
        <f>TEXT(טבלה1[[#This Row],[release_date_first]], "yyyy-mm-dd")</f>
        <v>2014-09-19</v>
      </c>
      <c r="V6" s="8" t="s">
        <v>87</v>
      </c>
      <c r="W6" t="s">
        <v>109</v>
      </c>
      <c r="X6" t="s">
        <v>118</v>
      </c>
      <c r="Y6">
        <v>1</v>
      </c>
      <c r="Z6" t="s">
        <v>142</v>
      </c>
      <c r="AA6">
        <f>IF(טבלה1[[#This Row],[display_inner_resolution]]&gt;0,1,0)</f>
        <v>0</v>
      </c>
      <c r="AC6" t="s">
        <v>157</v>
      </c>
      <c r="AD6">
        <v>1810</v>
      </c>
      <c r="AE6" t="str" cm="1">
        <f t="array" ref="AE6">INDEX(_xlfn.TEXTSPLIT(טבלה1[[#This Row],[size]],"×"),2)</f>
        <v>67</v>
      </c>
      <c r="AF6" t="str" cm="1">
        <f t="array" ref="AF6">INDEX(_xlfn.TEXTSPLIT(טבלה1[[#This Row],[size]],"×"),1)</f>
        <v>138.1</v>
      </c>
      <c r="AG6" t="s">
        <v>175</v>
      </c>
      <c r="AH6">
        <f>VLOOKUP(A6,weight[],2,FALSE)</f>
        <v>129</v>
      </c>
      <c r="AI6" t="s">
        <v>201</v>
      </c>
      <c r="AJ6" t="s">
        <v>206</v>
      </c>
      <c r="AK6" t="s">
        <v>264</v>
      </c>
      <c r="AL6" t="s">
        <v>215</v>
      </c>
      <c r="AM6">
        <v>11</v>
      </c>
      <c r="AN6">
        <v>0</v>
      </c>
      <c r="AO6">
        <v>5</v>
      </c>
      <c r="AP6">
        <v>199</v>
      </c>
      <c r="AQ6">
        <v>299</v>
      </c>
      <c r="AR6" t="str">
        <f>VLOOKUP(A6,charge[],2,FALSE)</f>
        <v>Lightning Connector</v>
      </c>
      <c r="AS6">
        <f>טבלה1[[#This Row],[launch_price_usd.min]]*3.33</f>
        <v>662.67</v>
      </c>
      <c r="AT6">
        <f>טבלה1[[#This Row],[launch_price_usd.max]]*3.33</f>
        <v>995.67000000000007</v>
      </c>
      <c r="AU6" t="str">
        <f>VLOOKUP(A6,airplay[],3,FALSE)</f>
        <v>Audio &amp; video streaming supported, no screen mirroring</v>
      </c>
      <c r="AV6">
        <v>1</v>
      </c>
      <c r="AW6">
        <v>1</v>
      </c>
      <c r="AX6" t="s">
        <v>516</v>
      </c>
      <c r="AY6" t="s">
        <v>520</v>
      </c>
      <c r="AZ6">
        <v>1</v>
      </c>
      <c r="BA6">
        <f>SUM(טבלה1[[#This Row],[Power]:[Silent Switch]])</f>
        <v>4</v>
      </c>
      <c r="BB6">
        <v>1</v>
      </c>
      <c r="BC6">
        <v>1</v>
      </c>
      <c r="BD6">
        <v>1</v>
      </c>
      <c r="BE6">
        <v>1</v>
      </c>
      <c r="BF6">
        <f>VLOOKUP(A6,rate[],2,FALSE)</f>
        <v>78</v>
      </c>
      <c r="BG6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27330.547501899357</v>
      </c>
      <c r="BH6">
        <f t="shared" si="0"/>
        <v>25.2</v>
      </c>
    </row>
    <row r="7" spans="1:60" x14ac:dyDescent="0.15">
      <c r="A7" t="s">
        <v>29</v>
      </c>
      <c r="B7">
        <f>IF(ISNUMBER(SEARCH(טבלה1[[#Headers],[purple]], $P7)), 1, 0)</f>
        <v>0</v>
      </c>
      <c r="C7">
        <f>IF(ISNUMBER(SEARCH(טבלה1[[#Headers],[green]], $P7)), 1, 0)</f>
        <v>0</v>
      </c>
      <c r="D7">
        <f>IF(ISNUMBER(SEARCH(טבלה1[[#Headers],[coral]], $P7)), 1, 0)</f>
        <v>0</v>
      </c>
      <c r="E7">
        <f>IF(ISNUMBER(SEARCH(טבלה1[[#Headers],[blue]], $P7)), 1, 0)</f>
        <v>0</v>
      </c>
      <c r="F7">
        <f>IF(ISNUMBER(SEARCH(טבלה1[[#Headers],[yellow]], $P7)), 1, 0)</f>
        <v>0</v>
      </c>
      <c r="G7">
        <f>IF(ISNUMBER(SEARCH(טבלה1[[#Headers],[red]], $P7)), 1, 0)</f>
        <v>0</v>
      </c>
      <c r="H7">
        <f>IF(ISNUMBER(SEARCH(טבלה1[[#Headers],[jet black]], $P7)), 1, 0)</f>
        <v>0</v>
      </c>
      <c r="I7">
        <f>IF(ISNUMBER(SEARCH(טבלה1[[#Headers],[rose gold]], $P7)), 1, 0)</f>
        <v>0</v>
      </c>
      <c r="J7">
        <f>IF(ISNUMBER(SEARCH(טבלה1[[#Headers],[gold]], $P7)), 1, 0)</f>
        <v>1</v>
      </c>
      <c r="K7">
        <f>IF(ISNUMBER(SEARCH(טבלה1[[#Headers],[silver]], $P7)), 1, 0)</f>
        <v>1</v>
      </c>
      <c r="L7">
        <f>IF(ISNUMBER(SEARCH(טבלה1[[#Headers],[space gray]], $P7)), 1, 0)</f>
        <v>1</v>
      </c>
      <c r="M7">
        <f>IF(ISNUMBER(SEARCH(טבלה1[[#Headers],[white]], $P7)), 1, 0)</f>
        <v>0</v>
      </c>
      <c r="N7">
        <f>IF(ISNUMBER(SEARCH(טבלה1[[#Headers],[Black]], $P7)), 1, 0)</f>
        <v>0</v>
      </c>
      <c r="O7">
        <f>IF(ISNUMBER(SEARCH(טבלה1[[#Headers],[graphite]], $P7)), 1, 0)</f>
        <v>0</v>
      </c>
      <c r="P7" t="s">
        <v>61</v>
      </c>
      <c r="Q7">
        <v>1.2</v>
      </c>
      <c r="R7" s="3" t="str">
        <f>VLOOKUP(A7,camnum[],4,FALSE)</f>
        <v>1</v>
      </c>
      <c r="S7">
        <v>8</v>
      </c>
      <c r="T7" s="3" t="str" cm="1">
        <f t="array" ref="T7">INDEX(_xlfn.TEXTSPLIT(טבלה1[[#This Row],[size]],"×"),3)</f>
        <v>7.1</v>
      </c>
      <c r="U7" s="3" t="str">
        <f>TEXT(טבלה1[[#This Row],[release_date_first]], "yyyy-mm-dd")</f>
        <v>2014-09-19</v>
      </c>
      <c r="V7" s="8" t="s">
        <v>87</v>
      </c>
      <c r="W7" t="s">
        <v>109</v>
      </c>
      <c r="X7" t="s">
        <v>118</v>
      </c>
      <c r="Y7">
        <v>1</v>
      </c>
      <c r="Z7" t="s">
        <v>142</v>
      </c>
      <c r="AA7">
        <f>IF(טבלה1[[#This Row],[display_inner_resolution]]&gt;0,1,0)</f>
        <v>0</v>
      </c>
      <c r="AC7" t="s">
        <v>158</v>
      </c>
      <c r="AD7">
        <v>2915</v>
      </c>
      <c r="AE7" t="str" cm="1">
        <f t="array" ref="AE7">INDEX(_xlfn.TEXTSPLIT(טבלה1[[#This Row],[size]],"×"),2)</f>
        <v>77.8</v>
      </c>
      <c r="AF7" t="str" cm="1">
        <f t="array" ref="AF7">INDEX(_xlfn.TEXTSPLIT(טבלה1[[#This Row],[size]],"×"),1)</f>
        <v>158.1</v>
      </c>
      <c r="AG7" t="s">
        <v>176</v>
      </c>
      <c r="AH7">
        <f>VLOOKUP(A7,weight[],2,FALSE)</f>
        <v>172</v>
      </c>
      <c r="AI7" t="s">
        <v>201</v>
      </c>
      <c r="AJ7" t="s">
        <v>206</v>
      </c>
      <c r="AK7" t="s">
        <v>264</v>
      </c>
      <c r="AL7" t="s">
        <v>215</v>
      </c>
      <c r="AM7">
        <v>14</v>
      </c>
      <c r="AN7">
        <v>0</v>
      </c>
      <c r="AO7">
        <v>5</v>
      </c>
      <c r="AP7">
        <v>299</v>
      </c>
      <c r="AQ7">
        <v>399</v>
      </c>
      <c r="AR7" t="str">
        <f>VLOOKUP(A7,charge[],2,FALSE)</f>
        <v>Lightning Connector</v>
      </c>
      <c r="AS7">
        <f>טבלה1[[#This Row],[launch_price_usd.min]]*3.33</f>
        <v>995.67000000000007</v>
      </c>
      <c r="AT7">
        <f>טבלה1[[#This Row],[launch_price_usd.max]]*3.33</f>
        <v>1328.67</v>
      </c>
      <c r="AU7" t="str">
        <f>VLOOKUP(A7,airplay[],3,FALSE)</f>
        <v>Audio &amp; video streaming supported, no screen mirroring</v>
      </c>
      <c r="AV7">
        <v>1</v>
      </c>
      <c r="AW7">
        <v>1</v>
      </c>
      <c r="AX7" t="s">
        <v>516</v>
      </c>
      <c r="AY7" t="s">
        <v>520</v>
      </c>
      <c r="AZ7">
        <v>1</v>
      </c>
      <c r="BA7">
        <f>SUM(טבלה1[[#This Row],[Power]:[Silent Switch]])</f>
        <v>4</v>
      </c>
      <c r="BB7">
        <v>1</v>
      </c>
      <c r="BC7">
        <v>1</v>
      </c>
      <c r="BD7">
        <v>1</v>
      </c>
      <c r="BE7">
        <v>1</v>
      </c>
      <c r="BF7">
        <f>VLOOKUP(A7,rate[],2,FALSE)</f>
        <v>79</v>
      </c>
      <c r="BG7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55283.535552101857</v>
      </c>
      <c r="BH7">
        <f t="shared" si="0"/>
        <v>26.93</v>
      </c>
    </row>
    <row r="8" spans="1:60" x14ac:dyDescent="0.15">
      <c r="A8" t="s">
        <v>30</v>
      </c>
      <c r="B8">
        <f>IF(ISNUMBER(SEARCH(טבלה1[[#Headers],[purple]], $P8)), 1, 0)</f>
        <v>0</v>
      </c>
      <c r="C8">
        <f>IF(ISNUMBER(SEARCH(טבלה1[[#Headers],[green]], $P8)), 1, 0)</f>
        <v>0</v>
      </c>
      <c r="D8">
        <f>IF(ISNUMBER(SEARCH(טבלה1[[#Headers],[coral]], $P8)), 1, 0)</f>
        <v>0</v>
      </c>
      <c r="E8">
        <f>IF(ISNUMBER(SEARCH(טבלה1[[#Headers],[blue]], $P8)), 1, 0)</f>
        <v>0</v>
      </c>
      <c r="F8">
        <f>IF(ISNUMBER(SEARCH(טבלה1[[#Headers],[yellow]], $P8)), 1, 0)</f>
        <v>0</v>
      </c>
      <c r="G8">
        <f>IF(ISNUMBER(SEARCH(טבלה1[[#Headers],[red]], $P8)), 1, 0)</f>
        <v>0</v>
      </c>
      <c r="H8">
        <f>IF(ISNUMBER(SEARCH(טבלה1[[#Headers],[jet black]], $P8)), 1, 0)</f>
        <v>0</v>
      </c>
      <c r="I8">
        <f>IF(ISNUMBER(SEARCH(טבלה1[[#Headers],[rose gold]], $P8)), 1, 0)</f>
        <v>1</v>
      </c>
      <c r="J8">
        <f>IF(ISNUMBER(SEARCH(טבלה1[[#Headers],[gold]], $P8)), 1, 0)</f>
        <v>1</v>
      </c>
      <c r="K8">
        <f>IF(ISNUMBER(SEARCH(טבלה1[[#Headers],[silver]], $P8)), 1, 0)</f>
        <v>1</v>
      </c>
      <c r="L8">
        <f>IF(ISNUMBER(SEARCH(טבלה1[[#Headers],[space gray]], $P8)), 1, 0)</f>
        <v>1</v>
      </c>
      <c r="M8">
        <f>IF(ISNUMBER(SEARCH(טבלה1[[#Headers],[white]], $P8)), 1, 0)</f>
        <v>0</v>
      </c>
      <c r="N8">
        <f>IF(ISNUMBER(SEARCH(טבלה1[[#Headers],[Black]], $P8)), 1, 0)</f>
        <v>0</v>
      </c>
      <c r="O8">
        <f>IF(ISNUMBER(SEARCH(טבלה1[[#Headers],[graphite]], $P8)), 1, 0)</f>
        <v>0</v>
      </c>
      <c r="P8" t="s">
        <v>62</v>
      </c>
      <c r="Q8">
        <v>5</v>
      </c>
      <c r="R8" s="3" t="str">
        <f>VLOOKUP(A8,camnum[],4,FALSE)</f>
        <v>1</v>
      </c>
      <c r="S8">
        <v>12</v>
      </c>
      <c r="T8" s="3" t="str" cm="1">
        <f t="array" ref="T8">INDEX(_xlfn.TEXTSPLIT(טבלה1[[#This Row],[size]],"×"),3)</f>
        <v>7.1</v>
      </c>
      <c r="U8" s="3" t="str">
        <f>TEXT(טבלה1[[#This Row],[release_date_first]], "yyyy-mm-dd")</f>
        <v>2015-09-25</v>
      </c>
      <c r="V8" s="8" t="s">
        <v>88</v>
      </c>
      <c r="W8" t="s">
        <v>110</v>
      </c>
      <c r="X8" t="s">
        <v>119</v>
      </c>
      <c r="Y8">
        <v>2</v>
      </c>
      <c r="Z8" t="s">
        <v>142</v>
      </c>
      <c r="AA8">
        <f>IF(טבלה1[[#This Row],[display_inner_resolution]]&gt;0,1,0)</f>
        <v>0</v>
      </c>
      <c r="AC8" t="s">
        <v>157</v>
      </c>
      <c r="AD8">
        <v>1715</v>
      </c>
      <c r="AE8" t="str" cm="1">
        <f t="array" ref="AE8">INDEX(_xlfn.TEXTSPLIT(טבלה1[[#This Row],[size]],"×"),2)</f>
        <v>67.1</v>
      </c>
      <c r="AF8" t="str" cm="1">
        <f t="array" ref="AF8">INDEX(_xlfn.TEXTSPLIT(טבלה1[[#This Row],[size]],"×"),1)</f>
        <v>138.3</v>
      </c>
      <c r="AG8" t="s">
        <v>177</v>
      </c>
      <c r="AH8">
        <f>VLOOKUP(A8,weight[],2,FALSE)</f>
        <v>143</v>
      </c>
      <c r="AI8" t="s">
        <v>201</v>
      </c>
      <c r="AJ8" t="s">
        <v>206</v>
      </c>
      <c r="AK8" t="s">
        <v>264</v>
      </c>
      <c r="AL8" t="s">
        <v>216</v>
      </c>
      <c r="AM8">
        <v>11</v>
      </c>
      <c r="AN8">
        <v>0</v>
      </c>
      <c r="AO8">
        <v>5</v>
      </c>
      <c r="AP8">
        <v>199</v>
      </c>
      <c r="AQ8">
        <v>299</v>
      </c>
      <c r="AR8" t="str">
        <f>VLOOKUP(A8,charge[],2,FALSE)</f>
        <v>Lightning Connector</v>
      </c>
      <c r="AS8">
        <f>טבלה1[[#This Row],[launch_price_usd.min]]*3.33</f>
        <v>662.67</v>
      </c>
      <c r="AT8">
        <f>טבלה1[[#This Row],[launch_price_usd.max]]*3.33</f>
        <v>995.67000000000007</v>
      </c>
      <c r="AU8" t="str">
        <f>VLOOKUP(A8,airplay[],3,FALSE)</f>
        <v>Audio &amp; video streaming; limited mirroring</v>
      </c>
      <c r="AV8">
        <v>1</v>
      </c>
      <c r="AW8">
        <v>1</v>
      </c>
      <c r="AX8" t="s">
        <v>516</v>
      </c>
      <c r="AY8" t="s">
        <v>520</v>
      </c>
      <c r="AZ8">
        <v>1</v>
      </c>
      <c r="BA8">
        <f>SUM(טבלה1[[#This Row],[Power]:[Silent Switch]])</f>
        <v>4</v>
      </c>
      <c r="BB8">
        <v>1</v>
      </c>
      <c r="BC8">
        <v>1</v>
      </c>
      <c r="BD8">
        <v>1</v>
      </c>
      <c r="BE8">
        <v>1</v>
      </c>
      <c r="BF8">
        <f>VLOOKUP(A8,rate[],2,FALSE)</f>
        <v>80</v>
      </c>
      <c r="BG8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27739.207868477803</v>
      </c>
      <c r="BH8">
        <f t="shared" si="0"/>
        <v>25.23</v>
      </c>
    </row>
    <row r="9" spans="1:60" x14ac:dyDescent="0.15">
      <c r="A9" t="s">
        <v>31</v>
      </c>
      <c r="B9">
        <f>IF(ISNUMBER(SEARCH(טבלה1[[#Headers],[purple]], $P9)), 1, 0)</f>
        <v>0</v>
      </c>
      <c r="C9">
        <f>IF(ISNUMBER(SEARCH(טבלה1[[#Headers],[green]], $P9)), 1, 0)</f>
        <v>0</v>
      </c>
      <c r="D9">
        <f>IF(ISNUMBER(SEARCH(טבלה1[[#Headers],[coral]], $P9)), 1, 0)</f>
        <v>0</v>
      </c>
      <c r="E9">
        <f>IF(ISNUMBER(SEARCH(טבלה1[[#Headers],[blue]], $P9)), 1, 0)</f>
        <v>0</v>
      </c>
      <c r="F9">
        <f>IF(ISNUMBER(SEARCH(טבלה1[[#Headers],[yellow]], $P9)), 1, 0)</f>
        <v>0</v>
      </c>
      <c r="G9">
        <f>IF(ISNUMBER(SEARCH(טבלה1[[#Headers],[red]], $P9)), 1, 0)</f>
        <v>0</v>
      </c>
      <c r="H9">
        <f>IF(ISNUMBER(SEARCH(טבלה1[[#Headers],[jet black]], $P9)), 1, 0)</f>
        <v>0</v>
      </c>
      <c r="I9">
        <f>IF(ISNUMBER(SEARCH(טבלה1[[#Headers],[rose gold]], $P9)), 1, 0)</f>
        <v>1</v>
      </c>
      <c r="J9">
        <f>IF(ISNUMBER(SEARCH(טבלה1[[#Headers],[gold]], $P9)), 1, 0)</f>
        <v>1</v>
      </c>
      <c r="K9">
        <f>IF(ISNUMBER(SEARCH(טבלה1[[#Headers],[silver]], $P9)), 1, 0)</f>
        <v>1</v>
      </c>
      <c r="L9">
        <f>IF(ISNUMBER(SEARCH(טבלה1[[#Headers],[space gray]], $P9)), 1, 0)</f>
        <v>1</v>
      </c>
      <c r="M9">
        <f>IF(ISNUMBER(SEARCH(טבלה1[[#Headers],[white]], $P9)), 1, 0)</f>
        <v>0</v>
      </c>
      <c r="N9">
        <f>IF(ISNUMBER(SEARCH(טבלה1[[#Headers],[Black]], $P9)), 1, 0)</f>
        <v>0</v>
      </c>
      <c r="O9">
        <f>IF(ISNUMBER(SEARCH(טבלה1[[#Headers],[graphite]], $P9)), 1, 0)</f>
        <v>0</v>
      </c>
      <c r="P9" t="s">
        <v>62</v>
      </c>
      <c r="Q9">
        <v>5</v>
      </c>
      <c r="R9" s="3" t="str">
        <f>VLOOKUP(A9,camnum[],4,FALSE)</f>
        <v>1</v>
      </c>
      <c r="S9">
        <v>12</v>
      </c>
      <c r="T9" s="3" t="str" cm="1">
        <f t="array" ref="T9">INDEX(_xlfn.TEXTSPLIT(טבלה1[[#This Row],[size]],"×"),3)</f>
        <v>7.3</v>
      </c>
      <c r="U9" s="3" t="str">
        <f>TEXT(טבלה1[[#This Row],[release_date_first]], "yyyy-mm-dd")</f>
        <v>2015-09-25</v>
      </c>
      <c r="V9" s="8" t="s">
        <v>88</v>
      </c>
      <c r="W9" t="s">
        <v>110</v>
      </c>
      <c r="X9" t="s">
        <v>119</v>
      </c>
      <c r="Y9">
        <v>2</v>
      </c>
      <c r="Z9" t="s">
        <v>142</v>
      </c>
      <c r="AA9">
        <f>IF(טבלה1[[#This Row],[display_inner_resolution]]&gt;0,1,0)</f>
        <v>0</v>
      </c>
      <c r="AC9" t="s">
        <v>158</v>
      </c>
      <c r="AD9">
        <v>2750</v>
      </c>
      <c r="AE9" t="str" cm="1">
        <f t="array" ref="AE9">INDEX(_xlfn.TEXTSPLIT(טבלה1[[#This Row],[size]],"×"),2)</f>
        <v>77.9</v>
      </c>
      <c r="AF9" t="str" cm="1">
        <f t="array" ref="AF9">INDEX(_xlfn.TEXTSPLIT(טבלה1[[#This Row],[size]],"×"),1)</f>
        <v>158.2</v>
      </c>
      <c r="AG9" t="s">
        <v>178</v>
      </c>
      <c r="AH9">
        <f>VLOOKUP(A9,weight[],2,FALSE)</f>
        <v>192</v>
      </c>
      <c r="AI9" t="s">
        <v>201</v>
      </c>
      <c r="AJ9" t="s">
        <v>206</v>
      </c>
      <c r="AK9" t="s">
        <v>264</v>
      </c>
      <c r="AL9" t="s">
        <v>216</v>
      </c>
      <c r="AM9">
        <v>14</v>
      </c>
      <c r="AN9">
        <v>0</v>
      </c>
      <c r="AO9">
        <v>5</v>
      </c>
      <c r="AP9">
        <v>299</v>
      </c>
      <c r="AQ9">
        <v>399</v>
      </c>
      <c r="AR9" t="str">
        <f>VLOOKUP(A9,charge[],2,FALSE)</f>
        <v>Lightning Connector</v>
      </c>
      <c r="AS9">
        <f>טבלה1[[#This Row],[launch_price_usd.min]]*3.33</f>
        <v>995.67000000000007</v>
      </c>
      <c r="AT9">
        <f>טבלה1[[#This Row],[launch_price_usd.max]]*3.33</f>
        <v>1328.67</v>
      </c>
      <c r="AU9" t="str">
        <f>VLOOKUP(A9,airplay[],3,FALSE)</f>
        <v>Audio &amp; video streaming; limited mirroring</v>
      </c>
      <c r="AV9">
        <v>1</v>
      </c>
      <c r="AW9">
        <v>1</v>
      </c>
      <c r="AX9" t="s">
        <v>516</v>
      </c>
      <c r="AY9" t="s">
        <v>520</v>
      </c>
      <c r="AZ9">
        <v>1</v>
      </c>
      <c r="BA9">
        <f>SUM(טבלה1[[#This Row],[Power]:[Silent Switch]])</f>
        <v>4</v>
      </c>
      <c r="BB9">
        <v>1</v>
      </c>
      <c r="BC9">
        <v>1</v>
      </c>
      <c r="BD9">
        <v>1</v>
      </c>
      <c r="BE9">
        <v>1</v>
      </c>
      <c r="BF9">
        <f>VLOOKUP(A9,rate[],2,FALSE)</f>
        <v>81</v>
      </c>
      <c r="BG9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55596.194823744772</v>
      </c>
      <c r="BH9">
        <f t="shared" si="0"/>
        <v>26.95</v>
      </c>
    </row>
    <row r="10" spans="1:60" x14ac:dyDescent="0.15">
      <c r="A10" t="s">
        <v>32</v>
      </c>
      <c r="B10">
        <f>IF(ISNUMBER(SEARCH(טבלה1[[#Headers],[purple]], $P10)), 1, 0)</f>
        <v>0</v>
      </c>
      <c r="C10">
        <f>IF(ISNUMBER(SEARCH(טבלה1[[#Headers],[green]], $P10)), 1, 0)</f>
        <v>0</v>
      </c>
      <c r="D10">
        <f>IF(ISNUMBER(SEARCH(טבלה1[[#Headers],[coral]], $P10)), 1, 0)</f>
        <v>0</v>
      </c>
      <c r="E10">
        <f>IF(ISNUMBER(SEARCH(טבלה1[[#Headers],[blue]], $P10)), 1, 0)</f>
        <v>0</v>
      </c>
      <c r="F10">
        <f>IF(ISNUMBER(SEARCH(טבלה1[[#Headers],[yellow]], $P10)), 1, 0)</f>
        <v>0</v>
      </c>
      <c r="G10">
        <f>IF(ISNUMBER(SEARCH(טבלה1[[#Headers],[red]], $P10)), 1, 0)</f>
        <v>1</v>
      </c>
      <c r="H10">
        <f>IF(ISNUMBER(SEARCH(טבלה1[[#Headers],[jet black]], $P10)), 1, 0)</f>
        <v>1</v>
      </c>
      <c r="I10">
        <f>IF(ISNUMBER(SEARCH(טבלה1[[#Headers],[rose gold]], $P10)), 1, 0)</f>
        <v>1</v>
      </c>
      <c r="J10">
        <f>IF(ISNUMBER(SEARCH(טבלה1[[#Headers],[gold]], $P10)), 1, 0)</f>
        <v>1</v>
      </c>
      <c r="K10">
        <f>IF(ISNUMBER(SEARCH(טבלה1[[#Headers],[silver]], $P10)), 1, 0)</f>
        <v>1</v>
      </c>
      <c r="L10">
        <f>IF(ISNUMBER(SEARCH(טבלה1[[#Headers],[space gray]], $P10)), 1, 0)</f>
        <v>0</v>
      </c>
      <c r="M10">
        <f>IF(ISNUMBER(SEARCH(טבלה1[[#Headers],[white]], $P10)), 1, 0)</f>
        <v>0</v>
      </c>
      <c r="N10">
        <f>IF(ISNUMBER(SEARCH(טבלה1[[#Headers],[Black]], $P10)), 1, 0)</f>
        <v>1</v>
      </c>
      <c r="O10">
        <f>IF(ISNUMBER(SEARCH(טבלה1[[#Headers],[graphite]], $P10)), 1, 0)</f>
        <v>0</v>
      </c>
      <c r="P10" t="s">
        <v>63</v>
      </c>
      <c r="Q10">
        <v>7</v>
      </c>
      <c r="R10" s="3" t="str">
        <f>VLOOKUP(A10,camnum[],4,FALSE)</f>
        <v>1</v>
      </c>
      <c r="S10">
        <v>12</v>
      </c>
      <c r="T10" s="3" t="str" cm="1">
        <f t="array" ref="T10">INDEX(_xlfn.TEXTSPLIT(טבלה1[[#This Row],[size]],"×"),3)</f>
        <v>7.1</v>
      </c>
      <c r="U10" s="3" t="str">
        <f>TEXT(טבלה1[[#This Row],[release_date_first]], "yyyy-mm-dd")</f>
        <v>2016-09-16</v>
      </c>
      <c r="V10" s="8" t="s">
        <v>89</v>
      </c>
      <c r="W10" t="s">
        <v>110</v>
      </c>
      <c r="X10" t="s">
        <v>120</v>
      </c>
      <c r="Y10">
        <v>2</v>
      </c>
      <c r="Z10" t="s">
        <v>143</v>
      </c>
      <c r="AA10">
        <f>IF(טבלה1[[#This Row],[display_inner_resolution]]&gt;0,1,0)</f>
        <v>0</v>
      </c>
      <c r="AC10" t="s">
        <v>157</v>
      </c>
      <c r="AD10">
        <v>1960</v>
      </c>
      <c r="AE10" t="str" cm="1">
        <f t="array" ref="AE10">INDEX(_xlfn.TEXTSPLIT(טבלה1[[#This Row],[size]],"×"),2)</f>
        <v>67.1</v>
      </c>
      <c r="AF10" t="str" cm="1">
        <f t="array" ref="AF10">INDEX(_xlfn.TEXTSPLIT(טבלה1[[#This Row],[size]],"×"),1)</f>
        <v>138.3</v>
      </c>
      <c r="AG10" t="s">
        <v>177</v>
      </c>
      <c r="AH10">
        <f>VLOOKUP(A10,weight[],2,FALSE)</f>
        <v>138</v>
      </c>
      <c r="AI10" t="s">
        <v>201</v>
      </c>
      <c r="AJ10" t="s">
        <v>206</v>
      </c>
      <c r="AK10" t="s">
        <v>264</v>
      </c>
      <c r="AL10" t="s">
        <v>216</v>
      </c>
      <c r="AM10">
        <v>13</v>
      </c>
      <c r="AN10">
        <v>1</v>
      </c>
      <c r="AO10">
        <v>5</v>
      </c>
      <c r="AP10">
        <v>329</v>
      </c>
      <c r="AQ10">
        <v>449</v>
      </c>
      <c r="AR10" t="str">
        <f>VLOOKUP(A10,charge[],2,FALSE)</f>
        <v>Lightning Connector</v>
      </c>
      <c r="AS10">
        <f>טבלה1[[#This Row],[launch_price_usd.min]]*3.33</f>
        <v>1095.57</v>
      </c>
      <c r="AT10">
        <f>טבלה1[[#This Row],[launch_price_usd.max]]*3.33</f>
        <v>1495.17</v>
      </c>
      <c r="AU10" t="str">
        <f>VLOOKUP(A10,airplay[],3,FALSE)</f>
        <v>Full AirPlay support</v>
      </c>
      <c r="AV10">
        <v>1</v>
      </c>
      <c r="AW10">
        <v>1</v>
      </c>
      <c r="AX10" t="s">
        <v>516</v>
      </c>
      <c r="AY10" t="s">
        <v>520</v>
      </c>
      <c r="AZ10">
        <v>0</v>
      </c>
      <c r="BA10">
        <f>SUM(טבלה1[[#This Row],[Power]:[Silent Switch]])</f>
        <v>3</v>
      </c>
      <c r="BB10">
        <v>1</v>
      </c>
      <c r="BC10">
        <v>1</v>
      </c>
      <c r="BD10">
        <v>1</v>
      </c>
      <c r="BE10">
        <v>0</v>
      </c>
      <c r="BF10">
        <f>VLOOKUP(A10,rate[],2,FALSE)</f>
        <v>82</v>
      </c>
      <c r="BG10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875085.22510165558</v>
      </c>
      <c r="BH10">
        <f t="shared" si="0"/>
        <v>33.74</v>
      </c>
    </row>
    <row r="11" spans="1:60" x14ac:dyDescent="0.15">
      <c r="A11" t="s">
        <v>33</v>
      </c>
      <c r="B11">
        <f>IF(ISNUMBER(SEARCH(טבלה1[[#Headers],[purple]], $P11)), 1, 0)</f>
        <v>0</v>
      </c>
      <c r="C11">
        <f>IF(ISNUMBER(SEARCH(טבלה1[[#Headers],[green]], $P11)), 1, 0)</f>
        <v>0</v>
      </c>
      <c r="D11">
        <f>IF(ISNUMBER(SEARCH(טבלה1[[#Headers],[coral]], $P11)), 1, 0)</f>
        <v>0</v>
      </c>
      <c r="E11">
        <f>IF(ISNUMBER(SEARCH(טבלה1[[#Headers],[blue]], $P11)), 1, 0)</f>
        <v>0</v>
      </c>
      <c r="F11">
        <f>IF(ISNUMBER(SEARCH(טבלה1[[#Headers],[yellow]], $P11)), 1, 0)</f>
        <v>0</v>
      </c>
      <c r="G11">
        <f>IF(ISNUMBER(SEARCH(טבלה1[[#Headers],[red]], $P11)), 1, 0)</f>
        <v>1</v>
      </c>
      <c r="H11">
        <f>IF(ISNUMBER(SEARCH(טבלה1[[#Headers],[jet black]], $P11)), 1, 0)</f>
        <v>1</v>
      </c>
      <c r="I11">
        <f>IF(ISNUMBER(SEARCH(טבלה1[[#Headers],[rose gold]], $P11)), 1, 0)</f>
        <v>1</v>
      </c>
      <c r="J11">
        <f>IF(ISNUMBER(SEARCH(טבלה1[[#Headers],[gold]], $P11)), 1, 0)</f>
        <v>1</v>
      </c>
      <c r="K11">
        <f>IF(ISNUMBER(SEARCH(טבלה1[[#Headers],[silver]], $P11)), 1, 0)</f>
        <v>1</v>
      </c>
      <c r="L11">
        <f>IF(ISNUMBER(SEARCH(טבלה1[[#Headers],[space gray]], $P11)), 1, 0)</f>
        <v>0</v>
      </c>
      <c r="M11">
        <f>IF(ISNUMBER(SEARCH(טבלה1[[#Headers],[white]], $P11)), 1, 0)</f>
        <v>0</v>
      </c>
      <c r="N11">
        <f>IF(ISNUMBER(SEARCH(טבלה1[[#Headers],[Black]], $P11)), 1, 0)</f>
        <v>1</v>
      </c>
      <c r="O11">
        <f>IF(ISNUMBER(SEARCH(טבלה1[[#Headers],[graphite]], $P11)), 1, 0)</f>
        <v>0</v>
      </c>
      <c r="P11" t="s">
        <v>63</v>
      </c>
      <c r="Q11">
        <v>7</v>
      </c>
      <c r="R11" s="3" t="str">
        <f>VLOOKUP(A11,camnum[],4,FALSE)</f>
        <v>2</v>
      </c>
      <c r="S11">
        <v>12</v>
      </c>
      <c r="T11" s="3" t="str" cm="1">
        <f t="array" ref="T11">INDEX(_xlfn.TEXTSPLIT(טבלה1[[#This Row],[size]],"×"),3)</f>
        <v>7.3</v>
      </c>
      <c r="U11" s="3" t="str">
        <f>TEXT(טבלה1[[#This Row],[release_date_first]], "yyyy-mm-dd")</f>
        <v>2016-09-16</v>
      </c>
      <c r="V11" s="8" t="s">
        <v>89</v>
      </c>
      <c r="W11" t="s">
        <v>110</v>
      </c>
      <c r="X11" t="s">
        <v>120</v>
      </c>
      <c r="Y11">
        <v>3</v>
      </c>
      <c r="Z11" t="s">
        <v>143</v>
      </c>
      <c r="AA11">
        <f>IF(טבלה1[[#This Row],[display_inner_resolution]]&gt;0,1,0)</f>
        <v>0</v>
      </c>
      <c r="AC11" t="s">
        <v>158</v>
      </c>
      <c r="AD11">
        <v>2900</v>
      </c>
      <c r="AE11" t="str" cm="1">
        <f t="array" ref="AE11">INDEX(_xlfn.TEXTSPLIT(טבלה1[[#This Row],[size]],"×"),2)</f>
        <v>77.9</v>
      </c>
      <c r="AF11" t="str" cm="1">
        <f t="array" ref="AF11">INDEX(_xlfn.TEXTSPLIT(טבלה1[[#This Row],[size]],"×"),1)</f>
        <v>158.2</v>
      </c>
      <c r="AG11" t="s">
        <v>178</v>
      </c>
      <c r="AH11">
        <f>VLOOKUP(A11,weight[],2,FALSE)</f>
        <v>188</v>
      </c>
      <c r="AI11" t="s">
        <v>201</v>
      </c>
      <c r="AJ11" t="s">
        <v>206</v>
      </c>
      <c r="AK11" t="s">
        <v>264</v>
      </c>
      <c r="AL11" t="s">
        <v>216</v>
      </c>
      <c r="AM11">
        <v>14</v>
      </c>
      <c r="AN11">
        <v>1</v>
      </c>
      <c r="AO11">
        <v>5</v>
      </c>
      <c r="AP11">
        <v>429</v>
      </c>
      <c r="AQ11">
        <v>549</v>
      </c>
      <c r="AR11" t="str">
        <f>VLOOKUP(A11,charge[],2,FALSE)</f>
        <v>Lightning Connector</v>
      </c>
      <c r="AS11">
        <f>טבלה1[[#This Row],[launch_price_usd.min]]*3.33</f>
        <v>1428.57</v>
      </c>
      <c r="AT11">
        <f>טבלה1[[#This Row],[launch_price_usd.max]]*3.33</f>
        <v>1828.17</v>
      </c>
      <c r="AU11" t="str">
        <f>VLOOKUP(A11,airplay[],3,FALSE)</f>
        <v>Full AirPlay support</v>
      </c>
      <c r="AV11">
        <v>1</v>
      </c>
      <c r="AW11">
        <v>1</v>
      </c>
      <c r="AX11" t="s">
        <v>516</v>
      </c>
      <c r="AY11" t="s">
        <v>520</v>
      </c>
      <c r="AZ11">
        <v>0</v>
      </c>
      <c r="BA11">
        <f>SUM(טבלה1[[#This Row],[Power]:[Silent Switch]])</f>
        <v>3</v>
      </c>
      <c r="BB11">
        <v>1</v>
      </c>
      <c r="BC11">
        <v>1</v>
      </c>
      <c r="BD11">
        <v>1</v>
      </c>
      <c r="BE11">
        <v>0</v>
      </c>
      <c r="BF11">
        <f>VLOOKUP(A11,rate[],2,FALSE)</f>
        <v>83</v>
      </c>
      <c r="BG11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1329072.4522894511</v>
      </c>
      <c r="BH11">
        <f t="shared" si="0"/>
        <v>34.770000000000003</v>
      </c>
    </row>
    <row r="12" spans="1:60" x14ac:dyDescent="0.15">
      <c r="A12" t="s">
        <v>34</v>
      </c>
      <c r="B12">
        <f>IF(ISNUMBER(SEARCH(טבלה1[[#Headers],[purple]], $P12)), 1, 0)</f>
        <v>0</v>
      </c>
      <c r="C12">
        <f>IF(ISNUMBER(SEARCH(טבלה1[[#Headers],[green]], $P12)), 1, 0)</f>
        <v>0</v>
      </c>
      <c r="D12">
        <f>IF(ISNUMBER(SEARCH(טבלה1[[#Headers],[coral]], $P12)), 1, 0)</f>
        <v>0</v>
      </c>
      <c r="E12">
        <f>IF(ISNUMBER(SEARCH(טבלה1[[#Headers],[blue]], $P12)), 1, 0)</f>
        <v>0</v>
      </c>
      <c r="F12">
        <f>IF(ISNUMBER(SEARCH(טבלה1[[#Headers],[yellow]], $P12)), 1, 0)</f>
        <v>0</v>
      </c>
      <c r="G12">
        <f>IF(ISNUMBER(SEARCH(טבלה1[[#Headers],[red]], $P12)), 1, 0)</f>
        <v>1</v>
      </c>
      <c r="H12">
        <f>IF(ISNUMBER(SEARCH(טבלה1[[#Headers],[jet black]], $P12)), 1, 0)</f>
        <v>0</v>
      </c>
      <c r="I12">
        <f>IF(ISNUMBER(SEARCH(טבלה1[[#Headers],[rose gold]], $P12)), 1, 0)</f>
        <v>0</v>
      </c>
      <c r="J12">
        <f>IF(ISNUMBER(SEARCH(טבלה1[[#Headers],[gold]], $P12)), 1, 0)</f>
        <v>1</v>
      </c>
      <c r="K12">
        <f>IF(ISNUMBER(SEARCH(טבלה1[[#Headers],[silver]], $P12)), 1, 0)</f>
        <v>1</v>
      </c>
      <c r="L12">
        <f>IF(ISNUMBER(SEARCH(טבלה1[[#Headers],[space gray]], $P12)), 1, 0)</f>
        <v>1</v>
      </c>
      <c r="M12">
        <f>IF(ISNUMBER(SEARCH(טבלה1[[#Headers],[white]], $P12)), 1, 0)</f>
        <v>0</v>
      </c>
      <c r="N12">
        <f>IF(ISNUMBER(SEARCH(טבלה1[[#Headers],[Black]], $P12)), 1, 0)</f>
        <v>0</v>
      </c>
      <c r="O12">
        <f>IF(ISNUMBER(SEARCH(טבלה1[[#Headers],[graphite]], $P12)), 1, 0)</f>
        <v>0</v>
      </c>
      <c r="P12" t="s">
        <v>64</v>
      </c>
      <c r="Q12">
        <v>7</v>
      </c>
      <c r="R12" s="3" t="str">
        <f>VLOOKUP(A12,camnum[],4,FALSE)</f>
        <v>1</v>
      </c>
      <c r="S12">
        <v>12</v>
      </c>
      <c r="T12" s="3" t="str" cm="1">
        <f t="array" ref="T12">INDEX(_xlfn.TEXTSPLIT(טבלה1[[#This Row],[size]],"×"),3)</f>
        <v>7.3</v>
      </c>
      <c r="U12" s="3" t="str">
        <f>TEXT(טבלה1[[#This Row],[release_date_first]], "yyyy-mm-dd")</f>
        <v>2017-09-22</v>
      </c>
      <c r="V12" s="8" t="s">
        <v>90</v>
      </c>
      <c r="W12" t="s">
        <v>111</v>
      </c>
      <c r="X12" t="s">
        <v>121</v>
      </c>
      <c r="Y12">
        <v>2</v>
      </c>
      <c r="Z12" t="s">
        <v>144</v>
      </c>
      <c r="AA12">
        <f>IF(טבלה1[[#This Row],[display_inner_resolution]]&gt;0,1,0)</f>
        <v>0</v>
      </c>
      <c r="AC12" t="s">
        <v>157</v>
      </c>
      <c r="AD12">
        <v>1821</v>
      </c>
      <c r="AE12" t="str" cm="1">
        <f t="array" ref="AE12">INDEX(_xlfn.TEXTSPLIT(טבלה1[[#This Row],[size]],"×"),2)</f>
        <v>67.3</v>
      </c>
      <c r="AF12" t="str" cm="1">
        <f t="array" ref="AF12">INDEX(_xlfn.TEXTSPLIT(טבלה1[[#This Row],[size]],"×"),1)</f>
        <v>138.4</v>
      </c>
      <c r="AG12" t="s">
        <v>179</v>
      </c>
      <c r="AH12">
        <f>VLOOKUP(A12,weight[],2,FALSE)</f>
        <v>148</v>
      </c>
      <c r="AI12" t="s">
        <v>201</v>
      </c>
      <c r="AJ12" t="s">
        <v>206</v>
      </c>
      <c r="AK12" t="s">
        <v>209</v>
      </c>
      <c r="AL12" t="s">
        <v>217</v>
      </c>
      <c r="AM12">
        <v>13</v>
      </c>
      <c r="AN12">
        <v>1</v>
      </c>
      <c r="AO12">
        <v>18</v>
      </c>
      <c r="AP12">
        <v>349</v>
      </c>
      <c r="AQ12">
        <v>449</v>
      </c>
      <c r="AR12" t="str">
        <f>VLOOKUP(A12,charge[],2,FALSE)</f>
        <v>Lightning Connector</v>
      </c>
      <c r="AS12">
        <f>טבלה1[[#This Row],[launch_price_usd.min]]*3.33</f>
        <v>1162.17</v>
      </c>
      <c r="AT12">
        <f>טבלה1[[#This Row],[launch_price_usd.max]]*3.33</f>
        <v>1495.17</v>
      </c>
      <c r="AU12" t="str">
        <f>VLOOKUP(A12,airplay[],3,FALSE)</f>
        <v>Full AirPlay support</v>
      </c>
      <c r="AV12">
        <v>1</v>
      </c>
      <c r="AW12">
        <v>1</v>
      </c>
      <c r="AX12" t="s">
        <v>516</v>
      </c>
      <c r="AY12" t="s">
        <v>520</v>
      </c>
      <c r="AZ12">
        <v>0</v>
      </c>
      <c r="BA12">
        <f>SUM(טבלה1[[#This Row],[Power]:[Silent Switch]])</f>
        <v>3</v>
      </c>
      <c r="BB12">
        <v>1</v>
      </c>
      <c r="BC12">
        <v>1</v>
      </c>
      <c r="BD12">
        <v>1</v>
      </c>
      <c r="BE12">
        <v>0</v>
      </c>
      <c r="BF12">
        <f>VLOOKUP(A12,rate[],2,FALSE)</f>
        <v>84</v>
      </c>
      <c r="BG12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66964529.841518737</v>
      </c>
      <c r="BH12">
        <f t="shared" si="0"/>
        <v>44.44</v>
      </c>
    </row>
    <row r="13" spans="1:60" x14ac:dyDescent="0.15">
      <c r="A13" t="s">
        <v>35</v>
      </c>
      <c r="B13">
        <f>IF(ISNUMBER(SEARCH(טבלה1[[#Headers],[purple]], $P13)), 1, 0)</f>
        <v>0</v>
      </c>
      <c r="C13">
        <f>IF(ISNUMBER(SEARCH(טבלה1[[#Headers],[green]], $P13)), 1, 0)</f>
        <v>0</v>
      </c>
      <c r="D13">
        <f>IF(ISNUMBER(SEARCH(טבלה1[[#Headers],[coral]], $P13)), 1, 0)</f>
        <v>0</v>
      </c>
      <c r="E13">
        <f>IF(ISNUMBER(SEARCH(טבלה1[[#Headers],[blue]], $P13)), 1, 0)</f>
        <v>0</v>
      </c>
      <c r="F13">
        <f>IF(ISNUMBER(SEARCH(טבלה1[[#Headers],[yellow]], $P13)), 1, 0)</f>
        <v>0</v>
      </c>
      <c r="G13">
        <f>IF(ISNUMBER(SEARCH(טבלה1[[#Headers],[red]], $P13)), 1, 0)</f>
        <v>1</v>
      </c>
      <c r="H13">
        <f>IF(ISNUMBER(SEARCH(טבלה1[[#Headers],[jet black]], $P13)), 1, 0)</f>
        <v>0</v>
      </c>
      <c r="I13">
        <f>IF(ISNUMBER(SEARCH(טבלה1[[#Headers],[rose gold]], $P13)), 1, 0)</f>
        <v>0</v>
      </c>
      <c r="J13">
        <f>IF(ISNUMBER(SEARCH(טבלה1[[#Headers],[gold]], $P13)), 1, 0)</f>
        <v>1</v>
      </c>
      <c r="K13">
        <f>IF(ISNUMBER(SEARCH(טבלה1[[#Headers],[silver]], $P13)), 1, 0)</f>
        <v>1</v>
      </c>
      <c r="L13">
        <f>IF(ISNUMBER(SEARCH(טבלה1[[#Headers],[space gray]], $P13)), 1, 0)</f>
        <v>1</v>
      </c>
      <c r="M13">
        <f>IF(ISNUMBER(SEARCH(טבלה1[[#Headers],[white]], $P13)), 1, 0)</f>
        <v>0</v>
      </c>
      <c r="N13">
        <f>IF(ISNUMBER(SEARCH(טבלה1[[#Headers],[Black]], $P13)), 1, 0)</f>
        <v>0</v>
      </c>
      <c r="O13">
        <f>IF(ISNUMBER(SEARCH(טבלה1[[#Headers],[graphite]], $P13)), 1, 0)</f>
        <v>0</v>
      </c>
      <c r="P13" t="s">
        <v>64</v>
      </c>
      <c r="Q13">
        <v>7</v>
      </c>
      <c r="R13" s="3" t="str">
        <f>VLOOKUP(A13,camnum[],4,FALSE)</f>
        <v>2</v>
      </c>
      <c r="S13">
        <v>12</v>
      </c>
      <c r="T13" s="3" t="str" cm="1">
        <f t="array" ref="T13">INDEX(_xlfn.TEXTSPLIT(טבלה1[[#This Row],[size]],"×"),3)</f>
        <v>7.5</v>
      </c>
      <c r="U13" s="3" t="str">
        <f>TEXT(טבלה1[[#This Row],[release_date_first]], "yyyy-mm-dd")</f>
        <v>2017-09-22</v>
      </c>
      <c r="V13" s="8" t="s">
        <v>90</v>
      </c>
      <c r="W13" t="s">
        <v>111</v>
      </c>
      <c r="X13" t="s">
        <v>121</v>
      </c>
      <c r="Y13">
        <v>3</v>
      </c>
      <c r="Z13" t="s">
        <v>144</v>
      </c>
      <c r="AA13">
        <f>IF(טבלה1[[#This Row],[display_inner_resolution]]&gt;0,1,0)</f>
        <v>0</v>
      </c>
      <c r="AC13" t="s">
        <v>158</v>
      </c>
      <c r="AD13">
        <v>2691</v>
      </c>
      <c r="AE13" t="str" cm="1">
        <f t="array" ref="AE13">INDEX(_xlfn.TEXTSPLIT(טבלה1[[#This Row],[size]],"×"),2)</f>
        <v>78.1</v>
      </c>
      <c r="AF13" t="str" cm="1">
        <f t="array" ref="AF13">INDEX(_xlfn.TEXTSPLIT(טבלה1[[#This Row],[size]],"×"),1)</f>
        <v>158.4</v>
      </c>
      <c r="AG13" t="s">
        <v>180</v>
      </c>
      <c r="AH13">
        <f>VLOOKUP(A13,weight[],2,FALSE)</f>
        <v>202</v>
      </c>
      <c r="AI13" t="s">
        <v>201</v>
      </c>
      <c r="AJ13" t="s">
        <v>206</v>
      </c>
      <c r="AK13" t="s">
        <v>209</v>
      </c>
      <c r="AL13" t="s">
        <v>217</v>
      </c>
      <c r="AM13">
        <v>14</v>
      </c>
      <c r="AN13">
        <v>1</v>
      </c>
      <c r="AO13">
        <v>18</v>
      </c>
      <c r="AP13">
        <v>449</v>
      </c>
      <c r="AQ13">
        <v>549</v>
      </c>
      <c r="AR13" t="str">
        <f>VLOOKUP(A13,charge[],2,FALSE)</f>
        <v>Lightning Connector</v>
      </c>
      <c r="AS13">
        <f>טבלה1[[#This Row],[launch_price_usd.min]]*3.33</f>
        <v>1495.17</v>
      </c>
      <c r="AT13">
        <f>טבלה1[[#This Row],[launch_price_usd.max]]*3.33</f>
        <v>1828.17</v>
      </c>
      <c r="AU13" t="str">
        <f>VLOOKUP(A13,airplay[],3,FALSE)</f>
        <v>Full AirPlay support</v>
      </c>
      <c r="AV13">
        <v>1</v>
      </c>
      <c r="AW13">
        <v>1</v>
      </c>
      <c r="AX13" t="s">
        <v>516</v>
      </c>
      <c r="AY13" t="s">
        <v>520</v>
      </c>
      <c r="AZ13">
        <v>0</v>
      </c>
      <c r="BA13">
        <f>SUM(טבלה1[[#This Row],[Power]:[Silent Switch]])</f>
        <v>3</v>
      </c>
      <c r="BB13">
        <v>1</v>
      </c>
      <c r="BC13">
        <v>1</v>
      </c>
      <c r="BD13">
        <v>1</v>
      </c>
      <c r="BE13">
        <v>0</v>
      </c>
      <c r="BF13">
        <f>VLOOKUP(A13,rate[],2,FALSE)</f>
        <v>85</v>
      </c>
      <c r="BG13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101102923.02072375</v>
      </c>
      <c r="BH13">
        <f t="shared" si="0"/>
        <v>45.46</v>
      </c>
    </row>
    <row r="14" spans="1:60" x14ac:dyDescent="0.15">
      <c r="A14" t="s">
        <v>36</v>
      </c>
      <c r="B14">
        <f>IF(ISNUMBER(SEARCH(טבלה1[[#Headers],[purple]], $P14)), 1, 0)</f>
        <v>0</v>
      </c>
      <c r="C14">
        <f>IF(ISNUMBER(SEARCH(טבלה1[[#Headers],[green]], $P14)), 1, 0)</f>
        <v>0</v>
      </c>
      <c r="D14">
        <f>IF(ISNUMBER(SEARCH(טבלה1[[#Headers],[coral]], $P14)), 1, 0)</f>
        <v>0</v>
      </c>
      <c r="E14">
        <f>IF(ISNUMBER(SEARCH(טבלה1[[#Headers],[blue]], $P14)), 1, 0)</f>
        <v>0</v>
      </c>
      <c r="F14">
        <f>IF(ISNUMBER(SEARCH(טבלה1[[#Headers],[yellow]], $P14)), 1, 0)</f>
        <v>0</v>
      </c>
      <c r="G14">
        <f>IF(ISNUMBER(SEARCH(טבלה1[[#Headers],[red]], $P14)), 1, 0)</f>
        <v>0</v>
      </c>
      <c r="H14">
        <f>IF(ISNUMBER(SEARCH(טבלה1[[#Headers],[jet black]], $P14)), 1, 0)</f>
        <v>0</v>
      </c>
      <c r="I14">
        <f>IF(ISNUMBER(SEARCH(טבלה1[[#Headers],[rose gold]], $P14)), 1, 0)</f>
        <v>0</v>
      </c>
      <c r="J14">
        <f>IF(ISNUMBER(SEARCH(טבלה1[[#Headers],[gold]], $P14)), 1, 0)</f>
        <v>0</v>
      </c>
      <c r="K14">
        <f>IF(ISNUMBER(SEARCH(טבלה1[[#Headers],[silver]], $P14)), 1, 0)</f>
        <v>1</v>
      </c>
      <c r="L14">
        <f>IF(ISNUMBER(SEARCH(טבלה1[[#Headers],[space gray]], $P14)), 1, 0)</f>
        <v>1</v>
      </c>
      <c r="M14">
        <f>IF(ISNUMBER(SEARCH(טבלה1[[#Headers],[white]], $P14)), 1, 0)</f>
        <v>0</v>
      </c>
      <c r="N14">
        <f>IF(ISNUMBER(SEARCH(טבלה1[[#Headers],[Black]], $P14)), 1, 0)</f>
        <v>0</v>
      </c>
      <c r="O14">
        <f>IF(ISNUMBER(SEARCH(טבלה1[[#Headers],[graphite]], $P14)), 1, 0)</f>
        <v>0</v>
      </c>
      <c r="P14" t="s">
        <v>65</v>
      </c>
      <c r="Q14">
        <v>7</v>
      </c>
      <c r="R14" s="3" t="str">
        <f>VLOOKUP(A14,camnum[],4,FALSE)</f>
        <v>2</v>
      </c>
      <c r="S14">
        <v>12</v>
      </c>
      <c r="T14" s="3" t="str" cm="1">
        <f t="array" ref="T14">INDEX(_xlfn.TEXTSPLIT(טבלה1[[#This Row],[size]],"×"),3)</f>
        <v>7.7</v>
      </c>
      <c r="U14" s="3" t="str">
        <f>TEXT(טבלה1[[#This Row],[release_date_first]], "yyyy-mm-dd")</f>
        <v>2017-11-03</v>
      </c>
      <c r="V14" s="8" t="s">
        <v>91</v>
      </c>
      <c r="W14" t="s">
        <v>111</v>
      </c>
      <c r="X14" t="s">
        <v>121</v>
      </c>
      <c r="Y14">
        <v>3</v>
      </c>
      <c r="Z14" t="s">
        <v>145</v>
      </c>
      <c r="AA14">
        <f>IF(טבלה1[[#This Row],[display_inner_resolution]]&gt;0,1,0)</f>
        <v>0</v>
      </c>
      <c r="AC14" t="s">
        <v>159</v>
      </c>
      <c r="AD14">
        <v>2716</v>
      </c>
      <c r="AE14" t="str" cm="1">
        <f t="array" ref="AE14">INDEX(_xlfn.TEXTSPLIT(טבלה1[[#This Row],[size]],"×"),2)</f>
        <v>70.9</v>
      </c>
      <c r="AF14" t="str" cm="1">
        <f t="array" ref="AF14">INDEX(_xlfn.TEXTSPLIT(טבלה1[[#This Row],[size]],"×"),1)</f>
        <v>143.6</v>
      </c>
      <c r="AG14" t="s">
        <v>181</v>
      </c>
      <c r="AH14">
        <f>VLOOKUP(A14,weight[],2,FALSE)</f>
        <v>174</v>
      </c>
      <c r="AI14" t="s">
        <v>200</v>
      </c>
      <c r="AJ14" t="s">
        <v>207</v>
      </c>
      <c r="AK14" t="s">
        <v>209</v>
      </c>
      <c r="AL14" t="s">
        <v>217</v>
      </c>
      <c r="AM14">
        <v>13</v>
      </c>
      <c r="AN14">
        <v>1</v>
      </c>
      <c r="AO14">
        <v>18</v>
      </c>
      <c r="AP14">
        <v>999</v>
      </c>
      <c r="AQ14">
        <v>1149</v>
      </c>
      <c r="AR14" t="str">
        <f>VLOOKUP(A14,charge[],2,FALSE)</f>
        <v>Lightning Connector</v>
      </c>
      <c r="AS14">
        <f>טבלה1[[#This Row],[launch_price_usd.min]]*3.33</f>
        <v>3326.67</v>
      </c>
      <c r="AT14">
        <f>טבלה1[[#This Row],[launch_price_usd.max]]*3.33</f>
        <v>3826.17</v>
      </c>
      <c r="AU14" t="str">
        <f>VLOOKUP(A14,airplay[],3,FALSE)</f>
        <v>Full AirPlay support</v>
      </c>
      <c r="AV14">
        <v>1</v>
      </c>
      <c r="AW14">
        <v>1</v>
      </c>
      <c r="AX14" t="s">
        <v>516</v>
      </c>
      <c r="AY14" t="s">
        <v>520</v>
      </c>
      <c r="AZ14">
        <v>0</v>
      </c>
      <c r="BA14">
        <f>SUM(טבלה1[[#This Row],[Power]:[Silent Switch]])</f>
        <v>3</v>
      </c>
      <c r="BB14">
        <v>1</v>
      </c>
      <c r="BC14">
        <v>1</v>
      </c>
      <c r="BD14">
        <v>1</v>
      </c>
      <c r="BE14">
        <v>0</v>
      </c>
      <c r="BF14">
        <f>VLOOKUP(A14,rate[],2,FALSE)</f>
        <v>97</v>
      </c>
      <c r="BG14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82666721.466309443</v>
      </c>
      <c r="BH14">
        <f t="shared" si="0"/>
        <v>44.96</v>
      </c>
    </row>
    <row r="15" spans="1:60" x14ac:dyDescent="0.15">
      <c r="A15" t="s">
        <v>37</v>
      </c>
      <c r="B15">
        <f>IF(ISNUMBER(SEARCH(טבלה1[[#Headers],[purple]], $P15)), 1, 0)</f>
        <v>0</v>
      </c>
      <c r="C15">
        <f>IF(ISNUMBER(SEARCH(טבלה1[[#Headers],[green]], $P15)), 1, 0)</f>
        <v>0</v>
      </c>
      <c r="D15">
        <f>IF(ISNUMBER(SEARCH(טבלה1[[#Headers],[coral]], $P15)), 1, 0)</f>
        <v>1</v>
      </c>
      <c r="E15">
        <f>IF(ISNUMBER(SEARCH(טבלה1[[#Headers],[blue]], $P15)), 1, 0)</f>
        <v>1</v>
      </c>
      <c r="F15">
        <f>IF(ISNUMBER(SEARCH(טבלה1[[#Headers],[yellow]], $P15)), 1, 0)</f>
        <v>1</v>
      </c>
      <c r="G15">
        <f>IF(ISNUMBER(SEARCH(טבלה1[[#Headers],[red]], $P15)), 1, 0)</f>
        <v>1</v>
      </c>
      <c r="H15">
        <f>IF(ISNUMBER(SEARCH(טבלה1[[#Headers],[jet black]], $P15)), 1, 0)</f>
        <v>0</v>
      </c>
      <c r="I15">
        <f>IF(ISNUMBER(SEARCH(טבלה1[[#Headers],[rose gold]], $P15)), 1, 0)</f>
        <v>0</v>
      </c>
      <c r="J15">
        <f>IF(ISNUMBER(SEARCH(טבלה1[[#Headers],[gold]], $P15)), 1, 0)</f>
        <v>0</v>
      </c>
      <c r="K15">
        <f>IF(ISNUMBER(SEARCH(טבלה1[[#Headers],[silver]], $P15)), 1, 0)</f>
        <v>0</v>
      </c>
      <c r="L15">
        <f>IF(ISNUMBER(SEARCH(טבלה1[[#Headers],[space gray]], $P15)), 1, 0)</f>
        <v>0</v>
      </c>
      <c r="M15">
        <f>IF(ISNUMBER(SEARCH(טבלה1[[#Headers],[white]], $P15)), 1, 0)</f>
        <v>1</v>
      </c>
      <c r="N15">
        <f>IF(ISNUMBER(SEARCH(טבלה1[[#Headers],[Black]], $P15)), 1, 0)</f>
        <v>1</v>
      </c>
      <c r="O15">
        <f>IF(ISNUMBER(SEARCH(טבלה1[[#Headers],[graphite]], $P15)), 1, 0)</f>
        <v>0</v>
      </c>
      <c r="P15" t="s">
        <v>66</v>
      </c>
      <c r="Q15">
        <v>7</v>
      </c>
      <c r="R15" s="3" t="str">
        <f>VLOOKUP(A15,camnum[],4,FALSE)</f>
        <v>1</v>
      </c>
      <c r="S15">
        <v>12</v>
      </c>
      <c r="T15" s="3" t="str" cm="1">
        <f t="array" ref="T15">INDEX(_xlfn.TEXTSPLIT(טבלה1[[#This Row],[size]],"×"),3)</f>
        <v>8.3</v>
      </c>
      <c r="U15" s="3" t="str">
        <f>TEXT(טבלה1[[#This Row],[release_date_first]], "yyyy-mm-dd")</f>
        <v>2018-10-26</v>
      </c>
      <c r="V15" s="8" t="s">
        <v>92</v>
      </c>
      <c r="W15" t="s">
        <v>112</v>
      </c>
      <c r="X15" t="s">
        <v>122</v>
      </c>
      <c r="Y15">
        <v>3</v>
      </c>
      <c r="Z15" t="s">
        <v>144</v>
      </c>
      <c r="AA15">
        <f>IF(טבלה1[[#This Row],[display_inner_resolution]]&gt;0,1,0)</f>
        <v>0</v>
      </c>
      <c r="AC15" t="s">
        <v>160</v>
      </c>
      <c r="AD15">
        <v>2942</v>
      </c>
      <c r="AE15" t="str" cm="1">
        <f t="array" ref="AE15">INDEX(_xlfn.TEXTSPLIT(טבלה1[[#This Row],[size]],"×"),2)</f>
        <v>75.7</v>
      </c>
      <c r="AF15" t="str" cm="1">
        <f t="array" ref="AF15">INDEX(_xlfn.TEXTSPLIT(טבלה1[[#This Row],[size]],"×"),1)</f>
        <v>150.9</v>
      </c>
      <c r="AG15" t="s">
        <v>182</v>
      </c>
      <c r="AH15">
        <f>VLOOKUP(A15,weight[],2,FALSE)</f>
        <v>194</v>
      </c>
      <c r="AI15" t="s">
        <v>202</v>
      </c>
      <c r="AJ15" t="s">
        <v>207</v>
      </c>
      <c r="AK15" t="s">
        <v>209</v>
      </c>
      <c r="AL15" t="s">
        <v>217</v>
      </c>
      <c r="AM15">
        <v>16</v>
      </c>
      <c r="AN15">
        <v>1</v>
      </c>
      <c r="AO15">
        <v>18</v>
      </c>
      <c r="AP15">
        <v>449</v>
      </c>
      <c r="AQ15">
        <v>599</v>
      </c>
      <c r="AR15" t="str">
        <f>VLOOKUP(A15,charge[],2,FALSE)</f>
        <v>Lightning Connector</v>
      </c>
      <c r="AS15">
        <f>טבלה1[[#This Row],[launch_price_usd.min]]*3.33</f>
        <v>1495.17</v>
      </c>
      <c r="AT15">
        <f>טבלה1[[#This Row],[launch_price_usd.max]]*3.33</f>
        <v>1994.67</v>
      </c>
      <c r="AU15" t="str">
        <f>VLOOKUP(A15,airplay[],3,FALSE)</f>
        <v>Full AirPlay support</v>
      </c>
      <c r="AV15">
        <v>1</v>
      </c>
      <c r="AW15">
        <v>1</v>
      </c>
      <c r="AX15" t="s">
        <v>516</v>
      </c>
      <c r="AY15" t="s">
        <v>520</v>
      </c>
      <c r="AZ15">
        <v>0</v>
      </c>
      <c r="BA15">
        <f>SUM(טבלה1[[#This Row],[Power]:[Silent Switch]])</f>
        <v>3</v>
      </c>
      <c r="BB15">
        <v>1</v>
      </c>
      <c r="BC15">
        <v>1</v>
      </c>
      <c r="BD15">
        <v>1</v>
      </c>
      <c r="BE15">
        <v>0</v>
      </c>
      <c r="BF15">
        <f>VLOOKUP(A15,rate[],2,FALSE)</f>
        <v>89</v>
      </c>
      <c r="BG15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204681369.54967231</v>
      </c>
      <c r="BH15">
        <f t="shared" si="0"/>
        <v>47.2</v>
      </c>
    </row>
    <row r="16" spans="1:60" x14ac:dyDescent="0.15">
      <c r="A16" t="s">
        <v>38</v>
      </c>
      <c r="B16">
        <f>IF(ISNUMBER(SEARCH(טבלה1[[#Headers],[purple]], $P16)), 1, 0)</f>
        <v>1</v>
      </c>
      <c r="C16">
        <f>IF(ISNUMBER(SEARCH(טבלה1[[#Headers],[green]], $P16)), 1, 0)</f>
        <v>1</v>
      </c>
      <c r="D16">
        <f>IF(ISNUMBER(SEARCH(טבלה1[[#Headers],[coral]], $P16)), 1, 0)</f>
        <v>0</v>
      </c>
      <c r="E16">
        <f>IF(ISNUMBER(SEARCH(טבלה1[[#Headers],[blue]], $P16)), 1, 0)</f>
        <v>0</v>
      </c>
      <c r="F16">
        <f>IF(ISNUMBER(SEARCH(טבלה1[[#Headers],[yellow]], $P16)), 1, 0)</f>
        <v>1</v>
      </c>
      <c r="G16">
        <f>IF(ISNUMBER(SEARCH(טבלה1[[#Headers],[red]], $P16)), 1, 0)</f>
        <v>1</v>
      </c>
      <c r="H16">
        <f>IF(ISNUMBER(SEARCH(טבלה1[[#Headers],[jet black]], $P16)), 1, 0)</f>
        <v>0</v>
      </c>
      <c r="I16">
        <f>IF(ISNUMBER(SEARCH(טבלה1[[#Headers],[rose gold]], $P16)), 1, 0)</f>
        <v>0</v>
      </c>
      <c r="J16">
        <f>IF(ISNUMBER(SEARCH(טבלה1[[#Headers],[gold]], $P16)), 1, 0)</f>
        <v>0</v>
      </c>
      <c r="K16">
        <f>IF(ISNUMBER(SEARCH(טבלה1[[#Headers],[silver]], $P16)), 1, 0)</f>
        <v>0</v>
      </c>
      <c r="L16">
        <f>IF(ISNUMBER(SEARCH(טבלה1[[#Headers],[space gray]], $P16)), 1, 0)</f>
        <v>0</v>
      </c>
      <c r="M16">
        <f>IF(ISNUMBER(SEARCH(טבלה1[[#Headers],[white]], $P16)), 1, 0)</f>
        <v>1</v>
      </c>
      <c r="N16">
        <f>IF(ISNUMBER(SEARCH(טבלה1[[#Headers],[Black]], $P16)), 1, 0)</f>
        <v>1</v>
      </c>
      <c r="O16">
        <f>IF(ISNUMBER(SEARCH(טבלה1[[#Headers],[graphite]], $P16)), 1, 0)</f>
        <v>0</v>
      </c>
      <c r="P16" t="s">
        <v>67</v>
      </c>
      <c r="Q16">
        <v>12</v>
      </c>
      <c r="R16" s="3" t="str">
        <f>VLOOKUP(A16,camnum[],4,FALSE)</f>
        <v>2</v>
      </c>
      <c r="S16">
        <v>12</v>
      </c>
      <c r="T16" s="3" t="str" cm="1">
        <f t="array" ref="T16">INDEX(_xlfn.TEXTSPLIT(טבלה1[[#This Row],[size]],"×"),3)</f>
        <v>8.3</v>
      </c>
      <c r="U16" s="3" t="str">
        <f>TEXT(טבלה1[[#This Row],[release_date_first]], "yyyy-mm-dd")</f>
        <v>2019-09-20</v>
      </c>
      <c r="V16" s="8" t="s">
        <v>93</v>
      </c>
      <c r="W16" t="s">
        <v>113</v>
      </c>
      <c r="X16" t="s">
        <v>123</v>
      </c>
      <c r="Y16">
        <v>4</v>
      </c>
      <c r="Z16" t="s">
        <v>144</v>
      </c>
      <c r="AA16">
        <f>IF(טבלה1[[#This Row],[display_inner_resolution]]&gt;0,1,0)</f>
        <v>0</v>
      </c>
      <c r="AC16" t="s">
        <v>160</v>
      </c>
      <c r="AD16">
        <v>3110</v>
      </c>
      <c r="AE16" t="str" cm="1">
        <f t="array" ref="AE16">INDEX(_xlfn.TEXTSPLIT(טבלה1[[#This Row],[size]],"×"),2)</f>
        <v>75.7</v>
      </c>
      <c r="AF16" t="str" cm="1">
        <f t="array" ref="AF16">INDEX(_xlfn.TEXTSPLIT(טבלה1[[#This Row],[size]],"×"),1)</f>
        <v>150.9</v>
      </c>
      <c r="AG16" t="s">
        <v>182</v>
      </c>
      <c r="AH16">
        <f>VLOOKUP(A16,weight[],2,FALSE)</f>
        <v>194</v>
      </c>
      <c r="AI16" t="s">
        <v>202</v>
      </c>
      <c r="AJ16" t="s">
        <v>207</v>
      </c>
      <c r="AK16" t="s">
        <v>209</v>
      </c>
      <c r="AL16" t="s">
        <v>217</v>
      </c>
      <c r="AM16">
        <v>17</v>
      </c>
      <c r="AN16">
        <v>1</v>
      </c>
      <c r="AO16">
        <v>18</v>
      </c>
      <c r="AP16">
        <v>399</v>
      </c>
      <c r="AQ16">
        <v>549</v>
      </c>
      <c r="AR16" t="str">
        <f>VLOOKUP(A16,charge[],2,FALSE)</f>
        <v>Lightning Connector</v>
      </c>
      <c r="AS16">
        <f>טבלה1[[#This Row],[launch_price_usd.min]]*3.33</f>
        <v>1328.67</v>
      </c>
      <c r="AT16">
        <f>טבלה1[[#This Row],[launch_price_usd.max]]*3.33</f>
        <v>1828.17</v>
      </c>
      <c r="AU16" t="str">
        <f>VLOOKUP(A16,airplay[],3,FALSE)</f>
        <v>Full AirPlay support</v>
      </c>
      <c r="AV16">
        <v>1</v>
      </c>
      <c r="AW16">
        <v>1</v>
      </c>
      <c r="AX16" t="s">
        <v>516</v>
      </c>
      <c r="AY16" t="s">
        <v>520</v>
      </c>
      <c r="AZ16">
        <v>0</v>
      </c>
      <c r="BA16">
        <f>SUM(טבלה1[[#This Row],[Power]:[Silent Switch]])</f>
        <v>3</v>
      </c>
      <c r="BB16">
        <v>1</v>
      </c>
      <c r="BC16">
        <v>1</v>
      </c>
      <c r="BD16">
        <v>1</v>
      </c>
      <c r="BE16">
        <v>0</v>
      </c>
      <c r="BF16">
        <f>VLOOKUP(A16,rate[],2,FALSE)</f>
        <v>94</v>
      </c>
      <c r="BG16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307295827.41591758</v>
      </c>
      <c r="BH16">
        <f t="shared" si="0"/>
        <v>48.2</v>
      </c>
    </row>
    <row r="17" spans="1:60" x14ac:dyDescent="0.15">
      <c r="A17" t="s">
        <v>39</v>
      </c>
      <c r="B17">
        <f>IF(ISNUMBER(SEARCH(טבלה1[[#Headers],[purple]], $P17)), 1, 0)</f>
        <v>0</v>
      </c>
      <c r="C17">
        <f>IF(ISNUMBER(SEARCH(טבלה1[[#Headers],[green]], $P17)), 1, 0)</f>
        <v>1</v>
      </c>
      <c r="D17">
        <f>IF(ISNUMBER(SEARCH(טבלה1[[#Headers],[coral]], $P17)), 1, 0)</f>
        <v>0</v>
      </c>
      <c r="E17">
        <f>IF(ISNUMBER(SEARCH(טבלה1[[#Headers],[blue]], $P17)), 1, 0)</f>
        <v>0</v>
      </c>
      <c r="F17">
        <f>IF(ISNUMBER(SEARCH(טבלה1[[#Headers],[yellow]], $P17)), 1, 0)</f>
        <v>0</v>
      </c>
      <c r="G17">
        <f>IF(ISNUMBER(SEARCH(טבלה1[[#Headers],[red]], $P17)), 1, 0)</f>
        <v>0</v>
      </c>
      <c r="H17">
        <f>IF(ISNUMBER(SEARCH(טבלה1[[#Headers],[jet black]], $P17)), 1, 0)</f>
        <v>0</v>
      </c>
      <c r="I17">
        <f>IF(ISNUMBER(SEARCH(טבלה1[[#Headers],[rose gold]], $P17)), 1, 0)</f>
        <v>0</v>
      </c>
      <c r="J17">
        <f>IF(ISNUMBER(SEARCH(טבלה1[[#Headers],[gold]], $P17)), 1, 0)</f>
        <v>1</v>
      </c>
      <c r="K17">
        <f>IF(ISNUMBER(SEARCH(טבלה1[[#Headers],[silver]], $P17)), 1, 0)</f>
        <v>1</v>
      </c>
      <c r="L17">
        <f>IF(ISNUMBER(SEARCH(טבלה1[[#Headers],[space gray]], $P17)), 1, 0)</f>
        <v>1</v>
      </c>
      <c r="M17">
        <f>IF(ISNUMBER(SEARCH(טבלה1[[#Headers],[white]], $P17)), 1, 0)</f>
        <v>0</v>
      </c>
      <c r="N17">
        <f>IF(ISNUMBER(SEARCH(טבלה1[[#Headers],[Black]], $P17)), 1, 0)</f>
        <v>0</v>
      </c>
      <c r="O17">
        <f>IF(ISNUMBER(SEARCH(טבלה1[[#Headers],[graphite]], $P17)), 1, 0)</f>
        <v>0</v>
      </c>
      <c r="P17" t="s">
        <v>68</v>
      </c>
      <c r="Q17">
        <v>12</v>
      </c>
      <c r="R17" s="3" t="str">
        <f>VLOOKUP(A17,camnum[],4,FALSE)</f>
        <v>3</v>
      </c>
      <c r="S17">
        <v>12</v>
      </c>
      <c r="T17" s="3" t="str" cm="1">
        <f t="array" ref="T17">INDEX(_xlfn.TEXTSPLIT(טבלה1[[#This Row],[size]],"×"),3)</f>
        <v>8.1</v>
      </c>
      <c r="U17" s="3" t="str">
        <f>TEXT(טבלה1[[#This Row],[release_date_first]], "yyyy-mm-dd")</f>
        <v>2019-09-20</v>
      </c>
      <c r="V17" s="8" t="s">
        <v>93</v>
      </c>
      <c r="W17" t="s">
        <v>113</v>
      </c>
      <c r="X17" t="s">
        <v>123</v>
      </c>
      <c r="Y17">
        <v>4</v>
      </c>
      <c r="Z17" t="s">
        <v>146</v>
      </c>
      <c r="AA17">
        <f>IF(טבלה1[[#This Row],[display_inner_resolution]]&gt;0,1,0)</f>
        <v>0</v>
      </c>
      <c r="AC17" t="s">
        <v>159</v>
      </c>
      <c r="AD17">
        <v>3046</v>
      </c>
      <c r="AE17" t="str" cm="1">
        <f t="array" ref="AE17">INDEX(_xlfn.TEXTSPLIT(טבלה1[[#This Row],[size]],"×"),2)</f>
        <v>71.4</v>
      </c>
      <c r="AF17" t="str" cm="1">
        <f t="array" ref="AF17">INDEX(_xlfn.TEXTSPLIT(טבלה1[[#This Row],[size]],"×"),1)</f>
        <v>144</v>
      </c>
      <c r="AG17" t="s">
        <v>183</v>
      </c>
      <c r="AH17">
        <f>VLOOKUP(A17,weight[],2,FALSE)</f>
        <v>188</v>
      </c>
      <c r="AI17" t="s">
        <v>200</v>
      </c>
      <c r="AJ17" t="s">
        <v>207</v>
      </c>
      <c r="AK17" t="s">
        <v>209</v>
      </c>
      <c r="AL17" t="s">
        <v>217</v>
      </c>
      <c r="AM17">
        <v>18</v>
      </c>
      <c r="AN17">
        <v>1</v>
      </c>
      <c r="AO17">
        <v>18</v>
      </c>
      <c r="AP17">
        <v>699</v>
      </c>
      <c r="AQ17">
        <v>849</v>
      </c>
      <c r="AR17" t="str">
        <f>VLOOKUP(A17,charge[],2,FALSE)</f>
        <v>Lightning Connector</v>
      </c>
      <c r="AS17">
        <f>טבלה1[[#This Row],[launch_price_usd.min]]*3.33</f>
        <v>2327.67</v>
      </c>
      <c r="AT17">
        <f>טבלה1[[#This Row],[launch_price_usd.max]]*3.33</f>
        <v>2827.17</v>
      </c>
      <c r="AU17" t="str">
        <f>VLOOKUP(A17,airplay[],3,FALSE)</f>
        <v>Full AirPlay support</v>
      </c>
      <c r="AV17">
        <v>1</v>
      </c>
      <c r="AW17">
        <v>1</v>
      </c>
      <c r="AX17" t="s">
        <v>516</v>
      </c>
      <c r="AY17" t="s">
        <v>520</v>
      </c>
      <c r="AZ17">
        <v>0</v>
      </c>
      <c r="BA17">
        <f>SUM(טבלה1[[#This Row],[Power]:[Silent Switch]])</f>
        <v>3</v>
      </c>
      <c r="BB17">
        <v>1</v>
      </c>
      <c r="BC17">
        <v>1</v>
      </c>
      <c r="BD17">
        <v>1</v>
      </c>
      <c r="BE17">
        <v>0</v>
      </c>
      <c r="BF17">
        <f>VLOOKUP(A17,rate[],2,FALSE)</f>
        <v>90</v>
      </c>
      <c r="BG17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417412436.7747196</v>
      </c>
      <c r="BH17">
        <f t="shared" si="0"/>
        <v>48.96</v>
      </c>
    </row>
    <row r="18" spans="1:60" x14ac:dyDescent="0.15">
      <c r="A18" t="s">
        <v>40</v>
      </c>
      <c r="B18">
        <f>IF(ISNUMBER(SEARCH(טבלה1[[#Headers],[purple]], $P18)), 1, 0)</f>
        <v>0</v>
      </c>
      <c r="C18">
        <f>IF(ISNUMBER(SEARCH(טבלה1[[#Headers],[green]], $P18)), 1, 0)</f>
        <v>1</v>
      </c>
      <c r="D18">
        <f>IF(ISNUMBER(SEARCH(טבלה1[[#Headers],[coral]], $P18)), 1, 0)</f>
        <v>0</v>
      </c>
      <c r="E18">
        <f>IF(ISNUMBER(SEARCH(טבלה1[[#Headers],[blue]], $P18)), 1, 0)</f>
        <v>0</v>
      </c>
      <c r="F18">
        <f>IF(ISNUMBER(SEARCH(טבלה1[[#Headers],[yellow]], $P18)), 1, 0)</f>
        <v>0</v>
      </c>
      <c r="G18">
        <f>IF(ISNUMBER(SEARCH(טבלה1[[#Headers],[red]], $P18)), 1, 0)</f>
        <v>0</v>
      </c>
      <c r="H18">
        <f>IF(ISNUMBER(SEARCH(טבלה1[[#Headers],[jet black]], $P18)), 1, 0)</f>
        <v>0</v>
      </c>
      <c r="I18">
        <f>IF(ISNUMBER(SEARCH(טבלה1[[#Headers],[rose gold]], $P18)), 1, 0)</f>
        <v>0</v>
      </c>
      <c r="J18">
        <f>IF(ISNUMBER(SEARCH(טבלה1[[#Headers],[gold]], $P18)), 1, 0)</f>
        <v>1</v>
      </c>
      <c r="K18">
        <f>IF(ISNUMBER(SEARCH(טבלה1[[#Headers],[silver]], $P18)), 1, 0)</f>
        <v>1</v>
      </c>
      <c r="L18">
        <f>IF(ISNUMBER(SEARCH(טבלה1[[#Headers],[space gray]], $P18)), 1, 0)</f>
        <v>1</v>
      </c>
      <c r="M18">
        <f>IF(ISNUMBER(SEARCH(טבלה1[[#Headers],[white]], $P18)), 1, 0)</f>
        <v>0</v>
      </c>
      <c r="N18">
        <f>IF(ISNUMBER(SEARCH(טבלה1[[#Headers],[Black]], $P18)), 1, 0)</f>
        <v>0</v>
      </c>
      <c r="O18">
        <f>IF(ISNUMBER(SEARCH(טבלה1[[#Headers],[graphite]], $P18)), 1, 0)</f>
        <v>0</v>
      </c>
      <c r="P18" t="s">
        <v>68</v>
      </c>
      <c r="Q18">
        <v>12</v>
      </c>
      <c r="R18" s="3" t="str">
        <f>VLOOKUP(A18,camnum[],4,FALSE)</f>
        <v>3</v>
      </c>
      <c r="S18">
        <v>12</v>
      </c>
      <c r="T18" s="3" t="str" cm="1">
        <f t="array" ref="T18">INDEX(_xlfn.TEXTSPLIT(טבלה1[[#This Row],[size]],"×"),3)</f>
        <v>8.1</v>
      </c>
      <c r="U18" s="3" t="str">
        <f>TEXT(טבלה1[[#This Row],[release_date_first]], "yyyy-mm-dd")</f>
        <v>2019-09-20</v>
      </c>
      <c r="V18" s="8" t="s">
        <v>93</v>
      </c>
      <c r="W18" t="s">
        <v>113</v>
      </c>
      <c r="X18" t="s">
        <v>123</v>
      </c>
      <c r="Y18">
        <v>4</v>
      </c>
      <c r="Z18" t="s">
        <v>146</v>
      </c>
      <c r="AA18">
        <f>IF(טבלה1[[#This Row],[display_inner_resolution]]&gt;0,1,0)</f>
        <v>0</v>
      </c>
      <c r="AC18" t="s">
        <v>161</v>
      </c>
      <c r="AD18">
        <v>3969</v>
      </c>
      <c r="AE18" t="str" cm="1">
        <f t="array" ref="AE18">INDEX(_xlfn.TEXTSPLIT(טבלה1[[#This Row],[size]],"×"),2)</f>
        <v>77.8</v>
      </c>
      <c r="AF18" t="str" cm="1">
        <f t="array" ref="AF18">INDEX(_xlfn.TEXTSPLIT(טבלה1[[#This Row],[size]],"×"),1)</f>
        <v>158</v>
      </c>
      <c r="AG18" t="s">
        <v>184</v>
      </c>
      <c r="AH18">
        <f>VLOOKUP(A18,weight[],2,FALSE)</f>
        <v>226</v>
      </c>
      <c r="AI18" t="s">
        <v>200</v>
      </c>
      <c r="AJ18" t="s">
        <v>207</v>
      </c>
      <c r="AK18" t="s">
        <v>209</v>
      </c>
      <c r="AL18" t="s">
        <v>217</v>
      </c>
      <c r="AM18">
        <v>20</v>
      </c>
      <c r="AN18">
        <v>1</v>
      </c>
      <c r="AO18">
        <v>18</v>
      </c>
      <c r="AP18">
        <v>799</v>
      </c>
      <c r="AQ18">
        <v>949</v>
      </c>
      <c r="AR18" t="str">
        <f>VLOOKUP(A18,charge[],2,FALSE)</f>
        <v>Lightning Connector</v>
      </c>
      <c r="AS18">
        <f>טבלה1[[#This Row],[launch_price_usd.min]]*3.33</f>
        <v>2660.67</v>
      </c>
      <c r="AT18">
        <f>טבלה1[[#This Row],[launch_price_usd.max]]*3.33</f>
        <v>3160.17</v>
      </c>
      <c r="AU18" t="str">
        <f>VLOOKUP(A18,airplay[],3,FALSE)</f>
        <v>Full AirPlay support</v>
      </c>
      <c r="AV18">
        <v>1</v>
      </c>
      <c r="AW18">
        <v>1</v>
      </c>
      <c r="AX18" t="s">
        <v>516</v>
      </c>
      <c r="AY18" t="s">
        <v>520</v>
      </c>
      <c r="AZ18">
        <v>0</v>
      </c>
      <c r="BA18">
        <f>SUM(טבלה1[[#This Row],[Power]:[Silent Switch]])</f>
        <v>3</v>
      </c>
      <c r="BB18">
        <v>1</v>
      </c>
      <c r="BC18">
        <v>1</v>
      </c>
      <c r="BD18">
        <v>1</v>
      </c>
      <c r="BE18">
        <v>0</v>
      </c>
      <c r="BF18">
        <f>VLOOKUP(A18,rate[],2,FALSE)</f>
        <v>91</v>
      </c>
      <c r="BG18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922169706.45788121</v>
      </c>
      <c r="BH18">
        <f t="shared" si="0"/>
        <v>50.91</v>
      </c>
    </row>
    <row r="19" spans="1:60" x14ac:dyDescent="0.15">
      <c r="A19" t="s">
        <v>41</v>
      </c>
      <c r="B19">
        <f>IF(ISNUMBER(SEARCH(טבלה1[[#Headers],[purple]], $P19)), 1, 0)</f>
        <v>1</v>
      </c>
      <c r="C19">
        <f>IF(ISNUMBER(SEARCH(טבלה1[[#Headers],[green]], $P19)), 1, 0)</f>
        <v>1</v>
      </c>
      <c r="D19">
        <f>IF(ISNUMBER(SEARCH(טבלה1[[#Headers],[coral]], $P19)), 1, 0)</f>
        <v>0</v>
      </c>
      <c r="E19">
        <f>IF(ISNUMBER(SEARCH(טבלה1[[#Headers],[blue]], $P19)), 1, 0)</f>
        <v>1</v>
      </c>
      <c r="F19">
        <f>IF(ISNUMBER(SEARCH(טבלה1[[#Headers],[yellow]], $P19)), 1, 0)</f>
        <v>0</v>
      </c>
      <c r="G19">
        <f>IF(ISNUMBER(SEARCH(טבלה1[[#Headers],[red]], $P19)), 1, 0)</f>
        <v>1</v>
      </c>
      <c r="H19">
        <f>IF(ISNUMBER(SEARCH(טבלה1[[#Headers],[jet black]], $P19)), 1, 0)</f>
        <v>0</v>
      </c>
      <c r="I19">
        <f>IF(ISNUMBER(SEARCH(טבלה1[[#Headers],[rose gold]], $P19)), 1, 0)</f>
        <v>0</v>
      </c>
      <c r="J19">
        <f>IF(ISNUMBER(SEARCH(טבלה1[[#Headers],[gold]], $P19)), 1, 0)</f>
        <v>0</v>
      </c>
      <c r="K19">
        <f>IF(ISNUMBER(SEARCH(טבלה1[[#Headers],[silver]], $P19)), 1, 0)</f>
        <v>0</v>
      </c>
      <c r="L19">
        <f>IF(ISNUMBER(SEARCH(טבלה1[[#Headers],[space gray]], $P19)), 1, 0)</f>
        <v>0</v>
      </c>
      <c r="M19">
        <f>IF(ISNUMBER(SEARCH(טבלה1[[#Headers],[white]], $P19)), 1, 0)</f>
        <v>1</v>
      </c>
      <c r="N19">
        <f>IF(ISNUMBER(SEARCH(טבלה1[[#Headers],[Black]], $P19)), 1, 0)</f>
        <v>1</v>
      </c>
      <c r="O19">
        <f>IF(ISNUMBER(SEARCH(טבלה1[[#Headers],[graphite]], $P19)), 1, 0)</f>
        <v>0</v>
      </c>
      <c r="P19" t="s">
        <v>69</v>
      </c>
      <c r="Q19">
        <v>12</v>
      </c>
      <c r="R19" s="3" t="str">
        <f>VLOOKUP(A19,camnum[],4,FALSE)</f>
        <v>2</v>
      </c>
      <c r="S19">
        <v>12</v>
      </c>
      <c r="T19" s="3" t="str" cm="1">
        <f t="array" ref="T19">INDEX(_xlfn.TEXTSPLIT(טבלה1[[#This Row],[size]],"×"),3)</f>
        <v>7.4</v>
      </c>
      <c r="U19" s="3" t="str">
        <f>TEXT(טבלה1[[#This Row],[release_date_first]], "yyyy-mm-dd")</f>
        <v>2020-10-23</v>
      </c>
      <c r="V19" s="8" t="s">
        <v>94</v>
      </c>
      <c r="W19" t="s">
        <v>113</v>
      </c>
      <c r="X19" t="s">
        <v>124</v>
      </c>
      <c r="Y19">
        <v>4</v>
      </c>
      <c r="Z19" t="s">
        <v>144</v>
      </c>
      <c r="AA19">
        <f>IF(טבלה1[[#This Row],[display_inner_resolution]]&gt;0,1,0)</f>
        <v>0</v>
      </c>
      <c r="AC19" t="s">
        <v>162</v>
      </c>
      <c r="AD19">
        <v>2815</v>
      </c>
      <c r="AE19" t="str" cm="1">
        <f t="array" ref="AE19">INDEX(_xlfn.TEXTSPLIT(טבלה1[[#This Row],[size]],"×"),2)</f>
        <v>71.5</v>
      </c>
      <c r="AF19" t="str" cm="1">
        <f t="array" ref="AF19">INDEX(_xlfn.TEXTSPLIT(טבלה1[[#This Row],[size]],"×"),1)</f>
        <v>146.7</v>
      </c>
      <c r="AG19" t="s">
        <v>185</v>
      </c>
      <c r="AH19">
        <f>VLOOKUP(A19,weight[],2,FALSE)</f>
        <v>164</v>
      </c>
      <c r="AI19" t="s">
        <v>202</v>
      </c>
      <c r="AJ19" t="s">
        <v>207</v>
      </c>
      <c r="AK19" t="s">
        <v>210</v>
      </c>
      <c r="AL19" t="s">
        <v>217</v>
      </c>
      <c r="AM19">
        <v>17</v>
      </c>
      <c r="AN19">
        <v>1</v>
      </c>
      <c r="AO19">
        <v>20</v>
      </c>
      <c r="AP19">
        <v>429</v>
      </c>
      <c r="AQ19">
        <v>579</v>
      </c>
      <c r="AR19" t="str">
        <f>VLOOKUP(A19,charge[],2,FALSE)</f>
        <v>Lightning Connector</v>
      </c>
      <c r="AS19">
        <f>טבלה1[[#This Row],[launch_price_usd.min]]*3.33</f>
        <v>1428.57</v>
      </c>
      <c r="AT19">
        <f>טבלה1[[#This Row],[launch_price_usd.max]]*3.33</f>
        <v>1928.07</v>
      </c>
      <c r="AU19" t="str">
        <f>VLOOKUP(A19,airplay[],3,FALSE)</f>
        <v>Full AirPlay support</v>
      </c>
      <c r="AV19">
        <v>1</v>
      </c>
      <c r="AW19">
        <v>1</v>
      </c>
      <c r="AX19" t="s">
        <v>516</v>
      </c>
      <c r="AY19" t="s">
        <v>520</v>
      </c>
      <c r="AZ19">
        <v>0</v>
      </c>
      <c r="BA19">
        <f>SUM(טבלה1[[#This Row],[Power]:[Silent Switch]])</f>
        <v>3</v>
      </c>
      <c r="BB19">
        <v>1</v>
      </c>
      <c r="BC19">
        <v>1</v>
      </c>
      <c r="BD19">
        <v>1</v>
      </c>
      <c r="BE19">
        <v>0</v>
      </c>
      <c r="BF19">
        <f>VLOOKUP(A19,rate[],2,FALSE)</f>
        <v>94</v>
      </c>
      <c r="BG19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614361393.20238709</v>
      </c>
      <c r="BH19">
        <f t="shared" si="0"/>
        <v>49.91</v>
      </c>
    </row>
    <row r="20" spans="1:60" x14ac:dyDescent="0.15">
      <c r="A20" t="s">
        <v>42</v>
      </c>
      <c r="B20">
        <f>IF(ISNUMBER(SEARCH(טבלה1[[#Headers],[purple]], $P20)), 1, 0)</f>
        <v>0</v>
      </c>
      <c r="C20">
        <f>IF(ISNUMBER(SEARCH(טבלה1[[#Headers],[green]], $P20)), 1, 0)</f>
        <v>0</v>
      </c>
      <c r="D20">
        <f>IF(ISNUMBER(SEARCH(טבלה1[[#Headers],[coral]], $P20)), 1, 0)</f>
        <v>0</v>
      </c>
      <c r="E20">
        <f>IF(ISNUMBER(SEARCH(טבלה1[[#Headers],[blue]], $P20)), 1, 0)</f>
        <v>1</v>
      </c>
      <c r="F20">
        <f>IF(ISNUMBER(SEARCH(טבלה1[[#Headers],[yellow]], $P20)), 1, 0)</f>
        <v>0</v>
      </c>
      <c r="G20">
        <f>IF(ISNUMBER(SEARCH(טבלה1[[#Headers],[red]], $P20)), 1, 0)</f>
        <v>0</v>
      </c>
      <c r="H20">
        <f>IF(ISNUMBER(SEARCH(טבלה1[[#Headers],[jet black]], $P20)), 1, 0)</f>
        <v>0</v>
      </c>
      <c r="I20">
        <f>IF(ISNUMBER(SEARCH(טבלה1[[#Headers],[rose gold]], $P20)), 1, 0)</f>
        <v>0</v>
      </c>
      <c r="J20">
        <f>IF(ISNUMBER(SEARCH(טבלה1[[#Headers],[gold]], $P20)), 1, 0)</f>
        <v>1</v>
      </c>
      <c r="K20">
        <f>IF(ISNUMBER(SEARCH(טבלה1[[#Headers],[silver]], $P20)), 1, 0)</f>
        <v>1</v>
      </c>
      <c r="L20">
        <f>IF(ISNUMBER(SEARCH(טבלה1[[#Headers],[space gray]], $P20)), 1, 0)</f>
        <v>0</v>
      </c>
      <c r="M20">
        <f>IF(ISNUMBER(SEARCH(טבלה1[[#Headers],[white]], $P20)), 1, 0)</f>
        <v>0</v>
      </c>
      <c r="N20">
        <f>IF(ISNUMBER(SEARCH(טבלה1[[#Headers],[Black]], $P20)), 1, 0)</f>
        <v>0</v>
      </c>
      <c r="O20">
        <f>IF(ISNUMBER(SEARCH(טבלה1[[#Headers],[graphite]], $P20)), 1, 0)</f>
        <v>1</v>
      </c>
      <c r="P20" t="s">
        <v>70</v>
      </c>
      <c r="Q20">
        <v>12</v>
      </c>
      <c r="R20" s="3" t="str">
        <f>VLOOKUP(A20,camnum[],4,FALSE)</f>
        <v>3</v>
      </c>
      <c r="S20">
        <v>12</v>
      </c>
      <c r="T20" s="3" t="str" cm="1">
        <f t="array" ref="T20">INDEX(_xlfn.TEXTSPLIT(טבלה1[[#This Row],[size]],"×"),3)</f>
        <v>7.4</v>
      </c>
      <c r="U20" s="3" t="str">
        <f>TEXT(טבלה1[[#This Row],[release_date_first]], "yyyy-mm-dd")</f>
        <v>2020-10-23</v>
      </c>
      <c r="V20" s="8" t="s">
        <v>94</v>
      </c>
      <c r="W20" t="s">
        <v>113</v>
      </c>
      <c r="X20" t="s">
        <v>124</v>
      </c>
      <c r="Y20">
        <v>6</v>
      </c>
      <c r="Z20" t="s">
        <v>147</v>
      </c>
      <c r="AA20">
        <f>IF(טבלה1[[#This Row],[display_inner_resolution]]&gt;0,1,0)</f>
        <v>0</v>
      </c>
      <c r="AC20" t="s">
        <v>162</v>
      </c>
      <c r="AD20">
        <v>2815</v>
      </c>
      <c r="AE20" t="str" cm="1">
        <f t="array" ref="AE20">INDEX(_xlfn.TEXTSPLIT(טבלה1[[#This Row],[size]],"×"),2)</f>
        <v>71.5</v>
      </c>
      <c r="AF20" t="str" cm="1">
        <f t="array" ref="AF20">INDEX(_xlfn.TEXTSPLIT(טבלה1[[#This Row],[size]],"×"),1)</f>
        <v>146.7</v>
      </c>
      <c r="AG20" t="s">
        <v>185</v>
      </c>
      <c r="AH20">
        <f>VLOOKUP(A20,weight[],2,FALSE)</f>
        <v>189</v>
      </c>
      <c r="AI20" t="s">
        <v>200</v>
      </c>
      <c r="AJ20" t="s">
        <v>207</v>
      </c>
      <c r="AK20" t="s">
        <v>210</v>
      </c>
      <c r="AL20" t="s">
        <v>217</v>
      </c>
      <c r="AM20">
        <v>17</v>
      </c>
      <c r="AN20">
        <v>1</v>
      </c>
      <c r="AO20">
        <v>20</v>
      </c>
      <c r="AP20">
        <v>699</v>
      </c>
      <c r="AQ20">
        <v>849</v>
      </c>
      <c r="AR20" t="str">
        <f>VLOOKUP(A20,charge[],2,FALSE)</f>
        <v>Lightning Connector</v>
      </c>
      <c r="AS20">
        <f>טבלה1[[#This Row],[launch_price_usd.min]]*3.33</f>
        <v>2327.67</v>
      </c>
      <c r="AT20">
        <f>טבלה1[[#This Row],[launch_price_usd.max]]*3.33</f>
        <v>2827.17</v>
      </c>
      <c r="AU20" t="str">
        <f>VLOOKUP(A20,airplay[],3,FALSE)</f>
        <v>Full AirPlay support</v>
      </c>
      <c r="AV20">
        <v>1</v>
      </c>
      <c r="AW20">
        <v>1</v>
      </c>
      <c r="AX20" t="s">
        <v>516</v>
      </c>
      <c r="AY20" t="s">
        <v>520</v>
      </c>
      <c r="AZ20">
        <v>0</v>
      </c>
      <c r="BA20">
        <f>SUM(טבלה1[[#This Row],[Power]:[Silent Switch]])</f>
        <v>3</v>
      </c>
      <c r="BB20">
        <v>1</v>
      </c>
      <c r="BC20">
        <v>1</v>
      </c>
      <c r="BD20">
        <v>1</v>
      </c>
      <c r="BE20">
        <v>0</v>
      </c>
      <c r="BF20">
        <f>VLOOKUP(A20,rate[],2,FALSE)</f>
        <v>91</v>
      </c>
      <c r="BG20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594754114.69592786</v>
      </c>
      <c r="BH20">
        <f t="shared" si="0"/>
        <v>49.83</v>
      </c>
    </row>
    <row r="21" spans="1:60" x14ac:dyDescent="0.15">
      <c r="A21" t="s">
        <v>43</v>
      </c>
      <c r="B21">
        <f>IF(ISNUMBER(SEARCH(טבלה1[[#Headers],[purple]], $P21)), 1, 0)</f>
        <v>0</v>
      </c>
      <c r="C21">
        <f>IF(ISNUMBER(SEARCH(טבלה1[[#Headers],[green]], $P21)), 1, 0)</f>
        <v>0</v>
      </c>
      <c r="D21">
        <f>IF(ISNUMBER(SEARCH(טבלה1[[#Headers],[coral]], $P21)), 1, 0)</f>
        <v>0</v>
      </c>
      <c r="E21">
        <f>IF(ISNUMBER(SEARCH(טבלה1[[#Headers],[blue]], $P21)), 1, 0)</f>
        <v>1</v>
      </c>
      <c r="F21">
        <f>IF(ISNUMBER(SEARCH(טבלה1[[#Headers],[yellow]], $P21)), 1, 0)</f>
        <v>0</v>
      </c>
      <c r="G21">
        <f>IF(ISNUMBER(SEARCH(טבלה1[[#Headers],[red]], $P21)), 1, 0)</f>
        <v>1</v>
      </c>
      <c r="H21">
        <f>IF(ISNUMBER(SEARCH(טבלה1[[#Headers],[jet black]], $P21)), 1, 0)</f>
        <v>0</v>
      </c>
      <c r="I21">
        <f>IF(ISNUMBER(SEARCH(טבלה1[[#Headers],[rose gold]], $P21)), 1, 0)</f>
        <v>0</v>
      </c>
      <c r="J21">
        <f>IF(ISNUMBER(SEARCH(טבלה1[[#Headers],[gold]], $P21)), 1, 0)</f>
        <v>0</v>
      </c>
      <c r="K21">
        <f>IF(ISNUMBER(SEARCH(טבלה1[[#Headers],[silver]], $P21)), 1, 0)</f>
        <v>0</v>
      </c>
      <c r="L21">
        <f>IF(ISNUMBER(SEARCH(טבלה1[[#Headers],[space gray]], $P21)), 1, 0)</f>
        <v>0</v>
      </c>
      <c r="M21">
        <f>IF(ISNUMBER(SEARCH(טבלה1[[#Headers],[white]], $P21)), 1, 0)</f>
        <v>0</v>
      </c>
      <c r="N21">
        <f>IF(ISNUMBER(SEARCH(טבלה1[[#Headers],[Black]], $P21)), 1, 0)</f>
        <v>0</v>
      </c>
      <c r="O21">
        <f>IF(ISNUMBER(SEARCH(טבלה1[[#Headers],[graphite]], $P21)), 1, 0)</f>
        <v>0</v>
      </c>
      <c r="P21" t="s">
        <v>71</v>
      </c>
      <c r="Q21">
        <v>12</v>
      </c>
      <c r="R21" s="3" t="str">
        <f>VLOOKUP(A21,camnum[],4,FALSE)</f>
        <v>2</v>
      </c>
      <c r="S21">
        <v>12</v>
      </c>
      <c r="T21" s="3" t="str" cm="1">
        <f t="array" ref="T21">INDEX(_xlfn.TEXTSPLIT(טבלה1[[#This Row],[size]],"×"),3)</f>
        <v>7.7</v>
      </c>
      <c r="U21" s="3" t="str">
        <f>TEXT(טבלה1[[#This Row],[release_date_first]], "yyyy-mm-dd")</f>
        <v>2021-09-24</v>
      </c>
      <c r="V21" s="8" t="s">
        <v>95</v>
      </c>
      <c r="W21" t="s">
        <v>113</v>
      </c>
      <c r="X21" t="s">
        <v>125</v>
      </c>
      <c r="Y21">
        <v>4</v>
      </c>
      <c r="Z21" t="s">
        <v>147</v>
      </c>
      <c r="AA21">
        <f>IF(טבלה1[[#This Row],[display_inner_resolution]]&gt;0,1,0)</f>
        <v>0</v>
      </c>
      <c r="AC21" t="s">
        <v>162</v>
      </c>
      <c r="AD21">
        <v>3240</v>
      </c>
      <c r="AE21" t="str" cm="1">
        <f t="array" ref="AE21">INDEX(_xlfn.TEXTSPLIT(טבלה1[[#This Row],[size]],"×"),2)</f>
        <v>71.5</v>
      </c>
      <c r="AF21" t="str" cm="1">
        <f t="array" ref="AF21">INDEX(_xlfn.TEXTSPLIT(טבלה1[[#This Row],[size]],"×"),1)</f>
        <v>146.7</v>
      </c>
      <c r="AG21" t="s">
        <v>186</v>
      </c>
      <c r="AH21">
        <f>VLOOKUP(A21,weight[],2,FALSE)</f>
        <v>173</v>
      </c>
      <c r="AI21" t="s">
        <v>202</v>
      </c>
      <c r="AJ21" t="s">
        <v>207</v>
      </c>
      <c r="AK21" t="s">
        <v>210</v>
      </c>
      <c r="AL21" t="s">
        <v>217</v>
      </c>
      <c r="AM21">
        <v>19</v>
      </c>
      <c r="AN21">
        <v>1</v>
      </c>
      <c r="AO21">
        <v>20</v>
      </c>
      <c r="AP21">
        <v>429</v>
      </c>
      <c r="AQ21">
        <v>579</v>
      </c>
      <c r="AR21" t="str">
        <f>VLOOKUP(A21,charge[],2,FALSE)</f>
        <v>Lightning Connector</v>
      </c>
      <c r="AS21">
        <f>טבלה1[[#This Row],[launch_price_usd.min]]*3.33</f>
        <v>1428.57</v>
      </c>
      <c r="AT21">
        <f>טבלה1[[#This Row],[launch_price_usd.max]]*3.33</f>
        <v>1928.07</v>
      </c>
      <c r="AU21" t="str">
        <f>VLOOKUP(A21,airplay[],3,FALSE)</f>
        <v>Full AirPlay support</v>
      </c>
      <c r="AV21">
        <v>1</v>
      </c>
      <c r="AW21">
        <v>1</v>
      </c>
      <c r="AX21" t="s">
        <v>516</v>
      </c>
      <c r="AY21" t="s">
        <v>520</v>
      </c>
      <c r="AZ21">
        <v>0</v>
      </c>
      <c r="BA21">
        <f>SUM(טבלה1[[#This Row],[Power]:[Silent Switch]])</f>
        <v>3</v>
      </c>
      <c r="BB21">
        <v>1</v>
      </c>
      <c r="BC21">
        <v>1</v>
      </c>
      <c r="BD21">
        <v>1</v>
      </c>
      <c r="BE21">
        <v>0</v>
      </c>
      <c r="BF21">
        <f>VLOOKUP(A21,rate[],2,FALSE)</f>
        <v>96</v>
      </c>
      <c r="BG21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1280187283.4138851</v>
      </c>
      <c r="BH21">
        <f t="shared" si="0"/>
        <v>51.72</v>
      </c>
    </row>
    <row r="22" spans="1:60" x14ac:dyDescent="0.15">
      <c r="A22" t="s">
        <v>44</v>
      </c>
      <c r="B22">
        <f>IF(ISNUMBER(SEARCH(טבלה1[[#Headers],[purple]], $P22)), 1, 0)</f>
        <v>0</v>
      </c>
      <c r="C22">
        <f>IF(ISNUMBER(SEARCH(טבלה1[[#Headers],[green]], $P22)), 1, 0)</f>
        <v>1</v>
      </c>
      <c r="D22">
        <f>IF(ISNUMBER(SEARCH(טבלה1[[#Headers],[coral]], $P22)), 1, 0)</f>
        <v>0</v>
      </c>
      <c r="E22">
        <f>IF(ISNUMBER(SEARCH(טבלה1[[#Headers],[blue]], $P22)), 1, 0)</f>
        <v>1</v>
      </c>
      <c r="F22">
        <f>IF(ISNUMBER(SEARCH(טבלה1[[#Headers],[yellow]], $P22)), 1, 0)</f>
        <v>0</v>
      </c>
      <c r="G22">
        <f>IF(ISNUMBER(SEARCH(טבלה1[[#Headers],[red]], $P22)), 1, 0)</f>
        <v>0</v>
      </c>
      <c r="H22">
        <f>IF(ISNUMBER(SEARCH(טבלה1[[#Headers],[jet black]], $P22)), 1, 0)</f>
        <v>0</v>
      </c>
      <c r="I22">
        <f>IF(ISNUMBER(SEARCH(טבלה1[[#Headers],[rose gold]], $P22)), 1, 0)</f>
        <v>0</v>
      </c>
      <c r="J22">
        <f>IF(ISNUMBER(SEARCH(טבלה1[[#Headers],[gold]], $P22)), 1, 0)</f>
        <v>1</v>
      </c>
      <c r="K22">
        <f>IF(ISNUMBER(SEARCH(טבלה1[[#Headers],[silver]], $P22)), 1, 0)</f>
        <v>1</v>
      </c>
      <c r="L22">
        <f>IF(ISNUMBER(SEARCH(טבלה1[[#Headers],[space gray]], $P22)), 1, 0)</f>
        <v>0</v>
      </c>
      <c r="M22">
        <f>IF(ISNUMBER(SEARCH(טבלה1[[#Headers],[white]], $P22)), 1, 0)</f>
        <v>0</v>
      </c>
      <c r="N22">
        <f>IF(ISNUMBER(SEARCH(טבלה1[[#Headers],[Black]], $P22)), 1, 0)</f>
        <v>0</v>
      </c>
      <c r="O22">
        <f>IF(ISNUMBER(SEARCH(טבלה1[[#Headers],[graphite]], $P22)), 1, 0)</f>
        <v>1</v>
      </c>
      <c r="P22" t="s">
        <v>72</v>
      </c>
      <c r="Q22">
        <v>12</v>
      </c>
      <c r="R22" s="3" t="str">
        <f>VLOOKUP(A22,camnum[],4,FALSE)</f>
        <v>3</v>
      </c>
      <c r="S22">
        <v>12</v>
      </c>
      <c r="T22" s="3" t="str" cm="1">
        <f t="array" ref="T22">INDEX(_xlfn.TEXTSPLIT(טבלה1[[#This Row],[size]],"×"),3)</f>
        <v>7.7</v>
      </c>
      <c r="U22" s="3" t="str">
        <f>TEXT(טבלה1[[#This Row],[release_date_first]], "yyyy-mm-dd")</f>
        <v>2021-09-24</v>
      </c>
      <c r="V22" s="8" t="s">
        <v>95</v>
      </c>
      <c r="W22" t="s">
        <v>113</v>
      </c>
      <c r="X22" t="s">
        <v>126</v>
      </c>
      <c r="Y22">
        <v>6</v>
      </c>
      <c r="Z22" t="s">
        <v>148</v>
      </c>
      <c r="AA22">
        <f>IF(טבלה1[[#This Row],[display_inner_resolution]]&gt;0,1,0)</f>
        <v>0</v>
      </c>
      <c r="AC22" t="s">
        <v>162</v>
      </c>
      <c r="AD22">
        <v>3095</v>
      </c>
      <c r="AE22" t="str" cm="1">
        <f t="array" ref="AE22">INDEX(_xlfn.TEXTSPLIT(טבלה1[[#This Row],[size]],"×"),2)</f>
        <v>71.5</v>
      </c>
      <c r="AF22" t="str" cm="1">
        <f t="array" ref="AF22">INDEX(_xlfn.TEXTSPLIT(טבלה1[[#This Row],[size]],"×"),1)</f>
        <v>146.7</v>
      </c>
      <c r="AG22" t="s">
        <v>186</v>
      </c>
      <c r="AH22">
        <f>VLOOKUP(A22,weight[],2,FALSE)</f>
        <v>203</v>
      </c>
      <c r="AI22" t="s">
        <v>200</v>
      </c>
      <c r="AJ22" t="s">
        <v>207</v>
      </c>
      <c r="AK22" t="s">
        <v>210</v>
      </c>
      <c r="AL22" t="s">
        <v>217</v>
      </c>
      <c r="AM22">
        <v>22</v>
      </c>
      <c r="AN22">
        <v>1</v>
      </c>
      <c r="AO22">
        <v>25</v>
      </c>
      <c r="AP22">
        <v>699</v>
      </c>
      <c r="AQ22">
        <v>849</v>
      </c>
      <c r="AR22" t="str">
        <f>VLOOKUP(A22,charge[],2,FALSE)</f>
        <v>Lightning Connector</v>
      </c>
      <c r="AS22">
        <f>טבלה1[[#This Row],[launch_price_usd.min]]*3.33</f>
        <v>2327.67</v>
      </c>
      <c r="AT22">
        <f>טבלה1[[#This Row],[launch_price_usd.max]]*3.33</f>
        <v>2827.17</v>
      </c>
      <c r="AU22" t="str">
        <f>VLOOKUP(A22,airplay[],3,FALSE)</f>
        <v>Full AirPlay support</v>
      </c>
      <c r="AV22">
        <v>1</v>
      </c>
      <c r="AW22">
        <v>1</v>
      </c>
      <c r="AX22" t="s">
        <v>516</v>
      </c>
      <c r="AY22" t="s">
        <v>520</v>
      </c>
      <c r="AZ22">
        <v>0</v>
      </c>
      <c r="BA22">
        <f>SUM(טבלה1[[#This Row],[Power]:[Silent Switch]])</f>
        <v>3</v>
      </c>
      <c r="BB22">
        <v>1</v>
      </c>
      <c r="BC22">
        <v>1</v>
      </c>
      <c r="BD22">
        <v>1</v>
      </c>
      <c r="BE22">
        <v>0</v>
      </c>
      <c r="BF22">
        <f>VLOOKUP(A22,rate[],2,FALSE)</f>
        <v>93</v>
      </c>
      <c r="BG22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17567909108.740734</v>
      </c>
      <c r="BH22">
        <f t="shared" si="0"/>
        <v>58.18</v>
      </c>
    </row>
    <row r="23" spans="1:60" x14ac:dyDescent="0.15">
      <c r="A23" t="s">
        <v>45</v>
      </c>
      <c r="B23">
        <f>IF(ISNUMBER(SEARCH(טבלה1[[#Headers],[purple]], $P23)), 1, 0)</f>
        <v>1</v>
      </c>
      <c r="C23">
        <f>IF(ISNUMBER(SEARCH(טבלה1[[#Headers],[green]], $P23)), 1, 0)</f>
        <v>0</v>
      </c>
      <c r="D23">
        <f>IF(ISNUMBER(SEARCH(טבלה1[[#Headers],[coral]], $P23)), 1, 0)</f>
        <v>0</v>
      </c>
      <c r="E23">
        <f>IF(ISNUMBER(SEARCH(טבלה1[[#Headers],[blue]], $P23)), 1, 0)</f>
        <v>1</v>
      </c>
      <c r="F23">
        <f>IF(ISNUMBER(SEARCH(טבלה1[[#Headers],[yellow]], $P23)), 1, 0)</f>
        <v>0</v>
      </c>
      <c r="G23">
        <f>IF(ISNUMBER(SEARCH(טבלה1[[#Headers],[red]], $P23)), 1, 0)</f>
        <v>1</v>
      </c>
      <c r="H23">
        <f>IF(ISNUMBER(SEARCH(טבלה1[[#Headers],[jet black]], $P23)), 1, 0)</f>
        <v>0</v>
      </c>
      <c r="I23">
        <f>IF(ISNUMBER(SEARCH(טבלה1[[#Headers],[rose gold]], $P23)), 1, 0)</f>
        <v>0</v>
      </c>
      <c r="J23">
        <f>IF(ISNUMBER(SEARCH(טבלה1[[#Headers],[gold]], $P23)), 1, 0)</f>
        <v>0</v>
      </c>
      <c r="K23">
        <f>IF(ISNUMBER(SEARCH(טבלה1[[#Headers],[silver]], $P23)), 1, 0)</f>
        <v>0</v>
      </c>
      <c r="L23">
        <f>IF(ISNUMBER(SEARCH(טבלה1[[#Headers],[space gray]], $P23)), 1, 0)</f>
        <v>0</v>
      </c>
      <c r="M23">
        <f>IF(ISNUMBER(SEARCH(טבלה1[[#Headers],[white]], $P23)), 1, 0)</f>
        <v>0</v>
      </c>
      <c r="N23">
        <f>IF(ISNUMBER(SEARCH(טבלה1[[#Headers],[Black]], $P23)), 1, 0)</f>
        <v>0</v>
      </c>
      <c r="O23">
        <f>IF(ISNUMBER(SEARCH(טבלה1[[#Headers],[graphite]], $P23)), 1, 0)</f>
        <v>0</v>
      </c>
      <c r="P23" t="s">
        <v>73</v>
      </c>
      <c r="Q23">
        <v>12</v>
      </c>
      <c r="R23" s="3" t="str">
        <f>VLOOKUP(A23,camnum[],4,FALSE)</f>
        <v>2</v>
      </c>
      <c r="S23">
        <v>12</v>
      </c>
      <c r="T23" s="3" t="str" cm="1">
        <f t="array" ref="T23">INDEX(_xlfn.TEXTSPLIT(טבלה1[[#This Row],[size]],"×"),3)</f>
        <v>7.8</v>
      </c>
      <c r="U23" s="3" t="str">
        <f>TEXT(טבלה1[[#This Row],[release_date_first]], "yyyy-mm-dd")</f>
        <v>2022-09-16</v>
      </c>
      <c r="V23" s="8" t="s">
        <v>96</v>
      </c>
      <c r="W23" t="s">
        <v>113</v>
      </c>
      <c r="X23" t="s">
        <v>125</v>
      </c>
      <c r="Y23">
        <v>6</v>
      </c>
      <c r="Z23" t="s">
        <v>147</v>
      </c>
      <c r="AA23">
        <f>IF(טבלה1[[#This Row],[display_inner_resolution]]&gt;0,1,0)</f>
        <v>0</v>
      </c>
      <c r="AC23" t="s">
        <v>162</v>
      </c>
      <c r="AD23">
        <v>3279</v>
      </c>
      <c r="AE23" t="str" cm="1">
        <f t="array" ref="AE23">INDEX(_xlfn.TEXTSPLIT(טבלה1[[#This Row],[size]],"×"),2)</f>
        <v>71.5</v>
      </c>
      <c r="AF23" t="str" cm="1">
        <f t="array" ref="AF23">INDEX(_xlfn.TEXTSPLIT(טבלה1[[#This Row],[size]],"×"),1)</f>
        <v>146.7</v>
      </c>
      <c r="AG23" t="s">
        <v>187</v>
      </c>
      <c r="AH23">
        <f>VLOOKUP(A23,weight[],2,FALSE)</f>
        <v>172</v>
      </c>
      <c r="AI23" t="s">
        <v>202</v>
      </c>
      <c r="AJ23" t="s">
        <v>207</v>
      </c>
      <c r="AK23" t="s">
        <v>210</v>
      </c>
      <c r="AL23" t="s">
        <v>217</v>
      </c>
      <c r="AM23">
        <v>20</v>
      </c>
      <c r="AN23">
        <v>1</v>
      </c>
      <c r="AO23">
        <v>20</v>
      </c>
      <c r="AP23">
        <v>429</v>
      </c>
      <c r="AQ23">
        <v>579</v>
      </c>
      <c r="AR23" t="str">
        <f>VLOOKUP(A23,charge[],2,FALSE)</f>
        <v>Lightning Connector</v>
      </c>
      <c r="AS23">
        <f>טבלה1[[#This Row],[launch_price_usd.min]]*3.33</f>
        <v>1428.57</v>
      </c>
      <c r="AT23">
        <f>טבלה1[[#This Row],[launch_price_usd.max]]*3.33</f>
        <v>1928.07</v>
      </c>
      <c r="AU23" t="str">
        <f>VLOOKUP(A23,airplay[],3,FALSE)</f>
        <v>Full AirPlay support</v>
      </c>
      <c r="AV23">
        <v>1</v>
      </c>
      <c r="AW23">
        <v>1</v>
      </c>
      <c r="AX23" t="s">
        <v>516</v>
      </c>
      <c r="AY23" t="s">
        <v>520</v>
      </c>
      <c r="AZ23">
        <v>0</v>
      </c>
      <c r="BA23">
        <f>SUM(טבלה1[[#This Row],[Power]:[Silent Switch]])</f>
        <v>3</v>
      </c>
      <c r="BB23">
        <v>1</v>
      </c>
      <c r="BC23">
        <v>1</v>
      </c>
      <c r="BD23">
        <v>1</v>
      </c>
      <c r="BE23">
        <v>0</v>
      </c>
      <c r="BF23">
        <f>VLOOKUP(A23,rate[],2,FALSE)</f>
        <v>80</v>
      </c>
      <c r="BG23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1495232010.6467679</v>
      </c>
      <c r="BH23">
        <f t="shared" si="0"/>
        <v>52.1</v>
      </c>
    </row>
    <row r="24" spans="1:60" x14ac:dyDescent="0.15">
      <c r="A24" t="s">
        <v>46</v>
      </c>
      <c r="B24">
        <f>IF(ISNUMBER(SEARCH(טבלה1[[#Headers],[purple]], $P24)), 1, 0)</f>
        <v>1</v>
      </c>
      <c r="C24">
        <f>IF(ISNUMBER(SEARCH(טבלה1[[#Headers],[green]], $P24)), 1, 0)</f>
        <v>0</v>
      </c>
      <c r="D24">
        <f>IF(ISNUMBER(SEARCH(טבלה1[[#Headers],[coral]], $P24)), 1, 0)</f>
        <v>0</v>
      </c>
      <c r="E24">
        <f>IF(ISNUMBER(SEARCH(טבלה1[[#Headers],[blue]], $P24)), 1, 0)</f>
        <v>0</v>
      </c>
      <c r="F24">
        <f>IF(ISNUMBER(SEARCH(טבלה1[[#Headers],[yellow]], $P24)), 1, 0)</f>
        <v>0</v>
      </c>
      <c r="G24">
        <f>IF(ISNUMBER(SEARCH(טבלה1[[#Headers],[red]], $P24)), 1, 0)</f>
        <v>0</v>
      </c>
      <c r="H24">
        <f>IF(ISNUMBER(SEARCH(טבלה1[[#Headers],[jet black]], $P24)), 1, 0)</f>
        <v>0</v>
      </c>
      <c r="I24">
        <f>IF(ISNUMBER(SEARCH(טבלה1[[#Headers],[rose gold]], $P24)), 1, 0)</f>
        <v>0</v>
      </c>
      <c r="J24">
        <f>IF(ISNUMBER(SEARCH(טבלה1[[#Headers],[gold]], $P24)), 1, 0)</f>
        <v>1</v>
      </c>
      <c r="K24">
        <f>IF(ISNUMBER(SEARCH(טבלה1[[#Headers],[silver]], $P24)), 1, 0)</f>
        <v>1</v>
      </c>
      <c r="L24">
        <f>IF(ISNUMBER(SEARCH(טבלה1[[#Headers],[space gray]], $P24)), 1, 0)</f>
        <v>0</v>
      </c>
      <c r="M24">
        <f>IF(ISNUMBER(SEARCH(טבלה1[[#Headers],[white]], $P24)), 1, 0)</f>
        <v>0</v>
      </c>
      <c r="N24">
        <f>IF(ISNUMBER(SEARCH(טבלה1[[#Headers],[Black]], $P24)), 1, 0)</f>
        <v>1</v>
      </c>
      <c r="O24">
        <f>IF(ISNUMBER(SEARCH(טבלה1[[#Headers],[graphite]], $P24)), 1, 0)</f>
        <v>0</v>
      </c>
      <c r="P24" t="s">
        <v>74</v>
      </c>
      <c r="Q24">
        <v>12</v>
      </c>
      <c r="R24" s="3" t="str">
        <f>VLOOKUP(A24,camnum[],4,FALSE)</f>
        <v>3</v>
      </c>
      <c r="S24">
        <v>48</v>
      </c>
      <c r="T24" s="3" t="str" cm="1">
        <f t="array" ref="T24">INDEX(_xlfn.TEXTSPLIT(טבלה1[[#This Row],[size]],"×"),3)</f>
        <v>7.9</v>
      </c>
      <c r="U24" s="3" t="str">
        <f>TEXT(טבלה1[[#This Row],[release_date_first]], "yyyy-mm-dd")</f>
        <v>2022-09-16</v>
      </c>
      <c r="V24" s="8" t="s">
        <v>96</v>
      </c>
      <c r="W24" t="s">
        <v>113</v>
      </c>
      <c r="X24" t="s">
        <v>127</v>
      </c>
      <c r="Y24">
        <v>6</v>
      </c>
      <c r="Z24" t="s">
        <v>148</v>
      </c>
      <c r="AA24">
        <f>IF(טבלה1[[#This Row],[display_inner_resolution]]&gt;0,1,0)</f>
        <v>0</v>
      </c>
      <c r="AC24" t="s">
        <v>163</v>
      </c>
      <c r="AD24">
        <v>3200</v>
      </c>
      <c r="AE24" t="str" cm="1">
        <f t="array" ref="AE24">INDEX(_xlfn.TEXTSPLIT(טבלה1[[#This Row],[size]],"×"),2)</f>
        <v>71.5</v>
      </c>
      <c r="AF24" t="str" cm="1">
        <f t="array" ref="AF24">INDEX(_xlfn.TEXTSPLIT(טבלה1[[#This Row],[size]],"×"),1)</f>
        <v>147.5</v>
      </c>
      <c r="AG24" t="s">
        <v>188</v>
      </c>
      <c r="AH24">
        <f>VLOOKUP(A24,weight[],2,FALSE)</f>
        <v>206</v>
      </c>
      <c r="AI24" t="s">
        <v>200</v>
      </c>
      <c r="AJ24" t="s">
        <v>207</v>
      </c>
      <c r="AK24" t="s">
        <v>210</v>
      </c>
      <c r="AL24" t="s">
        <v>217</v>
      </c>
      <c r="AM24">
        <v>23</v>
      </c>
      <c r="AN24">
        <v>1</v>
      </c>
      <c r="AO24">
        <v>25</v>
      </c>
      <c r="AP24">
        <v>699</v>
      </c>
      <c r="AQ24">
        <v>849</v>
      </c>
      <c r="AR24" t="str">
        <f>VLOOKUP(A24,charge[],2,FALSE)</f>
        <v>Lightning Connector</v>
      </c>
      <c r="AS24">
        <f>טבלה1[[#This Row],[launch_price_usd.min]]*3.33</f>
        <v>2327.67</v>
      </c>
      <c r="AT24">
        <f>טבלה1[[#This Row],[launch_price_usd.max]]*3.33</f>
        <v>2827.17</v>
      </c>
      <c r="AU24" t="str">
        <f>VLOOKUP(A24,airplay[],3,FALSE)</f>
        <v>Full AirPlay support</v>
      </c>
      <c r="AV24">
        <v>1</v>
      </c>
      <c r="AW24">
        <v>1</v>
      </c>
      <c r="AX24" t="s">
        <v>516</v>
      </c>
      <c r="AY24" t="s">
        <v>520</v>
      </c>
      <c r="AZ24">
        <v>0</v>
      </c>
      <c r="BA24">
        <f>SUM(טבלה1[[#This Row],[Power]:[Silent Switch]])</f>
        <v>3</v>
      </c>
      <c r="BB24">
        <v>1</v>
      </c>
      <c r="BC24">
        <v>1</v>
      </c>
      <c r="BD24">
        <v>1</v>
      </c>
      <c r="BE24">
        <v>0</v>
      </c>
      <c r="BF24">
        <f>VLOOKUP(A24,rate[],2,FALSE)</f>
        <v>94</v>
      </c>
      <c r="BG24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25349759528.591564</v>
      </c>
      <c r="BH24">
        <f t="shared" si="0"/>
        <v>59.08</v>
      </c>
    </row>
    <row r="25" spans="1:60" x14ac:dyDescent="0.15">
      <c r="A25" t="s">
        <v>47</v>
      </c>
      <c r="B25">
        <f>IF(ISNUMBER(SEARCH(טבלה1[[#Headers],[purple]], $P25)), 1, 0)</f>
        <v>0</v>
      </c>
      <c r="C25">
        <f>IF(ISNUMBER(SEARCH(טבלה1[[#Headers],[green]], $P25)), 1, 0)</f>
        <v>1</v>
      </c>
      <c r="D25">
        <f>IF(ISNUMBER(SEARCH(טבלה1[[#Headers],[coral]], $P25)), 1, 0)</f>
        <v>0</v>
      </c>
      <c r="E25">
        <f>IF(ISNUMBER(SEARCH(טבלה1[[#Headers],[blue]], $P25)), 1, 0)</f>
        <v>1</v>
      </c>
      <c r="F25">
        <f>IF(ISNUMBER(SEARCH(טבלה1[[#Headers],[yellow]], $P25)), 1, 0)</f>
        <v>1</v>
      </c>
      <c r="G25">
        <f>IF(ISNUMBER(SEARCH(טבלה1[[#Headers],[red]], $P25)), 1, 0)</f>
        <v>0</v>
      </c>
      <c r="H25">
        <f>IF(ISNUMBER(SEARCH(טבלה1[[#Headers],[jet black]], $P25)), 1, 0)</f>
        <v>0</v>
      </c>
      <c r="I25">
        <f>IF(ISNUMBER(SEARCH(טבלה1[[#Headers],[rose gold]], $P25)), 1, 0)</f>
        <v>0</v>
      </c>
      <c r="J25">
        <f>IF(ISNUMBER(SEARCH(טבלה1[[#Headers],[gold]], $P25)), 1, 0)</f>
        <v>0</v>
      </c>
      <c r="K25">
        <f>IF(ISNUMBER(SEARCH(טבלה1[[#Headers],[silver]], $P25)), 1, 0)</f>
        <v>0</v>
      </c>
      <c r="L25">
        <f>IF(ISNUMBER(SEARCH(טבלה1[[#Headers],[space gray]], $P25)), 1, 0)</f>
        <v>0</v>
      </c>
      <c r="M25">
        <f>IF(ISNUMBER(SEARCH(טבלה1[[#Headers],[white]], $P25)), 1, 0)</f>
        <v>0</v>
      </c>
      <c r="N25">
        <f>IF(ISNUMBER(SEARCH(טבלה1[[#Headers],[Black]], $P25)), 1, 0)</f>
        <v>1</v>
      </c>
      <c r="O25">
        <f>IF(ISNUMBER(SEARCH(טבלה1[[#Headers],[graphite]], $P25)), 1, 0)</f>
        <v>0</v>
      </c>
      <c r="P25" t="s">
        <v>75</v>
      </c>
      <c r="Q25">
        <v>12</v>
      </c>
      <c r="R25" s="3" t="str">
        <f>VLOOKUP(A25,camnum[],4,FALSE)</f>
        <v>2</v>
      </c>
      <c r="S25">
        <v>48</v>
      </c>
      <c r="T25" s="3" t="str" cm="1">
        <f t="array" ref="T25">INDEX(_xlfn.TEXTSPLIT(טבלה1[[#This Row],[size]],"×"),3)</f>
        <v>7.8</v>
      </c>
      <c r="U25" s="3" t="str">
        <f>TEXT(טבלה1[[#This Row],[release_date_first]], "yyyy-mm-dd")</f>
        <v>2023-09-22</v>
      </c>
      <c r="V25" s="8" t="s">
        <v>97</v>
      </c>
      <c r="W25" t="s">
        <v>113</v>
      </c>
      <c r="X25" t="s">
        <v>127</v>
      </c>
      <c r="Y25">
        <v>6</v>
      </c>
      <c r="Z25" t="s">
        <v>147</v>
      </c>
      <c r="AA25">
        <f>IF(טבלה1[[#This Row],[display_inner_resolution]]&gt;0,1,0)</f>
        <v>0</v>
      </c>
      <c r="AC25" t="s">
        <v>163</v>
      </c>
      <c r="AD25">
        <v>3349</v>
      </c>
      <c r="AE25" t="str" cm="1">
        <f t="array" ref="AE25">INDEX(_xlfn.TEXTSPLIT(טבלה1[[#This Row],[size]],"×"),2)</f>
        <v>71.6</v>
      </c>
      <c r="AF25" t="str" cm="1">
        <f t="array" ref="AF25">INDEX(_xlfn.TEXTSPLIT(טבלה1[[#This Row],[size]],"×"),1)</f>
        <v>147.6</v>
      </c>
      <c r="AG25" t="s">
        <v>189</v>
      </c>
      <c r="AH25">
        <f>VLOOKUP(A25,weight[],2,FALSE)</f>
        <v>171</v>
      </c>
      <c r="AI25" t="s">
        <v>202</v>
      </c>
      <c r="AJ25" t="s">
        <v>207</v>
      </c>
      <c r="AK25" t="s">
        <v>210</v>
      </c>
      <c r="AL25" t="s">
        <v>217</v>
      </c>
      <c r="AM25">
        <v>20</v>
      </c>
      <c r="AN25">
        <v>1</v>
      </c>
      <c r="AO25">
        <v>20</v>
      </c>
      <c r="AP25">
        <v>429</v>
      </c>
      <c r="AQ25">
        <v>579</v>
      </c>
      <c r="AR25" t="str">
        <f>VLOOKUP(A25,charge[],2,FALSE)</f>
        <v>USB-C</v>
      </c>
      <c r="AS25">
        <f>טבלה1[[#This Row],[launch_price_usd.min]]*3.33</f>
        <v>1428.57</v>
      </c>
      <c r="AT25">
        <f>טבלה1[[#This Row],[launch_price_usd.max]]*3.33</f>
        <v>1928.07</v>
      </c>
      <c r="AU25" t="str">
        <f>VLOOKUP(A25,airplay[],3,FALSE)</f>
        <v>Full AirPlay support</v>
      </c>
      <c r="AV25">
        <v>1</v>
      </c>
      <c r="AW25">
        <v>1</v>
      </c>
      <c r="AX25" t="s">
        <v>516</v>
      </c>
      <c r="AY25" t="s">
        <v>520</v>
      </c>
      <c r="AZ25">
        <v>0</v>
      </c>
      <c r="BA25">
        <f>SUM(טבלה1[[#This Row],[Power]:[Silent Switch]])</f>
        <v>3</v>
      </c>
      <c r="BB25">
        <v>1</v>
      </c>
      <c r="BC25">
        <v>1</v>
      </c>
      <c r="BD25">
        <v>1</v>
      </c>
      <c r="BE25">
        <v>0</v>
      </c>
      <c r="BF25">
        <f>VLOOKUP(A25,rate[],2,FALSE)</f>
        <v>77</v>
      </c>
      <c r="BG25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1464357209.0771077</v>
      </c>
      <c r="BH25">
        <f t="shared" si="0"/>
        <v>52.05</v>
      </c>
    </row>
    <row r="26" spans="1:60" x14ac:dyDescent="0.15">
      <c r="A26" t="s">
        <v>48</v>
      </c>
      <c r="B26">
        <f>IF(ISNUMBER(SEARCH(טבלה1[[#Headers],[purple]], $P26)), 1, 0)</f>
        <v>0</v>
      </c>
      <c r="C26">
        <f>IF(ISNUMBER(SEARCH(טבלה1[[#Headers],[green]], $P26)), 1, 0)</f>
        <v>0</v>
      </c>
      <c r="D26">
        <f>IF(ISNUMBER(SEARCH(טבלה1[[#Headers],[coral]], $P26)), 1, 0)</f>
        <v>0</v>
      </c>
      <c r="E26">
        <f>IF(ISNUMBER(SEARCH(טבלה1[[#Headers],[blue]], $P26)), 1, 0)</f>
        <v>1</v>
      </c>
      <c r="F26">
        <f>IF(ISNUMBER(SEARCH(טבלה1[[#Headers],[yellow]], $P26)), 1, 0)</f>
        <v>0</v>
      </c>
      <c r="G26">
        <f>IF(ISNUMBER(SEARCH(טבלה1[[#Headers],[red]], $P26)), 1, 0)</f>
        <v>0</v>
      </c>
      <c r="H26">
        <f>IF(ISNUMBER(SEARCH(טבלה1[[#Headers],[jet black]], $P26)), 1, 0)</f>
        <v>0</v>
      </c>
      <c r="I26">
        <f>IF(ISNUMBER(SEARCH(טבלה1[[#Headers],[rose gold]], $P26)), 1, 0)</f>
        <v>0</v>
      </c>
      <c r="J26">
        <f>IF(ISNUMBER(SEARCH(טבלה1[[#Headers],[gold]], $P26)), 1, 0)</f>
        <v>0</v>
      </c>
      <c r="K26">
        <f>IF(ISNUMBER(SEARCH(טבלה1[[#Headers],[silver]], $P26)), 1, 0)</f>
        <v>0</v>
      </c>
      <c r="L26">
        <f>IF(ISNUMBER(SEARCH(טבלה1[[#Headers],[space gray]], $P26)), 1, 0)</f>
        <v>0</v>
      </c>
      <c r="M26">
        <f>IF(ISNUMBER(SEARCH(טבלה1[[#Headers],[white]], $P26)), 1, 0)</f>
        <v>1</v>
      </c>
      <c r="N26">
        <f>IF(ISNUMBER(SEARCH(טבלה1[[#Headers],[Black]], $P26)), 1, 0)</f>
        <v>1</v>
      </c>
      <c r="O26">
        <f>IF(ISNUMBER(SEARCH(טבלה1[[#Headers],[graphite]], $P26)), 1, 0)</f>
        <v>0</v>
      </c>
      <c r="P26" t="s">
        <v>76</v>
      </c>
      <c r="Q26">
        <v>12</v>
      </c>
      <c r="R26" s="3" t="str">
        <f>VLOOKUP(A26,camnum[],4,FALSE)</f>
        <v>3</v>
      </c>
      <c r="S26">
        <v>48</v>
      </c>
      <c r="T26" s="3" t="str" cm="1">
        <f t="array" ref="T26">INDEX(_xlfn.TEXTSPLIT(טבלה1[[#This Row],[size]],"×"),3)</f>
        <v>8.3</v>
      </c>
      <c r="U26" s="3" t="str">
        <f>TEXT(טבלה1[[#This Row],[release_date_first]], "yyyy-mm-dd")</f>
        <v>2023-09-22</v>
      </c>
      <c r="V26" s="8" t="s">
        <v>97</v>
      </c>
      <c r="W26" t="s">
        <v>113</v>
      </c>
      <c r="X26" t="s">
        <v>128</v>
      </c>
      <c r="Y26">
        <v>8</v>
      </c>
      <c r="Z26" t="s">
        <v>148</v>
      </c>
      <c r="AA26">
        <f>IF(טבלה1[[#This Row],[display_inner_resolution]]&gt;0,1,0)</f>
        <v>0</v>
      </c>
      <c r="AC26" t="s">
        <v>163</v>
      </c>
      <c r="AD26">
        <v>3274</v>
      </c>
      <c r="AE26" t="str" cm="1">
        <f t="array" ref="AE26">INDEX(_xlfn.TEXTSPLIT(טבלה1[[#This Row],[size]],"×"),2)</f>
        <v>70.6</v>
      </c>
      <c r="AF26" t="str" cm="1">
        <f t="array" ref="AF26">INDEX(_xlfn.TEXTSPLIT(טבלה1[[#This Row],[size]],"×"),1)</f>
        <v>146.6</v>
      </c>
      <c r="AG26" t="s">
        <v>190</v>
      </c>
      <c r="AH26">
        <f>VLOOKUP(A26,weight[],2,FALSE)</f>
        <v>187</v>
      </c>
      <c r="AI26" t="s">
        <v>203</v>
      </c>
      <c r="AJ26" t="s">
        <v>207</v>
      </c>
      <c r="AK26" t="s">
        <v>210</v>
      </c>
      <c r="AL26" t="s">
        <v>217</v>
      </c>
      <c r="AM26">
        <v>23</v>
      </c>
      <c r="AN26">
        <v>1</v>
      </c>
      <c r="AO26">
        <v>27</v>
      </c>
      <c r="AP26">
        <v>699</v>
      </c>
      <c r="AQ26">
        <v>849</v>
      </c>
      <c r="AR26" t="str">
        <f>VLOOKUP(A26,charge[],2,FALSE)</f>
        <v>USB-C</v>
      </c>
      <c r="AS26">
        <f>טבלה1[[#This Row],[launch_price_usd.min]]*3.33</f>
        <v>2327.67</v>
      </c>
      <c r="AT26">
        <f>טבלה1[[#This Row],[launch_price_usd.max]]*3.33</f>
        <v>2827.17</v>
      </c>
      <c r="AU26" t="str">
        <f>VLOOKUP(A26,airplay[],3,FALSE)</f>
        <v>Full AirPlay support</v>
      </c>
      <c r="AV26">
        <v>1</v>
      </c>
      <c r="AW26">
        <v>1</v>
      </c>
      <c r="AX26" t="s">
        <v>516</v>
      </c>
      <c r="AY26" t="s">
        <v>520</v>
      </c>
      <c r="AZ26">
        <v>0</v>
      </c>
      <c r="BA26">
        <f>SUM(טבלה1[[#This Row],[Power]:[Silent Switch]])</f>
        <v>3</v>
      </c>
      <c r="BB26">
        <v>1</v>
      </c>
      <c r="BC26">
        <v>1</v>
      </c>
      <c r="BD26">
        <v>1</v>
      </c>
      <c r="BE26">
        <v>0</v>
      </c>
      <c r="BF26">
        <f>VLOOKUP(A26,rate[],2,FALSE)</f>
        <v>95</v>
      </c>
      <c r="BG26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50991421309.123627</v>
      </c>
      <c r="BH26">
        <f t="shared" si="0"/>
        <v>60.81</v>
      </c>
    </row>
    <row r="27" spans="1:60" ht="15" thickBot="1" x14ac:dyDescent="0.2">
      <c r="A27" t="s">
        <v>49</v>
      </c>
      <c r="B27">
        <f>IF(ISNUMBER(SEARCH(טבלה1[[#Headers],[purple]], $P27)), 1, 0)</f>
        <v>0</v>
      </c>
      <c r="C27">
        <f>IF(ISNUMBER(SEARCH(טבלה1[[#Headers],[green]], $P27)), 1, 0)</f>
        <v>0</v>
      </c>
      <c r="D27">
        <f>IF(ISNUMBER(SEARCH(טבלה1[[#Headers],[coral]], $P27)), 1, 0)</f>
        <v>0</v>
      </c>
      <c r="E27">
        <f>IF(ISNUMBER(SEARCH(טבלה1[[#Headers],[blue]], $P27)), 1, 0)</f>
        <v>0</v>
      </c>
      <c r="F27">
        <f>IF(ISNUMBER(SEARCH(טבלה1[[#Headers],[yellow]], $P27)), 1, 0)</f>
        <v>0</v>
      </c>
      <c r="G27">
        <f>IF(ISNUMBER(SEARCH(טבלה1[[#Headers],[red]], $P27)), 1, 0)</f>
        <v>0</v>
      </c>
      <c r="H27">
        <f>IF(ISNUMBER(SEARCH(טבלה1[[#Headers],[jet black]], $P27)), 1, 0)</f>
        <v>0</v>
      </c>
      <c r="I27">
        <f>IF(ISNUMBER(SEARCH(טבלה1[[#Headers],[rose gold]], $P27)), 1, 0)</f>
        <v>0</v>
      </c>
      <c r="J27">
        <f>IF(ISNUMBER(SEARCH(טבלה1[[#Headers],[gold]], $P27)), 1, 0)</f>
        <v>0</v>
      </c>
      <c r="K27">
        <f>IF(ISNUMBER(SEARCH(טבלה1[[#Headers],[silver]], $P27)), 1, 0)</f>
        <v>0</v>
      </c>
      <c r="L27">
        <f>IF(ISNUMBER(SEARCH(טבלה1[[#Headers],[space gray]], $P27)), 1, 0)</f>
        <v>0</v>
      </c>
      <c r="M27">
        <f>IF(ISNUMBER(SEARCH(טבלה1[[#Headers],[white]], $P27)), 1, 0)</f>
        <v>1</v>
      </c>
      <c r="N27">
        <f>IF(ISNUMBER(SEARCH(טבלה1[[#Headers],[Black]], $P27)), 1, 0)</f>
        <v>1</v>
      </c>
      <c r="O27">
        <f>IF(ISNUMBER(SEARCH(טבלה1[[#Headers],[graphite]], $P27)), 1, 0)</f>
        <v>0</v>
      </c>
      <c r="P27" t="s">
        <v>77</v>
      </c>
      <c r="Q27">
        <v>12</v>
      </c>
      <c r="R27" s="3" t="str">
        <f>VLOOKUP(A27,camnum[],4,FALSE)</f>
        <v>2</v>
      </c>
      <c r="S27">
        <v>48</v>
      </c>
      <c r="T27" s="3" t="str" cm="1">
        <f t="array" ref="T27">INDEX(_xlfn.TEXTSPLIT(טבלה1[[#This Row],[size]],"×"),3)</f>
        <v>7.8</v>
      </c>
      <c r="U27" s="3" t="str">
        <f>TEXT(טבלה1[[#This Row],[release_date_first]], "yyyy-mm-dd")</f>
        <v>2024-09-20</v>
      </c>
      <c r="V27" s="8" t="s">
        <v>98</v>
      </c>
      <c r="W27" t="s">
        <v>113</v>
      </c>
      <c r="X27" t="s">
        <v>129</v>
      </c>
      <c r="Y27">
        <v>8</v>
      </c>
      <c r="Z27" t="s">
        <v>147</v>
      </c>
      <c r="AA27">
        <f>IF(טבלה1[[#This Row],[display_inner_resolution]]&gt;0,1,0)</f>
        <v>0</v>
      </c>
      <c r="AC27" t="s">
        <v>163</v>
      </c>
      <c r="AD27">
        <v>3561</v>
      </c>
      <c r="AE27" t="str" cm="1">
        <f t="array" ref="AE27">INDEX(_xlfn.TEXTSPLIT(טבלה1[[#This Row],[size]],"×"),2)</f>
        <v>71.6</v>
      </c>
      <c r="AF27" t="str" cm="1">
        <f t="array" ref="AF27">INDEX(_xlfn.TEXTSPLIT(טבלה1[[#This Row],[size]],"×"),1)</f>
        <v>147.6</v>
      </c>
      <c r="AG27" t="s">
        <v>189</v>
      </c>
      <c r="AH27">
        <f>VLOOKUP(A27,weight[],2,FALSE)</f>
        <v>201</v>
      </c>
      <c r="AI27" t="s">
        <v>202</v>
      </c>
      <c r="AJ27" t="s">
        <v>207</v>
      </c>
      <c r="AK27" t="s">
        <v>211</v>
      </c>
      <c r="AL27" t="s">
        <v>217</v>
      </c>
      <c r="AM27">
        <v>22</v>
      </c>
      <c r="AN27">
        <v>1</v>
      </c>
      <c r="AO27">
        <v>30</v>
      </c>
      <c r="AP27">
        <v>429</v>
      </c>
      <c r="AQ27">
        <v>579</v>
      </c>
      <c r="AR27" t="str">
        <f>VLOOKUP(A27,charge[],2,FALSE)</f>
        <v>USB-C</v>
      </c>
      <c r="AS27">
        <f>טבלה1[[#This Row],[launch_price_usd.min]]*3.33</f>
        <v>1428.57</v>
      </c>
      <c r="AT27">
        <f>טבלה1[[#This Row],[launch_price_usd.max]]*3.33</f>
        <v>1928.07</v>
      </c>
      <c r="AU27" t="str">
        <f>VLOOKUP(A27,airplay[],3,FALSE)</f>
        <v>Full AirPlay support</v>
      </c>
      <c r="AV27">
        <v>1</v>
      </c>
      <c r="AW27">
        <v>1</v>
      </c>
      <c r="AX27" t="s">
        <v>516</v>
      </c>
      <c r="AY27" t="s">
        <v>520</v>
      </c>
      <c r="AZ27">
        <v>0</v>
      </c>
      <c r="BA27">
        <f>SUM(טבלה1[[#This Row],[Power]:[Silent Switch]])</f>
        <v>3</v>
      </c>
      <c r="BB27">
        <v>1</v>
      </c>
      <c r="BC27">
        <v>1</v>
      </c>
      <c r="BD27">
        <v>1</v>
      </c>
      <c r="BE27">
        <v>0</v>
      </c>
      <c r="BF27">
        <f>VLOOKUP(A27,rate[],2,FALSE)</f>
        <v>82</v>
      </c>
      <c r="BG27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87139010978.239822</v>
      </c>
      <c r="BH27">
        <f t="shared" si="0"/>
        <v>62.13</v>
      </c>
    </row>
    <row r="28" spans="1:60" s="16" customFormat="1" x14ac:dyDescent="0.15">
      <c r="A28" s="15" t="s">
        <v>50</v>
      </c>
      <c r="B28" s="16">
        <f>IF(ISNUMBER(SEARCH(טבלה1[[#Headers],[purple]], $P28)), 1, 0)</f>
        <v>0</v>
      </c>
      <c r="C28" s="16">
        <f>IF(ISNUMBER(SEARCH(טבלה1[[#Headers],[green]], $P28)), 1, 0)</f>
        <v>0</v>
      </c>
      <c r="D28" s="16">
        <f>IF(ISNUMBER(SEARCH(טבלה1[[#Headers],[coral]], $P28)), 1, 0)</f>
        <v>0</v>
      </c>
      <c r="E28" s="16">
        <f>IF(ISNUMBER(SEARCH(טבלה1[[#Headers],[blue]], $P28)), 1, 0)</f>
        <v>1</v>
      </c>
      <c r="F28" s="16">
        <f>IF(ISNUMBER(SEARCH(טבלה1[[#Headers],[yellow]], $P28)), 1, 0)</f>
        <v>0</v>
      </c>
      <c r="G28" s="16">
        <f>IF(ISNUMBER(SEARCH(טבלה1[[#Headers],[red]], $P28)), 1, 0)</f>
        <v>0</v>
      </c>
      <c r="H28" s="16">
        <f>IF(ISNUMBER(SEARCH(טבלה1[[#Headers],[jet black]], $P28)), 1, 0)</f>
        <v>0</v>
      </c>
      <c r="I28" s="16">
        <f>IF(ISNUMBER(SEARCH(טבלה1[[#Headers],[rose gold]], $P28)), 1, 0)</f>
        <v>0</v>
      </c>
      <c r="J28" s="16">
        <f>IF(ISNUMBER(SEARCH(טבלה1[[#Headers],[gold]], $P28)), 1, 0)</f>
        <v>0</v>
      </c>
      <c r="K28" s="16">
        <f>IF(ISNUMBER(SEARCH(טבלה1[[#Headers],[silver]], $P28)), 1, 0)</f>
        <v>0</v>
      </c>
      <c r="L28" s="16">
        <f>IF(ISNUMBER(SEARCH(טבלה1[[#Headers],[space gray]], $P28)), 1, 0)</f>
        <v>0</v>
      </c>
      <c r="M28" s="16">
        <f>IF(ISNUMBER(SEARCH(טבלה1[[#Headers],[white]], $P28)), 1, 0)</f>
        <v>1</v>
      </c>
      <c r="N28" s="16">
        <f>IF(ISNUMBER(SEARCH(טבלה1[[#Headers],[Black]], $P28)), 1, 0)</f>
        <v>1</v>
      </c>
      <c r="O28" s="16">
        <f>IF(ISNUMBER(SEARCH(טבלה1[[#Headers],[graphite]], $P28)), 1, 0)</f>
        <v>0</v>
      </c>
      <c r="P28" s="16" t="s">
        <v>78</v>
      </c>
      <c r="Q28" s="16">
        <v>18</v>
      </c>
      <c r="R28" s="17" t="str">
        <f>VLOOKUP(A28,camnum[],4,FALSE)</f>
        <v>3</v>
      </c>
      <c r="S28" s="16">
        <v>48</v>
      </c>
      <c r="T28" s="17" t="str" cm="1">
        <f t="array" ref="T28">INDEX(_xlfn.TEXTSPLIT(טבלה1[[#This Row],[size]],"×"),3)</f>
        <v>7.95</v>
      </c>
      <c r="U28" s="17" t="str">
        <f>TEXT(טבלה1[[#This Row],[release_date_first]], "yyyy-mm-dd")</f>
        <v>2025-09-19</v>
      </c>
      <c r="V28" s="18" t="s">
        <v>99</v>
      </c>
      <c r="W28" s="16" t="s">
        <v>113</v>
      </c>
      <c r="X28" s="16" t="s">
        <v>130</v>
      </c>
      <c r="Y28" s="16">
        <v>8</v>
      </c>
      <c r="Z28" s="16" t="s">
        <v>149</v>
      </c>
      <c r="AA28" s="16">
        <f>IF(טבלה1[[#This Row],[display_inner_resolution]]&gt;0,1,0)</f>
        <v>0</v>
      </c>
      <c r="AC28" s="16" t="s">
        <v>164</v>
      </c>
      <c r="AD28" s="16">
        <v>3692</v>
      </c>
      <c r="AE28" s="16" t="str" cm="1">
        <f t="array" ref="AE28">INDEX(_xlfn.TEXTSPLIT(טבלה1[[#This Row],[size]],"×"),2)</f>
        <v>71.5</v>
      </c>
      <c r="AF28" s="16" t="str" cm="1">
        <f t="array" ref="AF28">INDEX(_xlfn.TEXTSPLIT(טבלה1[[#This Row],[size]],"×"),1)</f>
        <v>149.6</v>
      </c>
      <c r="AG28" s="16" t="s">
        <v>191</v>
      </c>
      <c r="AH28" s="16">
        <f>VLOOKUP(A28,weight[],2,FALSE)</f>
        <v>212</v>
      </c>
      <c r="AI28" s="16" t="s">
        <v>202</v>
      </c>
      <c r="AJ28" s="16" t="s">
        <v>207</v>
      </c>
      <c r="AK28" s="16" t="s">
        <v>212</v>
      </c>
      <c r="AL28" s="16" t="s">
        <v>217</v>
      </c>
      <c r="AM28" s="16">
        <v>30</v>
      </c>
      <c r="AN28" s="16">
        <v>1</v>
      </c>
      <c r="AO28" s="16">
        <v>27</v>
      </c>
      <c r="AP28" s="16">
        <v>799</v>
      </c>
      <c r="AQ28" s="16">
        <v>999</v>
      </c>
      <c r="AR28" s="16" t="str">
        <f>VLOOKUP(A28,charge[],2,FALSE)</f>
        <v>USB-C</v>
      </c>
      <c r="AS28" s="16">
        <f>טבלה1[[#This Row],[launch_price_usd.min]]*3.33</f>
        <v>2660.67</v>
      </c>
      <c r="AT28" s="16">
        <f>טבלה1[[#This Row],[launch_price_usd.max]]*3.33</f>
        <v>3326.67</v>
      </c>
      <c r="AU28" s="16" t="str">
        <f>VLOOKUP(A28,airplay[],3,FALSE)</f>
        <v>Full AirPlay support</v>
      </c>
      <c r="AV28" s="16">
        <v>1</v>
      </c>
      <c r="AW28" s="16">
        <v>1</v>
      </c>
      <c r="AX28" s="16" t="s">
        <v>516</v>
      </c>
      <c r="AY28" s="16" t="s">
        <v>520</v>
      </c>
      <c r="AZ28" s="16">
        <v>0</v>
      </c>
      <c r="BA28" s="16">
        <f>SUM(טבלה1[[#This Row],[Power]:[Silent Switch]])</f>
        <v>3</v>
      </c>
      <c r="BB28" s="16">
        <v>1</v>
      </c>
      <c r="BC28" s="16">
        <v>1</v>
      </c>
      <c r="BD28" s="16">
        <v>1</v>
      </c>
      <c r="BE28" s="16">
        <v>0</v>
      </c>
      <c r="BF28" s="16">
        <f>VLOOKUP(A28,rate[],2,FALSE)</f>
        <v>95</v>
      </c>
      <c r="BG28" s="16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559198344327.53198</v>
      </c>
      <c r="BH28" s="16">
        <f t="shared" si="0"/>
        <v>66.709999999999994</v>
      </c>
    </row>
    <row r="29" spans="1:60" x14ac:dyDescent="0.15">
      <c r="A29" s="19" t="s">
        <v>357</v>
      </c>
      <c r="B29">
        <f>IF(ISNUMBER(SEARCH(טבלה1[[#Headers],[purple]], $P29)), 1, 0)</f>
        <v>0</v>
      </c>
      <c r="C29">
        <f>IF(ISNUMBER(SEARCH(טבלה1[[#Headers],[green]], $P29)), 1, 0)</f>
        <v>0</v>
      </c>
      <c r="D29">
        <f>IF(ISNUMBER(SEARCH(טבלה1[[#Headers],[coral]], $P29)), 1, 0)</f>
        <v>0</v>
      </c>
      <c r="E29">
        <f>IF(ISNUMBER(SEARCH(טבלה1[[#Headers],[blue]], $P29)), 1, 0)</f>
        <v>1</v>
      </c>
      <c r="F29">
        <f>IF(ISNUMBER(SEARCH(טבלה1[[#Headers],[yellow]], $P29)), 1, 0)</f>
        <v>0</v>
      </c>
      <c r="G29">
        <f>IF(ISNUMBER(SEARCH(טבלה1[[#Headers],[red]], $P29)), 1, 0)</f>
        <v>0</v>
      </c>
      <c r="H29">
        <f>IF(ISNUMBER(SEARCH(טבלה1[[#Headers],[jet black]], $P29)), 1, 0)</f>
        <v>0</v>
      </c>
      <c r="I29">
        <f>IF(ISNUMBER(SEARCH(טבלה1[[#Headers],[rose gold]], $P29)), 1, 0)</f>
        <v>0</v>
      </c>
      <c r="J29">
        <f>IF(ISNUMBER(SEARCH(טבלה1[[#Headers],[gold]], $P29)), 1, 0)</f>
        <v>0</v>
      </c>
      <c r="K29">
        <f>IF(ISNUMBER(SEARCH(טבלה1[[#Headers],[silver]], $P29)), 1, 0)</f>
        <v>0</v>
      </c>
      <c r="L29">
        <f>IF(ISNUMBER(SEARCH(טבלה1[[#Headers],[space gray]], $P29)), 1, 0)</f>
        <v>0</v>
      </c>
      <c r="M29">
        <f>IF(ISNUMBER(SEARCH(טבלה1[[#Headers],[white]], $P29)), 1, 0)</f>
        <v>1</v>
      </c>
      <c r="N29">
        <f>IF(ISNUMBER(SEARCH(טבלה1[[#Headers],[Black]], $P29)), 1, 0)</f>
        <v>1</v>
      </c>
      <c r="O29">
        <f>IF(ISNUMBER(SEARCH(טבלה1[[#Headers],[graphite]], $P29)), 1, 0)</f>
        <v>0</v>
      </c>
      <c r="P29" t="s">
        <v>78</v>
      </c>
      <c r="Q29">
        <v>18</v>
      </c>
      <c r="R29" s="3" t="str">
        <f>VLOOKUP(A29,camnum[],4,FALSE)</f>
        <v>3</v>
      </c>
      <c r="S29">
        <v>48</v>
      </c>
      <c r="T29" s="3" t="str" cm="1">
        <f t="array" ref="T29">INDEX(_xlfn.TEXTSPLIT(טבלה1[[#This Row],[size]],"×"),3)</f>
        <v>7.95</v>
      </c>
      <c r="U29" s="3" t="str">
        <f>TEXT(טבלה1[[#This Row],[release_date_first]], "yyyy-mm-dd")</f>
        <v>2025-09-19</v>
      </c>
      <c r="V29" s="8" t="s">
        <v>99</v>
      </c>
      <c r="W29" t="s">
        <v>113</v>
      </c>
      <c r="X29" t="s">
        <v>130</v>
      </c>
      <c r="Y29">
        <v>8</v>
      </c>
      <c r="Z29" t="s">
        <v>149</v>
      </c>
      <c r="AA29">
        <f>IF(טבלה1[[#This Row],[display_inner_resolution]]&gt;0,1,0)</f>
        <v>0</v>
      </c>
      <c r="AC29" t="s">
        <v>165</v>
      </c>
      <c r="AD29" s="6">
        <v>4252</v>
      </c>
      <c r="AE29" t="str" cm="1">
        <f t="array" ref="AE29">INDEX(_xlfn.TEXTSPLIT(טבלה1[[#This Row],[size]],"×"),2)</f>
        <v>78.1</v>
      </c>
      <c r="AF29" t="str" cm="1">
        <f t="array" ref="AF29">INDEX(_xlfn.TEXTSPLIT(טבלה1[[#This Row],[size]],"×"),1)</f>
        <v>161.6</v>
      </c>
      <c r="AG29" t="s">
        <v>192</v>
      </c>
      <c r="AH29">
        <f>VLOOKUP(A29,weight[],2,FALSE)</f>
        <v>229</v>
      </c>
      <c r="AI29" t="s">
        <v>202</v>
      </c>
      <c r="AJ29" t="s">
        <v>207</v>
      </c>
      <c r="AK29" t="s">
        <v>212</v>
      </c>
      <c r="AL29" t="s">
        <v>217</v>
      </c>
      <c r="AM29">
        <v>32</v>
      </c>
      <c r="AN29">
        <v>1</v>
      </c>
      <c r="AO29">
        <v>30</v>
      </c>
      <c r="AP29">
        <v>899</v>
      </c>
      <c r="AQ29">
        <v>1099</v>
      </c>
      <c r="AR29" t="str">
        <f>VLOOKUP(A29,charge[],2,FALSE)</f>
        <v>USB-C</v>
      </c>
      <c r="AS29">
        <f>טבלה1[[#This Row],[launch_price_usd.min]]*3.33</f>
        <v>2993.67</v>
      </c>
      <c r="AT29">
        <f>טבלה1[[#This Row],[launch_price_usd.max]]*3.33</f>
        <v>3659.67</v>
      </c>
      <c r="AU29" t="str">
        <f>VLOOKUP(A29,airplay[],3,FALSE)</f>
        <v>Full AirPlay support</v>
      </c>
      <c r="AV29">
        <v>1</v>
      </c>
      <c r="AW29">
        <v>1</v>
      </c>
      <c r="AX29" t="s">
        <v>516</v>
      </c>
      <c r="AY29" t="s">
        <v>520</v>
      </c>
      <c r="AZ29">
        <v>0</v>
      </c>
      <c r="BA29">
        <f>SUM(טבלה1[[#This Row],[Power]:[Silent Switch]])</f>
        <v>3</v>
      </c>
      <c r="BB29">
        <v>1</v>
      </c>
      <c r="BC29">
        <v>1</v>
      </c>
      <c r="BD29">
        <v>1</v>
      </c>
      <c r="BE29">
        <v>0</v>
      </c>
      <c r="BF29">
        <f>VLOOKUP(A29,rate[],2,FALSE)</f>
        <v>96</v>
      </c>
      <c r="BG29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3107867864915.917</v>
      </c>
      <c r="BH29">
        <f t="shared" si="0"/>
        <v>70.94</v>
      </c>
    </row>
    <row r="30" spans="1:60" s="21" customFormat="1" ht="15" thickBot="1" x14ac:dyDescent="0.2">
      <c r="A30" s="20" t="s">
        <v>51</v>
      </c>
      <c r="B30" s="21">
        <f>IF(ISNUMBER(SEARCH(טבלה1[[#Headers],[purple]], $P30)), 1, 0)</f>
        <v>0</v>
      </c>
      <c r="C30" s="21">
        <f>IF(ISNUMBER(SEARCH(טבלה1[[#Headers],[green]], $P30)), 1, 0)</f>
        <v>0</v>
      </c>
      <c r="D30" s="21">
        <f>IF(ISNUMBER(SEARCH(טבלה1[[#Headers],[coral]], $P30)), 1, 0)</f>
        <v>0</v>
      </c>
      <c r="E30" s="21">
        <f>IF(ISNUMBER(SEARCH(טבלה1[[#Headers],[blue]], $P30)), 1, 0)</f>
        <v>1</v>
      </c>
      <c r="F30" s="21">
        <f>IF(ISNUMBER(SEARCH(טבלה1[[#Headers],[yellow]], $P30)), 1, 0)</f>
        <v>0</v>
      </c>
      <c r="G30" s="21">
        <f>IF(ISNUMBER(SEARCH(טבלה1[[#Headers],[red]], $P30)), 1, 0)</f>
        <v>0</v>
      </c>
      <c r="H30" s="21">
        <f>IF(ISNUMBER(SEARCH(טבלה1[[#Headers],[jet black]], $P30)), 1, 0)</f>
        <v>0</v>
      </c>
      <c r="I30" s="21">
        <f>IF(ISNUMBER(SEARCH(טבלה1[[#Headers],[rose gold]], $P30)), 1, 0)</f>
        <v>0</v>
      </c>
      <c r="J30" s="21">
        <f>IF(ISNUMBER(SEARCH(טבלה1[[#Headers],[gold]], $P30)), 1, 0)</f>
        <v>1</v>
      </c>
      <c r="K30" s="21">
        <f>IF(ISNUMBER(SEARCH(טבלה1[[#Headers],[silver]], $P30)), 1, 0)</f>
        <v>0</v>
      </c>
      <c r="L30" s="21">
        <f>IF(ISNUMBER(SEARCH(טבלה1[[#Headers],[space gray]], $P30)), 1, 0)</f>
        <v>0</v>
      </c>
      <c r="M30" s="21">
        <f>IF(ISNUMBER(SEARCH(טבלה1[[#Headers],[white]], $P30)), 1, 0)</f>
        <v>1</v>
      </c>
      <c r="N30" s="21">
        <f>IF(ISNUMBER(SEARCH(טבלה1[[#Headers],[Black]], $P30)), 1, 0)</f>
        <v>1</v>
      </c>
      <c r="O30" s="21">
        <f>IF(ISNUMBER(SEARCH(טבלה1[[#Headers],[graphite]], $P30)), 1, 0)</f>
        <v>0</v>
      </c>
      <c r="P30" s="21" t="s">
        <v>79</v>
      </c>
      <c r="Q30" s="21">
        <v>18</v>
      </c>
      <c r="R30" s="22" t="str">
        <f>VLOOKUP(A30,camnum[],4,FALSE)</f>
        <v>2</v>
      </c>
      <c r="S30" s="21">
        <v>48</v>
      </c>
      <c r="T30" s="22" t="str" cm="1">
        <f t="array" ref="T30">INDEX(_xlfn.TEXTSPLIT(טבלה1[[#This Row],[size]],"×"),3)</f>
        <v>5.64</v>
      </c>
      <c r="U30" s="22" t="str">
        <f>TEXT(טבלה1[[#This Row],[release_date_first]], "yyyy-mm-dd")</f>
        <v>2025-09-19</v>
      </c>
      <c r="V30" s="23" t="s">
        <v>99</v>
      </c>
      <c r="W30" s="21" t="s">
        <v>113</v>
      </c>
      <c r="X30" s="21" t="s">
        <v>131</v>
      </c>
      <c r="Y30" s="21">
        <v>12</v>
      </c>
      <c r="Z30" s="21" t="s">
        <v>150</v>
      </c>
      <c r="AA30" s="21">
        <f>IF(טבלה1[[#This Row],[display_inner_resolution]]&gt;0,1,0)</f>
        <v>0</v>
      </c>
      <c r="AC30" s="21" t="s">
        <v>166</v>
      </c>
      <c r="AD30" s="21">
        <v>3149</v>
      </c>
      <c r="AE30" s="21" t="str" cm="1">
        <f t="array" ref="AE30">INDEX(_xlfn.TEXTSPLIT(טבלה1[[#This Row],[size]],"×"),2)</f>
        <v>74.7</v>
      </c>
      <c r="AF30" s="21" t="str" cm="1">
        <f t="array" ref="AF30">INDEX(_xlfn.TEXTSPLIT(טבלה1[[#This Row],[size]],"×"),1)</f>
        <v>156.2</v>
      </c>
      <c r="AG30" s="21" t="s">
        <v>193</v>
      </c>
      <c r="AH30" s="21">
        <f>VLOOKUP(A30,weight[],2,FALSE)</f>
        <v>221</v>
      </c>
      <c r="AI30" s="21" t="s">
        <v>204</v>
      </c>
      <c r="AJ30" s="21" t="s">
        <v>207</v>
      </c>
      <c r="AK30" s="21" t="s">
        <v>213</v>
      </c>
      <c r="AL30" s="21" t="s">
        <v>217</v>
      </c>
      <c r="AM30" s="21">
        <v>27</v>
      </c>
      <c r="AN30" s="21">
        <v>1</v>
      </c>
      <c r="AO30" s="21">
        <v>20</v>
      </c>
      <c r="AP30" s="21">
        <v>999</v>
      </c>
      <c r="AQ30" s="21">
        <v>1199</v>
      </c>
      <c r="AR30" s="21" t="str">
        <f>VLOOKUP(A30,charge[],2,FALSE)</f>
        <v>USB-C</v>
      </c>
      <c r="AS30" s="21">
        <f>טבלה1[[#This Row],[launch_price_usd.min]]*3.33</f>
        <v>3326.67</v>
      </c>
      <c r="AT30" s="21">
        <f>טבלה1[[#This Row],[launch_price_usd.max]]*3.33</f>
        <v>3992.67</v>
      </c>
      <c r="AU30" s="21" t="str">
        <f>VLOOKUP(A30,airplay[],3,FALSE)</f>
        <v>Full AirPlay support</v>
      </c>
      <c r="AV30" s="21">
        <v>1</v>
      </c>
      <c r="AW30" s="21">
        <v>1</v>
      </c>
      <c r="AX30" s="21" t="s">
        <v>516</v>
      </c>
      <c r="AY30" s="21" t="s">
        <v>520</v>
      </c>
      <c r="AZ30" s="21">
        <v>0</v>
      </c>
      <c r="BA30" s="21">
        <f>SUM(טבלה1[[#This Row],[Power]:[Silent Switch]])</f>
        <v>3</v>
      </c>
      <c r="BB30" s="21">
        <v>1</v>
      </c>
      <c r="BC30" s="21">
        <v>1</v>
      </c>
      <c r="BD30" s="21">
        <v>1</v>
      </c>
      <c r="BE30" s="21">
        <v>0</v>
      </c>
      <c r="BF30" s="21">
        <f>VLOOKUP(A30,rate[],2,FALSE)</f>
        <v>90</v>
      </c>
      <c r="BG30" s="21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17787029937.225876</v>
      </c>
      <c r="BH30" s="21">
        <f t="shared" si="0"/>
        <v>58.21</v>
      </c>
    </row>
    <row r="31" spans="1:60" x14ac:dyDescent="0.15">
      <c r="A31" t="s">
        <v>52</v>
      </c>
      <c r="B31">
        <f>IF(ISNUMBER(SEARCH(טבלה1[[#Headers],[purple]], $P31)), 1, 0)</f>
        <v>0</v>
      </c>
      <c r="C31">
        <f>IF(ISNUMBER(SEARCH(טבלה1[[#Headers],[green]], $P31)), 1, 0)</f>
        <v>0</v>
      </c>
      <c r="D31">
        <f>IF(ISNUMBER(SEARCH(טבלה1[[#Headers],[coral]], $P31)), 1, 0)</f>
        <v>0</v>
      </c>
      <c r="E31">
        <f>IF(ISNUMBER(SEARCH(טבלה1[[#Headers],[blue]], $P31)), 1, 0)</f>
        <v>1</v>
      </c>
      <c r="F31">
        <f>IF(ISNUMBER(SEARCH(טבלה1[[#Headers],[yellow]], $P31)), 1, 0)</f>
        <v>1</v>
      </c>
      <c r="G31">
        <f>IF(ISNUMBER(SEARCH(טבלה1[[#Headers],[red]], $P31)), 1, 0)</f>
        <v>0</v>
      </c>
      <c r="H31">
        <f>IF(ISNUMBER(SEARCH(טבלה1[[#Headers],[jet black]], $P31)), 1, 0)</f>
        <v>0</v>
      </c>
      <c r="I31">
        <f>IF(ISNUMBER(SEARCH(טבלה1[[#Headers],[rose gold]], $P31)), 1, 0)</f>
        <v>0</v>
      </c>
      <c r="J31">
        <f>IF(ISNUMBER(SEARCH(טבלה1[[#Headers],[gold]], $P31)), 1, 0)</f>
        <v>0</v>
      </c>
      <c r="K31">
        <f>IF(ISNUMBER(SEARCH(טבלה1[[#Headers],[silver]], $P31)), 1, 0)</f>
        <v>1</v>
      </c>
      <c r="L31">
        <f>IF(ISNUMBER(SEARCH(טבלה1[[#Headers],[space gray]], $P31)), 1, 0)</f>
        <v>0</v>
      </c>
      <c r="M31">
        <f>IF(ISNUMBER(SEARCH(טבלה1[[#Headers],[white]], $P31)), 1, 0)</f>
        <v>0</v>
      </c>
      <c r="N31">
        <f>IF(ISNUMBER(SEARCH(טבלה1[[#Headers],[Black]], $P31)), 1, 0)</f>
        <v>0</v>
      </c>
      <c r="O31">
        <f>IF(ISNUMBER(SEARCH(טבלה1[[#Headers],[graphite]], $P31)), 1, 0)</f>
        <v>0</v>
      </c>
      <c r="P31" t="s">
        <v>80</v>
      </c>
      <c r="Q31">
        <v>12</v>
      </c>
      <c r="R31" s="3" t="str">
        <f>VLOOKUP(A31,camnum[],4,FALSE)</f>
        <v>1</v>
      </c>
      <c r="S31">
        <v>12</v>
      </c>
      <c r="T31" s="3" t="str" cm="1">
        <f t="array" ref="T31">INDEX(_xlfn.TEXTSPLIT(טבלה1[[#This Row],[size]],"×"),3)</f>
        <v>7.0</v>
      </c>
      <c r="U31" s="3" t="str">
        <f>TEXT(טבלה1[[#This Row],[release_date_first]], "yyyy-mm-dd")</f>
        <v>2025-03-12</v>
      </c>
      <c r="V31" s="8" t="s">
        <v>100</v>
      </c>
      <c r="W31" t="s">
        <v>237</v>
      </c>
      <c r="X31" t="s">
        <v>127</v>
      </c>
      <c r="Y31">
        <v>6</v>
      </c>
      <c r="Z31" t="s">
        <v>147</v>
      </c>
      <c r="AA31">
        <f>IF(טבלה1[[#This Row],[display_inner_resolution]]&gt;0,1,0)</f>
        <v>0</v>
      </c>
      <c r="AC31" t="s">
        <v>167</v>
      </c>
      <c r="AD31">
        <v>7693</v>
      </c>
      <c r="AE31" t="str" cm="1">
        <f t="array" ref="AE31">INDEX(_xlfn.TEXTSPLIT(טבלה1[[#This Row],[size]],"×"),2)</f>
        <v>179.5</v>
      </c>
      <c r="AF31" t="str" cm="1">
        <f t="array" ref="AF31">INDEX(_xlfn.TEXTSPLIT(טבלה1[[#This Row],[size]],"×"),1)</f>
        <v>248.6</v>
      </c>
      <c r="AG31" t="s">
        <v>194</v>
      </c>
      <c r="AH31">
        <f>VLOOKUP(A31,weight[],2,FALSE)</f>
        <v>490</v>
      </c>
      <c r="AI31" t="s">
        <v>205</v>
      </c>
      <c r="AJ31" t="s">
        <v>206</v>
      </c>
      <c r="AK31" t="s">
        <v>264</v>
      </c>
      <c r="AL31" t="s">
        <v>217</v>
      </c>
      <c r="AM31">
        <v>10</v>
      </c>
      <c r="AN31">
        <v>0</v>
      </c>
      <c r="AO31">
        <v>18</v>
      </c>
      <c r="AP31">
        <v>599</v>
      </c>
      <c r="AQ31">
        <v>800</v>
      </c>
      <c r="AR31" t="str">
        <f>VLOOKUP(A31,charge[],2,FALSE)</f>
        <v>USB-C</v>
      </c>
      <c r="AS31">
        <f>טבלה1[[#This Row],[launch_price_usd.min]]*3.33</f>
        <v>1994.67</v>
      </c>
      <c r="AT31">
        <f>טבלה1[[#This Row],[launch_price_usd.max]]*3.33</f>
        <v>2664</v>
      </c>
      <c r="AU31" t="str">
        <f>VLOOKUP(A31,airplay[],3,FALSE)</f>
        <v>Full AirPlay support</v>
      </c>
      <c r="AV31">
        <v>1</v>
      </c>
      <c r="AW31">
        <v>1</v>
      </c>
      <c r="AX31" t="s">
        <v>516</v>
      </c>
      <c r="AY31" t="s">
        <v>520</v>
      </c>
      <c r="AZ31">
        <v>1</v>
      </c>
      <c r="BA31">
        <f>SUM(טבלה1[[#This Row],[Power]:[Silent Switch]])</f>
        <v>4</v>
      </c>
      <c r="BB31">
        <v>1</v>
      </c>
      <c r="BC31">
        <v>1</v>
      </c>
      <c r="BD31">
        <v>1</v>
      </c>
      <c r="BE31">
        <v>1</v>
      </c>
      <c r="BF31">
        <f>VLOOKUP(A31,rate[],2,FALSE)</f>
        <v>80</v>
      </c>
      <c r="BG31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298920.72792388505</v>
      </c>
      <c r="BH31">
        <f t="shared" si="0"/>
        <v>31.09</v>
      </c>
    </row>
    <row r="32" spans="1:60" x14ac:dyDescent="0.15">
      <c r="A32" t="s">
        <v>53</v>
      </c>
      <c r="B32">
        <f>IF(ISNUMBER(SEARCH(טבלה1[[#Headers],[purple]], $P32)), 1, 0)</f>
        <v>0</v>
      </c>
      <c r="C32">
        <f>IF(ISNUMBER(SEARCH(טבלה1[[#Headers],[green]], $P32)), 1, 0)</f>
        <v>0</v>
      </c>
      <c r="D32">
        <f>IF(ISNUMBER(SEARCH(טבלה1[[#Headers],[coral]], $P32)), 1, 0)</f>
        <v>0</v>
      </c>
      <c r="E32">
        <f>IF(ISNUMBER(SEARCH(טבלה1[[#Headers],[blue]], $P32)), 1, 0)</f>
        <v>1</v>
      </c>
      <c r="F32">
        <f>IF(ISNUMBER(SEARCH(טבלה1[[#Headers],[yellow]], $P32)), 1, 0)</f>
        <v>0</v>
      </c>
      <c r="G32">
        <f>IF(ISNUMBER(SEARCH(טבלה1[[#Headers],[red]], $P32)), 1, 0)</f>
        <v>0</v>
      </c>
      <c r="H32">
        <f>IF(ISNUMBER(SEARCH(טבלה1[[#Headers],[jet black]], $P32)), 1, 0)</f>
        <v>0</v>
      </c>
      <c r="I32">
        <f>IF(ISNUMBER(SEARCH(טבלה1[[#Headers],[rose gold]], $P32)), 1, 0)</f>
        <v>1</v>
      </c>
      <c r="J32">
        <f>IF(ISNUMBER(SEARCH(טבלה1[[#Headers],[gold]], $P32)), 1, 0)</f>
        <v>1</v>
      </c>
      <c r="K32">
        <f>IF(ISNUMBER(SEARCH(טבלה1[[#Headers],[silver]], $P32)), 1, 0)</f>
        <v>1</v>
      </c>
      <c r="L32">
        <f>IF(ISNUMBER(SEARCH(טבלה1[[#Headers],[space gray]], $P32)), 1, 0)</f>
        <v>0</v>
      </c>
      <c r="M32">
        <f>IF(ISNUMBER(SEARCH(טבלה1[[#Headers],[white]], $P32)), 1, 0)</f>
        <v>0</v>
      </c>
      <c r="N32">
        <f>IF(ISNUMBER(SEARCH(טבלה1[[#Headers],[Black]], $P32)), 1, 0)</f>
        <v>1</v>
      </c>
      <c r="O32">
        <f>IF(ISNUMBER(SEARCH(טבלה1[[#Headers],[graphite]], $P32)), 1, 0)</f>
        <v>0</v>
      </c>
      <c r="P32" t="s">
        <v>81</v>
      </c>
      <c r="Q32">
        <v>12</v>
      </c>
      <c r="R32" s="3" t="str">
        <f>VLOOKUP(A32,camnum[],4,FALSE)</f>
        <v>1</v>
      </c>
      <c r="S32">
        <v>12</v>
      </c>
      <c r="T32" s="3" t="str" cm="1">
        <f t="array" ref="T32">INDEX(_xlfn.TEXTSPLIT(טבלה1[[#This Row],[size]],"×"),3)</f>
        <v>6.1</v>
      </c>
      <c r="U32" s="3" t="str">
        <f>TEXT(טבלה1[[#This Row],[release_date_first]], "yyyy-mm-dd")</f>
        <v>2025-03-12</v>
      </c>
      <c r="V32" s="8" t="s">
        <v>100</v>
      </c>
      <c r="W32" t="s">
        <v>238</v>
      </c>
      <c r="X32" t="s">
        <v>132</v>
      </c>
      <c r="Y32">
        <v>8</v>
      </c>
      <c r="Z32" t="s">
        <v>148</v>
      </c>
      <c r="AA32">
        <f>IF(טבלה1[[#This Row],[display_inner_resolution]]&gt;0,1,0)</f>
        <v>0</v>
      </c>
      <c r="AC32" t="s">
        <v>245</v>
      </c>
      <c r="AD32" s="4">
        <f>(7606+9705)/2</f>
        <v>8655.5</v>
      </c>
      <c r="AE32" s="4" t="str" cm="1">
        <f t="array" ref="AE32">INDEX(_xlfn.TEXTSPLIT(טבלה1[[#This Row],[size]],"×"),2)</f>
        <v>178.5</v>
      </c>
      <c r="AF32" s="4" t="str" cm="1">
        <f t="array" ref="AF32">INDEX(_xlfn.TEXTSPLIT(טבלה1[[#This Row],[size]],"×"),1)</f>
        <v>247.6</v>
      </c>
      <c r="AG32" t="s">
        <v>242</v>
      </c>
      <c r="AH32">
        <f>VLOOKUP(A32,weight[],2,FALSE)</f>
        <v>586</v>
      </c>
      <c r="AI32" t="s">
        <v>205</v>
      </c>
      <c r="AJ32" t="s">
        <v>263</v>
      </c>
      <c r="AK32" t="s">
        <v>264</v>
      </c>
      <c r="AL32" t="s">
        <v>217</v>
      </c>
      <c r="AM32">
        <v>10</v>
      </c>
      <c r="AN32">
        <v>0</v>
      </c>
      <c r="AO32">
        <v>18</v>
      </c>
      <c r="AP32">
        <v>599</v>
      </c>
      <c r="AQ32">
        <v>799</v>
      </c>
      <c r="AR32" t="str">
        <f>VLOOKUP(A32,charge[],2,FALSE)</f>
        <v>USB-C</v>
      </c>
      <c r="AS32">
        <f>טבלה1[[#This Row],[launch_price_usd.min]]*3.33</f>
        <v>1994.67</v>
      </c>
      <c r="AT32">
        <f>טבלה1[[#This Row],[launch_price_usd.max]]*3.33</f>
        <v>2660.67</v>
      </c>
      <c r="AU32" t="str">
        <f>VLOOKUP(A32,airplay[],3,FALSE)</f>
        <v>Full AirPlay support</v>
      </c>
      <c r="AV32">
        <v>1</v>
      </c>
      <c r="AW32">
        <v>1</v>
      </c>
      <c r="AX32" t="s">
        <v>516</v>
      </c>
      <c r="AY32" t="s">
        <v>520</v>
      </c>
      <c r="AZ32">
        <v>0</v>
      </c>
      <c r="BA32">
        <f>SUM(טבלה1[[#This Row],[Power]:[Silent Switch]])</f>
        <v>3</v>
      </c>
      <c r="BB32">
        <v>1</v>
      </c>
      <c r="BC32">
        <v>1</v>
      </c>
      <c r="BD32">
        <v>1</v>
      </c>
      <c r="BE32">
        <v>0</v>
      </c>
      <c r="BF32">
        <f>VLOOKUP(A32,rate[],2,FALSE)</f>
        <v>86</v>
      </c>
      <c r="BG32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19533182.381711036</v>
      </c>
      <c r="BH32">
        <f t="shared" si="0"/>
        <v>41.4</v>
      </c>
    </row>
    <row r="33" spans="1:60" x14ac:dyDescent="0.15">
      <c r="A33" t="s">
        <v>54</v>
      </c>
      <c r="B33">
        <f>IF(ISNUMBER(SEARCH(טבלה1[[#Headers],[purple]], $P33)), 1, 0)</f>
        <v>0</v>
      </c>
      <c r="C33">
        <f>IF(ISNUMBER(SEARCH(טבלה1[[#Headers],[green]], $P33)), 1, 0)</f>
        <v>0</v>
      </c>
      <c r="D33">
        <f>IF(ISNUMBER(SEARCH(טבלה1[[#Headers],[coral]], $P33)), 1, 0)</f>
        <v>0</v>
      </c>
      <c r="E33">
        <f>IF(ISNUMBER(SEARCH(טבלה1[[#Headers],[blue]], $P33)), 1, 0)</f>
        <v>0</v>
      </c>
      <c r="F33">
        <f>IF(ISNUMBER(SEARCH(טבלה1[[#Headers],[yellow]], $P33)), 1, 0)</f>
        <v>0</v>
      </c>
      <c r="G33">
        <f>IF(ISNUMBER(SEARCH(טבלה1[[#Headers],[red]], $P33)), 1, 0)</f>
        <v>0</v>
      </c>
      <c r="H33">
        <f>IF(ISNUMBER(SEARCH(טבלה1[[#Headers],[jet black]], $P33)), 1, 0)</f>
        <v>0</v>
      </c>
      <c r="I33">
        <f>IF(ISNUMBER(SEARCH(טבלה1[[#Headers],[rose gold]], $P33)), 1, 0)</f>
        <v>0</v>
      </c>
      <c r="J33">
        <f>IF(ISNUMBER(SEARCH(טבלה1[[#Headers],[gold]], $P33)), 1, 0)</f>
        <v>0</v>
      </c>
      <c r="K33">
        <f>IF(ISNUMBER(SEARCH(טבלה1[[#Headers],[silver]], $P33)), 1, 0)</f>
        <v>1</v>
      </c>
      <c r="L33">
        <f>IF(ISNUMBER(SEARCH(טבלה1[[#Headers],[space gray]], $P33)), 1, 0)</f>
        <v>1</v>
      </c>
      <c r="M33">
        <f>IF(ISNUMBER(SEARCH(טבלה1[[#Headers],[white]], $P33)), 1, 0)</f>
        <v>0</v>
      </c>
      <c r="N33">
        <f>IF(ISNUMBER(SEARCH(טבלה1[[#Headers],[Black]], $P33)), 1, 0)</f>
        <v>0</v>
      </c>
      <c r="O33">
        <f>IF(ISNUMBER(SEARCH(טבלה1[[#Headers],[graphite]], $P33)), 1, 0)</f>
        <v>0</v>
      </c>
      <c r="P33" t="s">
        <v>65</v>
      </c>
      <c r="Q33">
        <v>12</v>
      </c>
      <c r="R33" s="3" t="str">
        <f>VLOOKUP(A33,camnum[],4,FALSE)</f>
        <v>2</v>
      </c>
      <c r="S33">
        <v>12</v>
      </c>
      <c r="T33" s="3" t="str" cm="1">
        <f t="array" ref="T33">INDEX(_xlfn.TEXTSPLIT(טבלה1[[#This Row],[size]],"×"),3)</f>
        <v>5.7</v>
      </c>
      <c r="U33" s="3" t="str">
        <f>TEXT(טבלה1[[#This Row],[release_date_first]], "yyyy-mm-dd")</f>
        <v>2022-10-26</v>
      </c>
      <c r="V33" s="8" t="s">
        <v>101</v>
      </c>
      <c r="W33" t="s">
        <v>238</v>
      </c>
      <c r="X33" t="s">
        <v>133</v>
      </c>
      <c r="Z33" t="s">
        <v>151</v>
      </c>
      <c r="AA33">
        <f>IF(טבלה1[[#This Row],[display_inner_resolution]]&gt;0,1,0)</f>
        <v>0</v>
      </c>
      <c r="AC33" t="s">
        <v>246</v>
      </c>
      <c r="AD33">
        <f>ROUND((7538+10758)/2,0)</f>
        <v>9148</v>
      </c>
      <c r="AE33" t="str" cm="1">
        <f t="array" ref="AE33">INDEX(_xlfn.TEXTSPLIT(טבלה1[[#This Row],[size]],"×"),2)</f>
        <v>190</v>
      </c>
      <c r="AF33" t="str" cm="1">
        <f t="array" ref="AF33">INDEX(_xlfn.TEXTSPLIT(טבלה1[[#This Row],[size]],"×"),1)</f>
        <v>260</v>
      </c>
      <c r="AG33" t="s">
        <v>243</v>
      </c>
      <c r="AH33">
        <f>VLOOKUP(A33,weight[],2,FALSE)</f>
        <v>720</v>
      </c>
      <c r="AI33" t="s">
        <v>205</v>
      </c>
      <c r="AJ33" t="s">
        <v>207</v>
      </c>
      <c r="AK33" t="s">
        <v>264</v>
      </c>
      <c r="AL33" t="s">
        <v>218</v>
      </c>
      <c r="AM33">
        <v>10</v>
      </c>
      <c r="AN33">
        <v>0</v>
      </c>
      <c r="AO33">
        <v>18</v>
      </c>
      <c r="AP33">
        <v>799</v>
      </c>
      <c r="AQ33">
        <v>1099</v>
      </c>
      <c r="AR33" t="str">
        <f>VLOOKUP(A33,charge[],2,FALSE)</f>
        <v>USB-C (Thunderbolt/USB4)</v>
      </c>
      <c r="AS33">
        <f>טבלה1[[#This Row],[launch_price_usd.min]]*3.33</f>
        <v>2660.67</v>
      </c>
      <c r="AT33">
        <f>טבלה1[[#This Row],[launch_price_usd.max]]*3.33</f>
        <v>3659.67</v>
      </c>
      <c r="AU33" t="str">
        <f>VLOOKUP(A33,airplay[],3,FALSE)</f>
        <v>Full AirPlay support</v>
      </c>
      <c r="AV33">
        <v>1</v>
      </c>
      <c r="AW33">
        <v>1</v>
      </c>
      <c r="AX33" t="s">
        <v>516</v>
      </c>
      <c r="AY33" t="s">
        <v>520</v>
      </c>
      <c r="AZ33">
        <v>0</v>
      </c>
      <c r="BA33">
        <f>SUM(טבלה1[[#This Row],[Power]:[Silent Switch]])</f>
        <v>3</v>
      </c>
      <c r="BB33">
        <v>1</v>
      </c>
      <c r="BC33">
        <v>1</v>
      </c>
      <c r="BD33">
        <v>1</v>
      </c>
      <c r="BE33">
        <v>0</v>
      </c>
      <c r="BF33">
        <f>VLOOKUP(A33,rate[],2,FALSE)</f>
        <v>93</v>
      </c>
      <c r="BG33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21878621.828042947</v>
      </c>
      <c r="BH33">
        <f t="shared" si="0"/>
        <v>41.68</v>
      </c>
    </row>
    <row r="34" spans="1:60" x14ac:dyDescent="0.15">
      <c r="A34" t="s">
        <v>55</v>
      </c>
      <c r="B34">
        <f>IF(ISNUMBER(SEARCH(טבלה1[[#Headers],[purple]], $P34)), 1, 0)</f>
        <v>0</v>
      </c>
      <c r="C34">
        <f>IF(ISNUMBER(SEARCH(טבלה1[[#Headers],[green]], $P34)), 1, 0)</f>
        <v>0</v>
      </c>
      <c r="D34">
        <f>IF(ISNUMBER(SEARCH(טבלה1[[#Headers],[coral]], $P34)), 1, 0)</f>
        <v>0</v>
      </c>
      <c r="E34">
        <f>IF(ISNUMBER(SEARCH(טבלה1[[#Headers],[blue]], $P34)), 1, 0)</f>
        <v>0</v>
      </c>
      <c r="F34">
        <f>IF(ISNUMBER(SEARCH(טבלה1[[#Headers],[yellow]], $P34)), 1, 0)</f>
        <v>0</v>
      </c>
      <c r="G34">
        <f>IF(ISNUMBER(SEARCH(טבלה1[[#Headers],[red]], $P34)), 1, 0)</f>
        <v>0</v>
      </c>
      <c r="H34">
        <f>IF(ISNUMBER(SEARCH(טבלה1[[#Headers],[jet black]], $P34)), 1, 0)</f>
        <v>0</v>
      </c>
      <c r="I34">
        <f>IF(ISNUMBER(SEARCH(טבלה1[[#Headers],[rose gold]], $P34)), 1, 0)</f>
        <v>0</v>
      </c>
      <c r="J34">
        <f>IF(ISNUMBER(SEARCH(טבלה1[[#Headers],[gold]], $P34)), 1, 0)</f>
        <v>0</v>
      </c>
      <c r="K34">
        <f>IF(ISNUMBER(SEARCH(טבלה1[[#Headers],[silver]], $P34)), 1, 0)</f>
        <v>1</v>
      </c>
      <c r="L34">
        <f>IF(ISNUMBER(SEARCH(טבלה1[[#Headers],[space gray]], $P34)), 1, 0)</f>
        <v>1</v>
      </c>
      <c r="M34">
        <f>IF(ISNUMBER(SEARCH(טבלה1[[#Headers],[white]], $P34)), 1, 0)</f>
        <v>0</v>
      </c>
      <c r="N34">
        <f>IF(ISNUMBER(SEARCH(טבלה1[[#Headers],[Black]], $P34)), 1, 0)</f>
        <v>0</v>
      </c>
      <c r="O34">
        <f>IF(ISNUMBER(SEARCH(טבלה1[[#Headers],[graphite]], $P34)), 1, 0)</f>
        <v>0</v>
      </c>
      <c r="P34" t="s">
        <v>82</v>
      </c>
      <c r="Q34">
        <v>1080</v>
      </c>
      <c r="R34" s="3" t="str">
        <f>VLOOKUP(A34,camnum[],4,FALSE)</f>
        <v>0</v>
      </c>
      <c r="S34">
        <v>0</v>
      </c>
      <c r="T34" s="3" t="str" cm="1">
        <f t="array" ref="T34">INDEX(_xlfn.TEXTSPLIT(טבלה1[[#This Row],[size]],"×"),3)</f>
        <v>11.3</v>
      </c>
      <c r="U34" s="3" t="str">
        <f>TEXT(טבלה1[[#This Row],[release_date_first]], "yyyy-mm-dd")</f>
        <v>2022-07-15</v>
      </c>
      <c r="V34" s="8" t="s">
        <v>102</v>
      </c>
      <c r="W34" t="s">
        <v>240</v>
      </c>
      <c r="X34" t="s">
        <v>134</v>
      </c>
      <c r="Y34" t="s">
        <v>137</v>
      </c>
      <c r="Z34" t="s">
        <v>152</v>
      </c>
      <c r="AA34">
        <f>IF(טבלה1[[#This Row],[display_inner_resolution]]&gt;0,1,0)</f>
        <v>0</v>
      </c>
      <c r="AC34" t="s">
        <v>168</v>
      </c>
      <c r="AD34">
        <v>4620</v>
      </c>
      <c r="AE34" t="str" cm="1">
        <f t="array" ref="AE34">INDEX(_xlfn.TEXTSPLIT(טבלה1[[#This Row],[size]],"×"),2)</f>
        <v>215</v>
      </c>
      <c r="AF34" t="str" cm="1">
        <f t="array" ref="AF34">INDEX(_xlfn.TEXTSPLIT(טבלה1[[#This Row],[size]],"×"),1)</f>
        <v>304.1</v>
      </c>
      <c r="AG34" t="s">
        <v>195</v>
      </c>
      <c r="AH34">
        <f>VLOOKUP(A34,weight[],2,FALSE)</f>
        <v>1240</v>
      </c>
      <c r="AI34" t="s">
        <v>205</v>
      </c>
      <c r="AJ34" t="s">
        <v>206</v>
      </c>
      <c r="AK34" t="s">
        <v>264</v>
      </c>
      <c r="AL34" t="s">
        <v>219</v>
      </c>
      <c r="AM34">
        <v>18</v>
      </c>
      <c r="AN34">
        <v>0</v>
      </c>
      <c r="AO34">
        <v>30</v>
      </c>
      <c r="AP34">
        <v>1199</v>
      </c>
      <c r="AQ34">
        <v>2499</v>
      </c>
      <c r="AR34" t="str">
        <f>VLOOKUP(A34,charge[],2,FALSE)</f>
        <v>USB-C</v>
      </c>
      <c r="AS34">
        <f>טבלה1[[#This Row],[launch_price_usd.min]]*3.33</f>
        <v>3992.67</v>
      </c>
      <c r="AT34">
        <f>טבלה1[[#This Row],[launch_price_usd.max]]*3.33</f>
        <v>8321.67</v>
      </c>
      <c r="AU34" t="str">
        <f>VLOOKUP(A34,airplay[],3,FALSE)</f>
        <v>Supports AirPlay to Apple TV / compatible displays</v>
      </c>
      <c r="AV34">
        <v>1</v>
      </c>
      <c r="AW34">
        <v>1</v>
      </c>
      <c r="AX34" t="s">
        <v>516</v>
      </c>
      <c r="AY34" t="s">
        <v>520</v>
      </c>
      <c r="AZ34">
        <v>0</v>
      </c>
      <c r="BA34">
        <f>SUM(טבלה1[[#This Row],[Power]:[Silent Switch]])</f>
        <v>3</v>
      </c>
      <c r="BB34">
        <v>1</v>
      </c>
      <c r="BC34">
        <v>1</v>
      </c>
      <c r="BD34">
        <v>1</v>
      </c>
      <c r="BE34">
        <v>0</v>
      </c>
      <c r="BF34">
        <f>VLOOKUP(A34,rate[],2,FALSE)</f>
        <v>90</v>
      </c>
      <c r="BG34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10619134615.716816</v>
      </c>
      <c r="BH34">
        <f t="shared" si="0"/>
        <v>56.94</v>
      </c>
    </row>
    <row r="35" spans="1:60" x14ac:dyDescent="0.15">
      <c r="A35" t="s">
        <v>56</v>
      </c>
      <c r="B35">
        <f>IF(ISNUMBER(SEARCH(טבלה1[[#Headers],[purple]], $P35)), 1, 0)</f>
        <v>0</v>
      </c>
      <c r="C35">
        <f>IF(ISNUMBER(SEARCH(טבלה1[[#Headers],[green]], $P35)), 1, 0)</f>
        <v>0</v>
      </c>
      <c r="D35">
        <f>IF(ISNUMBER(SEARCH(טבלה1[[#Headers],[coral]], $P35)), 1, 0)</f>
        <v>0</v>
      </c>
      <c r="E35">
        <f>IF(ISNUMBER(SEARCH(טבלה1[[#Headers],[blue]], $P35)), 1, 0)</f>
        <v>0</v>
      </c>
      <c r="F35">
        <f>IF(ISNUMBER(SEARCH(טבלה1[[#Headers],[yellow]], $P35)), 1, 0)</f>
        <v>0</v>
      </c>
      <c r="G35">
        <f>IF(ISNUMBER(SEARCH(טבלה1[[#Headers],[red]], $P35)), 1, 0)</f>
        <v>0</v>
      </c>
      <c r="H35">
        <f>IF(ISNUMBER(SEARCH(טבלה1[[#Headers],[jet black]], $P35)), 1, 0)</f>
        <v>0</v>
      </c>
      <c r="I35">
        <f>IF(ISNUMBER(SEARCH(טבלה1[[#Headers],[rose gold]], $P35)), 1, 0)</f>
        <v>0</v>
      </c>
      <c r="J35">
        <f>IF(ISNUMBER(SEARCH(טבלה1[[#Headers],[gold]], $P35)), 1, 0)</f>
        <v>0</v>
      </c>
      <c r="K35">
        <f>IF(ISNUMBER(SEARCH(טבלה1[[#Headers],[silver]], $P35)), 1, 0)</f>
        <v>1</v>
      </c>
      <c r="L35">
        <f>IF(ISNUMBER(SEARCH(טבלה1[[#Headers],[space gray]], $P35)), 1, 0)</f>
        <v>1</v>
      </c>
      <c r="M35">
        <f>IF(ISNUMBER(SEARCH(טבלה1[[#Headers],[white]], $P35)), 1, 0)</f>
        <v>0</v>
      </c>
      <c r="N35">
        <f>IF(ISNUMBER(SEARCH(טבלה1[[#Headers],[Black]], $P35)), 1, 0)</f>
        <v>0</v>
      </c>
      <c r="O35">
        <f>IF(ISNUMBER(SEARCH(טבלה1[[#Headers],[graphite]], $P35)), 1, 0)</f>
        <v>0</v>
      </c>
      <c r="P35" t="s">
        <v>65</v>
      </c>
      <c r="Q35">
        <v>720</v>
      </c>
      <c r="R35" s="3" t="str">
        <f>VLOOKUP(A35,camnum[],4,FALSE)</f>
        <v>0</v>
      </c>
      <c r="S35">
        <v>0</v>
      </c>
      <c r="T35" s="3" t="str" cm="1">
        <f t="array" ref="T35">INDEX(_xlfn.TEXTSPLIT(טבלה1[[#This Row],[size]],"×"),3)</f>
        <v>15.6</v>
      </c>
      <c r="U35" s="3" t="str">
        <f>TEXT(טבלה1[[#This Row],[release_date_first]], "yyyy-mm-dd")</f>
        <v>2022-06-24</v>
      </c>
      <c r="V35" s="8" t="s">
        <v>103</v>
      </c>
      <c r="W35" t="s">
        <v>240</v>
      </c>
      <c r="X35" t="s">
        <v>134</v>
      </c>
      <c r="Y35" t="s">
        <v>137</v>
      </c>
      <c r="Z35" t="s">
        <v>152</v>
      </c>
      <c r="AA35">
        <f>IF(טבלה1[[#This Row],[display_inner_resolution]]&gt;0,1,0)</f>
        <v>0</v>
      </c>
      <c r="AC35" t="s">
        <v>169</v>
      </c>
      <c r="AD35">
        <v>5100</v>
      </c>
      <c r="AE35" t="str" cm="1">
        <f t="array" ref="AE35">INDEX(_xlfn.TEXTSPLIT(טבלה1[[#This Row],[size]],"×"),2)</f>
        <v>212.4</v>
      </c>
      <c r="AF35" t="str" cm="1">
        <f t="array" ref="AF35">INDEX(_xlfn.TEXTSPLIT(טבלה1[[#This Row],[size]],"×"),1)</f>
        <v>304.1</v>
      </c>
      <c r="AG35" t="s">
        <v>196</v>
      </c>
      <c r="AH35">
        <f>VLOOKUP(A35,weight[],2,FALSE)</f>
        <v>1400</v>
      </c>
      <c r="AI35" t="s">
        <v>205</v>
      </c>
      <c r="AJ35" t="s">
        <v>208</v>
      </c>
      <c r="AK35" t="s">
        <v>264</v>
      </c>
      <c r="AL35" t="s">
        <v>220</v>
      </c>
      <c r="AM35">
        <v>20</v>
      </c>
      <c r="AN35">
        <v>0</v>
      </c>
      <c r="AO35">
        <v>30</v>
      </c>
      <c r="AP35">
        <v>1299</v>
      </c>
      <c r="AQ35">
        <v>2499</v>
      </c>
      <c r="AR35" t="str">
        <f>VLOOKUP(A35,charge[],2,FALSE)</f>
        <v>USB-C</v>
      </c>
      <c r="AS35">
        <f>טבלה1[[#This Row],[launch_price_usd.min]]*3.33</f>
        <v>4325.67</v>
      </c>
      <c r="AT35">
        <f>טבלה1[[#This Row],[launch_price_usd.max]]*3.33</f>
        <v>8321.67</v>
      </c>
      <c r="AU35" t="str">
        <f>VLOOKUP(A35,airplay[],3,FALSE)</f>
        <v>Supports AirPlay to Apple TV / compatible displays</v>
      </c>
      <c r="AV35">
        <v>1</v>
      </c>
      <c r="AW35">
        <v>1</v>
      </c>
      <c r="AX35" t="s">
        <v>516</v>
      </c>
      <c r="AY35" t="s">
        <v>520</v>
      </c>
      <c r="AZ35">
        <v>0</v>
      </c>
      <c r="BA35">
        <f>SUM(טבלה1[[#This Row],[Power]:[Silent Switch]])</f>
        <v>3</v>
      </c>
      <c r="BB35">
        <v>1</v>
      </c>
      <c r="BC35">
        <v>1</v>
      </c>
      <c r="BD35">
        <v>1</v>
      </c>
      <c r="BE35">
        <v>0</v>
      </c>
      <c r="BF35">
        <f>VLOOKUP(A35,rate[],2,FALSE)</f>
        <v>85</v>
      </c>
      <c r="BG35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20946053253.782127</v>
      </c>
      <c r="BH35">
        <f t="shared" si="0"/>
        <v>58.61</v>
      </c>
    </row>
    <row r="36" spans="1:60" x14ac:dyDescent="0.15">
      <c r="A36" t="s">
        <v>57</v>
      </c>
      <c r="B36">
        <f>IF(ISNUMBER(SEARCH(טבלה1[[#Headers],[purple]], $P36)), 1, 0)</f>
        <v>0</v>
      </c>
      <c r="C36">
        <f>IF(ISNUMBER(SEARCH(טבלה1[[#Headers],[green]], $P36)), 1, 0)</f>
        <v>0</v>
      </c>
      <c r="D36">
        <f>IF(ISNUMBER(SEARCH(טבלה1[[#Headers],[coral]], $P36)), 1, 0)</f>
        <v>0</v>
      </c>
      <c r="E36">
        <f>IF(ISNUMBER(SEARCH(טבלה1[[#Headers],[blue]], $P36)), 1, 0)</f>
        <v>0</v>
      </c>
      <c r="F36">
        <f>IF(ISNUMBER(SEARCH(טבלה1[[#Headers],[yellow]], $P36)), 1, 0)</f>
        <v>0</v>
      </c>
      <c r="G36">
        <f>IF(ISNUMBER(SEARCH(טבלה1[[#Headers],[red]], $P36)), 1, 0)</f>
        <v>0</v>
      </c>
      <c r="H36">
        <f>IF(ISNUMBER(SEARCH(טבלה1[[#Headers],[jet black]], $P36)), 1, 0)</f>
        <v>0</v>
      </c>
      <c r="I36">
        <f>IF(ISNUMBER(SEARCH(טבלה1[[#Headers],[rose gold]], $P36)), 1, 0)</f>
        <v>0</v>
      </c>
      <c r="J36">
        <f>IF(ISNUMBER(SEARCH(טבלה1[[#Headers],[gold]], $P36)), 1, 0)</f>
        <v>0</v>
      </c>
      <c r="K36">
        <f>IF(ISNUMBER(SEARCH(טבלה1[[#Headers],[silver]], $P36)), 1, 0)</f>
        <v>1</v>
      </c>
      <c r="L36">
        <f>IF(ISNUMBER(SEARCH(טבלה1[[#Headers],[space gray]], $P36)), 1, 0)</f>
        <v>1</v>
      </c>
      <c r="M36">
        <f>IF(ISNUMBER(SEARCH(טבלה1[[#Headers],[white]], $P36)), 1, 0)</f>
        <v>0</v>
      </c>
      <c r="N36">
        <f>IF(ISNUMBER(SEARCH(טבלה1[[#Headers],[Black]], $P36)), 1, 0)</f>
        <v>0</v>
      </c>
      <c r="O36">
        <f>IF(ISNUMBER(SEARCH(טבלה1[[#Headers],[graphite]], $P36)), 1, 0)</f>
        <v>0</v>
      </c>
      <c r="P36" t="s">
        <v>65</v>
      </c>
      <c r="Q36">
        <v>1080</v>
      </c>
      <c r="R36" s="3" t="str">
        <f>VLOOKUP(A36,camnum[],4,FALSE)</f>
        <v>0</v>
      </c>
      <c r="S36">
        <v>0</v>
      </c>
      <c r="T36" s="3" t="str" cm="1">
        <f t="array" ref="T36">INDEX(_xlfn.TEXTSPLIT(טבלה1[[#This Row],[size]],"×"),3)</f>
        <v>15.5</v>
      </c>
      <c r="U36" s="3" t="str">
        <f>TEXT(טבלה1[[#This Row],[release_date_first]], "yyyy-mm-dd")</f>
        <v>2023-11-07</v>
      </c>
      <c r="V36" s="8" t="s">
        <v>104</v>
      </c>
      <c r="W36" t="s">
        <v>239</v>
      </c>
      <c r="X36" t="s">
        <v>135</v>
      </c>
      <c r="Y36" t="s">
        <v>138</v>
      </c>
      <c r="Z36" t="s">
        <v>153</v>
      </c>
      <c r="AA36">
        <f>IF(טבלה1[[#This Row],[display_inner_resolution]]&gt;0,1,0)</f>
        <v>0</v>
      </c>
      <c r="AC36" t="s">
        <v>170</v>
      </c>
      <c r="AD36">
        <v>6100</v>
      </c>
      <c r="AE36" t="str" cm="1">
        <f t="array" ref="AE36">INDEX(_xlfn.TEXTSPLIT(טבלה1[[#This Row],[size]],"×"),2)</f>
        <v>221.2</v>
      </c>
      <c r="AF36" t="str" cm="1">
        <f t="array" ref="AF36">INDEX(_xlfn.TEXTSPLIT(טבלה1[[#This Row],[size]],"×"),1)</f>
        <v>312.6</v>
      </c>
      <c r="AG36" t="s">
        <v>197</v>
      </c>
      <c r="AH36">
        <f>VLOOKUP(A36,weight[],2,FALSE)</f>
        <v>1600</v>
      </c>
      <c r="AI36" t="s">
        <v>205</v>
      </c>
      <c r="AJ36" t="s">
        <v>206</v>
      </c>
      <c r="AK36" t="s">
        <v>264</v>
      </c>
      <c r="AL36" t="s">
        <v>219</v>
      </c>
      <c r="AM36">
        <v>22</v>
      </c>
      <c r="AN36">
        <v>0</v>
      </c>
      <c r="AO36">
        <v>67</v>
      </c>
      <c r="AP36">
        <v>1599</v>
      </c>
      <c r="AQ36">
        <v>3199</v>
      </c>
      <c r="AR36" t="str">
        <f>VLOOKUP(A36,charge[],2,FALSE)</f>
        <v>USB-C (MagSafe 3 / USB-C)</v>
      </c>
      <c r="AS36">
        <f>טבלה1[[#This Row],[launch_price_usd.min]]*3.33</f>
        <v>5324.67</v>
      </c>
      <c r="AT36">
        <f>טבלה1[[#This Row],[launch_price_usd.max]]*3.33</f>
        <v>10652.67</v>
      </c>
      <c r="AU36" t="str">
        <f>VLOOKUP(A36,airplay[],3,FALSE)</f>
        <v>Supports AirPlay to Apple TV / compatible displays</v>
      </c>
      <c r="AV36">
        <v>1</v>
      </c>
      <c r="AW36">
        <v>1</v>
      </c>
      <c r="AX36" t="s">
        <v>516</v>
      </c>
      <c r="AY36" t="s">
        <v>520</v>
      </c>
      <c r="AZ36">
        <v>0</v>
      </c>
      <c r="BA36">
        <f>SUM(טבלה1[[#This Row],[Power]:[Silent Switch]])</f>
        <v>3</v>
      </c>
      <c r="BB36">
        <v>1</v>
      </c>
      <c r="BC36">
        <v>1</v>
      </c>
      <c r="BD36">
        <v>1</v>
      </c>
      <c r="BE36">
        <v>0</v>
      </c>
      <c r="BF36">
        <f>VLOOKUP(A36,rate[],2,FALSE)</f>
        <v>90</v>
      </c>
      <c r="BG36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1.0744346938753314E+16</v>
      </c>
      <c r="BH36">
        <f t="shared" si="0"/>
        <v>91.04</v>
      </c>
    </row>
    <row r="37" spans="1:60" x14ac:dyDescent="0.15">
      <c r="A37" t="s">
        <v>58</v>
      </c>
      <c r="B37">
        <f>IF(ISNUMBER(SEARCH(טבלה1[[#Headers],[purple]], $P37)), 1, 0)</f>
        <v>0</v>
      </c>
      <c r="C37">
        <f>IF(ISNUMBER(SEARCH(טבלה1[[#Headers],[green]], $P37)), 1, 0)</f>
        <v>0</v>
      </c>
      <c r="D37">
        <f>IF(ISNUMBER(SEARCH(טבלה1[[#Headers],[coral]], $P37)), 1, 0)</f>
        <v>0</v>
      </c>
      <c r="E37">
        <f>IF(ISNUMBER(SEARCH(טבלה1[[#Headers],[blue]], $P37)), 1, 0)</f>
        <v>0</v>
      </c>
      <c r="F37">
        <f>IF(ISNUMBER(SEARCH(טבלה1[[#Headers],[yellow]], $P37)), 1, 0)</f>
        <v>0</v>
      </c>
      <c r="G37">
        <f>IF(ISNUMBER(SEARCH(טבלה1[[#Headers],[red]], $P37)), 1, 0)</f>
        <v>0</v>
      </c>
      <c r="H37">
        <f>IF(ISNUMBER(SEARCH(טבלה1[[#Headers],[jet black]], $P37)), 1, 0)</f>
        <v>0</v>
      </c>
      <c r="I37">
        <f>IF(ISNUMBER(SEARCH(טבלה1[[#Headers],[rose gold]], $P37)), 1, 0)</f>
        <v>0</v>
      </c>
      <c r="J37">
        <f>IF(ISNUMBER(SEARCH(טבלה1[[#Headers],[gold]], $P37)), 1, 0)</f>
        <v>0</v>
      </c>
      <c r="K37">
        <f>IF(ISNUMBER(SEARCH(טבלה1[[#Headers],[silver]], $P37)), 1, 0)</f>
        <v>1</v>
      </c>
      <c r="L37">
        <f>IF(ISNUMBER(SEARCH(טבלה1[[#Headers],[space gray]], $P37)), 1, 0)</f>
        <v>1</v>
      </c>
      <c r="M37">
        <f>IF(ISNUMBER(SEARCH(טבלה1[[#Headers],[white]], $P37)), 1, 0)</f>
        <v>0</v>
      </c>
      <c r="N37">
        <f>IF(ISNUMBER(SEARCH(טבלה1[[#Headers],[Black]], $P37)), 1, 0)</f>
        <v>0</v>
      </c>
      <c r="O37">
        <f>IF(ISNUMBER(SEARCH(טבלה1[[#Headers],[graphite]], $P37)), 1, 0)</f>
        <v>0</v>
      </c>
      <c r="P37" t="s">
        <v>65</v>
      </c>
      <c r="Q37">
        <v>1080</v>
      </c>
      <c r="R37" s="3" t="str">
        <f>VLOOKUP(A37,camnum[],4,FALSE)</f>
        <v>0</v>
      </c>
      <c r="S37">
        <v>0</v>
      </c>
      <c r="T37" s="3" t="str" cm="1">
        <f t="array" ref="T37">INDEX(_xlfn.TEXTSPLIT(טבלה1[[#This Row],[size]],"×"),3)</f>
        <v>16.8</v>
      </c>
      <c r="U37" s="3" t="str">
        <f>TEXT(טבלה1[[#This Row],[release_date_first]], "yyyy-mm-dd")</f>
        <v>2023-11-07</v>
      </c>
      <c r="V37" s="8" t="s">
        <v>104</v>
      </c>
      <c r="W37" t="s">
        <v>239</v>
      </c>
      <c r="X37" t="s">
        <v>136</v>
      </c>
      <c r="Y37" t="s">
        <v>139</v>
      </c>
      <c r="Z37" t="s">
        <v>154</v>
      </c>
      <c r="AA37">
        <f>IF(טבלה1[[#This Row],[display_inner_resolution]]&gt;0,1,0)</f>
        <v>0</v>
      </c>
      <c r="AC37" t="s">
        <v>171</v>
      </c>
      <c r="AD37">
        <v>6750</v>
      </c>
      <c r="AE37" t="str" cm="1">
        <f t="array" ref="AE37">INDEX(_xlfn.TEXTSPLIT(טבלה1[[#This Row],[size]],"×"),2)</f>
        <v>248.1</v>
      </c>
      <c r="AF37" t="str" cm="1">
        <f t="array" ref="AF37">INDEX(_xlfn.TEXTSPLIT(טבלה1[[#This Row],[size]],"×"),1)</f>
        <v>355.7</v>
      </c>
      <c r="AG37" t="s">
        <v>198</v>
      </c>
      <c r="AH37">
        <f>VLOOKUP(A37,weight[],2,FALSE)</f>
        <v>2200</v>
      </c>
      <c r="AI37" t="s">
        <v>205</v>
      </c>
      <c r="AJ37" t="s">
        <v>206</v>
      </c>
      <c r="AK37" t="s">
        <v>264</v>
      </c>
      <c r="AL37" t="s">
        <v>219</v>
      </c>
      <c r="AM37">
        <v>22</v>
      </c>
      <c r="AN37">
        <v>0</v>
      </c>
      <c r="AO37">
        <v>96</v>
      </c>
      <c r="AP37">
        <v>2499</v>
      </c>
      <c r="AQ37">
        <v>4299</v>
      </c>
      <c r="AR37" t="str">
        <f>VLOOKUP(A37,charge[],2,FALSE)</f>
        <v>USB-C (MagSafe 3 / USB-C)</v>
      </c>
      <c r="AS37">
        <f>טבלה1[[#This Row],[launch_price_usd.min]]*3.33</f>
        <v>8321.67</v>
      </c>
      <c r="AT37">
        <f>טבלה1[[#This Row],[launch_price_usd.max]]*3.33</f>
        <v>14315.67</v>
      </c>
      <c r="AU37" t="str">
        <f>VLOOKUP(A37,airplay[],3,FALSE)</f>
        <v>Supports AirPlay to Apple TV / compatible displays</v>
      </c>
      <c r="AV37">
        <v>1</v>
      </c>
      <c r="AW37">
        <v>1</v>
      </c>
      <c r="AX37" t="s">
        <v>516</v>
      </c>
      <c r="AY37" t="s">
        <v>520</v>
      </c>
      <c r="AZ37">
        <v>0</v>
      </c>
      <c r="BA37">
        <f>SUM(טבלה1[[#This Row],[Power]:[Silent Switch]])</f>
        <v>3</v>
      </c>
      <c r="BB37">
        <v>1</v>
      </c>
      <c r="BC37">
        <v>1</v>
      </c>
      <c r="BD37">
        <v>1</v>
      </c>
      <c r="BE37">
        <v>0</v>
      </c>
      <c r="BF37">
        <f>VLOOKUP(A37,rate[],2,FALSE)</f>
        <v>95</v>
      </c>
      <c r="BG37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1.9615546002906579E+20</v>
      </c>
      <c r="BH37">
        <f t="shared" si="0"/>
        <v>115.24</v>
      </c>
    </row>
    <row r="38" spans="1:60" x14ac:dyDescent="0.15">
      <c r="A38" t="s">
        <v>59</v>
      </c>
      <c r="B38">
        <f>IF(ISNUMBER(SEARCH(טבלה1[[#Headers],[purple]], $P38)), 1, 0)</f>
        <v>0</v>
      </c>
      <c r="C38">
        <f>IF(ISNUMBER(SEARCH(טבלה1[[#Headers],[green]], $P38)), 1, 0)</f>
        <v>0</v>
      </c>
      <c r="D38">
        <f>IF(ISNUMBER(SEARCH(טבלה1[[#Headers],[coral]], $P38)), 1, 0)</f>
        <v>0</v>
      </c>
      <c r="E38">
        <f>IF(ISNUMBER(SEARCH(טבלה1[[#Headers],[blue]], $P38)), 1, 0)</f>
        <v>0</v>
      </c>
      <c r="F38">
        <f>IF(ISNUMBER(SEARCH(טבלה1[[#Headers],[yellow]], $P38)), 1, 0)</f>
        <v>0</v>
      </c>
      <c r="G38">
        <f>IF(ISNUMBER(SEARCH(טבלה1[[#Headers],[red]], $P38)), 1, 0)</f>
        <v>0</v>
      </c>
      <c r="H38">
        <f>IF(ISNUMBER(SEARCH(טבלה1[[#Headers],[jet black]], $P38)), 1, 0)</f>
        <v>0</v>
      </c>
      <c r="I38">
        <f>IF(ISNUMBER(SEARCH(טבלה1[[#Headers],[rose gold]], $P38)), 1, 0)</f>
        <v>0</v>
      </c>
      <c r="J38">
        <f>IF(ISNUMBER(SEARCH(טבלה1[[#Headers],[gold]], $P38)), 1, 0)</f>
        <v>0</v>
      </c>
      <c r="K38">
        <f>IF(ISNUMBER(SEARCH(טבלה1[[#Headers],[silver]], $P38)), 1, 0)</f>
        <v>1</v>
      </c>
      <c r="L38">
        <f>IF(ISNUMBER(SEARCH(טבלה1[[#Headers],[space gray]], $P38)), 1, 0)</f>
        <v>1</v>
      </c>
      <c r="M38">
        <f>IF(ISNUMBER(SEARCH(טבלה1[[#Headers],[white]], $P38)), 1, 0)</f>
        <v>0</v>
      </c>
      <c r="N38">
        <f>IF(ISNUMBER(SEARCH(טבלה1[[#Headers],[Black]], $P38)), 1, 0)</f>
        <v>0</v>
      </c>
      <c r="O38">
        <f>IF(ISNUMBER(SEARCH(טבלה1[[#Headers],[graphite]], $P38)), 1, 0)</f>
        <v>0</v>
      </c>
      <c r="P38" t="s">
        <v>82</v>
      </c>
      <c r="Q38">
        <v>1080</v>
      </c>
      <c r="R38" s="3" t="str">
        <f>VLOOKUP(A38,camnum[],4,FALSE)</f>
        <v>0</v>
      </c>
      <c r="S38">
        <v>0</v>
      </c>
      <c r="T38" s="3" t="str" cm="1">
        <f t="array" ref="T38">INDEX(_xlfn.TEXTSPLIT(טבלה1[[#This Row],[size]],"×"),3)</f>
        <v>11.5</v>
      </c>
      <c r="U38" s="3" t="str">
        <f>TEXT(טבלה1[[#This Row],[release_date_first]], "yyyy-mm-dd")</f>
        <v>2023-06-13</v>
      </c>
      <c r="V38" s="8" t="s">
        <v>105</v>
      </c>
      <c r="W38" t="s">
        <v>239</v>
      </c>
      <c r="X38" t="s">
        <v>134</v>
      </c>
      <c r="Y38" t="s">
        <v>137</v>
      </c>
      <c r="Z38" t="s">
        <v>152</v>
      </c>
      <c r="AA38">
        <f>IF(טבלה1[[#This Row],[display_inner_resolution]]&gt;0,1,0)</f>
        <v>0</v>
      </c>
      <c r="AC38" t="s">
        <v>172</v>
      </c>
      <c r="AD38">
        <v>5100</v>
      </c>
      <c r="AE38" t="str" cm="1">
        <f t="array" ref="AE38">INDEX(_xlfn.TEXTSPLIT(טבלה1[[#This Row],[size]],"×"),2)</f>
        <v>237.6</v>
      </c>
      <c r="AF38" t="str" cm="1">
        <f t="array" ref="AF38">INDEX(_xlfn.TEXTSPLIT(טבלה1[[#This Row],[size]],"×"),1)</f>
        <v>340.4</v>
      </c>
      <c r="AG38" t="s">
        <v>199</v>
      </c>
      <c r="AH38">
        <f>VLOOKUP(A38,weight[],2,FALSE)</f>
        <v>1900</v>
      </c>
      <c r="AI38" t="s">
        <v>205</v>
      </c>
      <c r="AJ38" t="s">
        <v>206</v>
      </c>
      <c r="AK38" t="s">
        <v>264</v>
      </c>
      <c r="AL38" t="s">
        <v>219</v>
      </c>
      <c r="AM38">
        <v>18</v>
      </c>
      <c r="AN38">
        <v>0</v>
      </c>
      <c r="AO38">
        <v>35</v>
      </c>
      <c r="AP38">
        <v>1299</v>
      </c>
      <c r="AQ38">
        <v>2499</v>
      </c>
      <c r="AR38" t="str">
        <f>VLOOKUP(A38,charge[],2,FALSE)</f>
        <v>USB-C (MagSafe 3 / USB-C)</v>
      </c>
      <c r="AS38">
        <f>טבלה1[[#This Row],[launch_price_usd.min]]*3.33</f>
        <v>4325.67</v>
      </c>
      <c r="AT38">
        <f>טבלה1[[#This Row],[launch_price_usd.max]]*3.33</f>
        <v>8321.67</v>
      </c>
      <c r="AU38" t="str">
        <f>VLOOKUP(A38,airplay[],3,FALSE)</f>
        <v>Supports AirPlay to Apple TV / compatible displays</v>
      </c>
      <c r="AV38">
        <v>1</v>
      </c>
      <c r="AW38">
        <v>1</v>
      </c>
      <c r="AX38" t="s">
        <v>516</v>
      </c>
      <c r="AY38" t="s">
        <v>520</v>
      </c>
      <c r="AZ38">
        <v>0</v>
      </c>
      <c r="BA38">
        <f>SUM(טבלה1[[#This Row],[Power]:[Silent Switch]])</f>
        <v>3</v>
      </c>
      <c r="BB38">
        <v>1</v>
      </c>
      <c r="BC38">
        <v>1</v>
      </c>
      <c r="BD38">
        <v>1</v>
      </c>
      <c r="BE38">
        <v>0</v>
      </c>
      <c r="BF38">
        <f>VLOOKUP(A38,rate[],2,FALSE)</f>
        <v>92</v>
      </c>
      <c r="BG38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61683403824.885239</v>
      </c>
      <c r="BH38">
        <f t="shared" si="0"/>
        <v>61.28</v>
      </c>
    </row>
    <row r="39" spans="1:60" x14ac:dyDescent="0.15">
      <c r="A39" t="s">
        <v>276</v>
      </c>
      <c r="B39">
        <f>IF(ISNUMBER(SEARCH(טבלה1[[#Headers],[purple]], $P39)), 1, 0)</f>
        <v>1</v>
      </c>
      <c r="C39">
        <f>IF(ISNUMBER(SEARCH(טבלה1[[#Headers],[green]], $P39)), 1, 0)</f>
        <v>1</v>
      </c>
      <c r="D39">
        <f>IF(ISNUMBER(SEARCH(טבלה1[[#Headers],[coral]], $P39)), 1, 0)</f>
        <v>1</v>
      </c>
      <c r="E39">
        <f>IF(ISNUMBER(SEARCH(טבלה1[[#Headers],[blue]], $P39)), 1, 0)</f>
        <v>1</v>
      </c>
      <c r="F39">
        <f>IF(ISNUMBER(SEARCH(טבלה1[[#Headers],[yellow]], $P39)), 1, 0)</f>
        <v>1</v>
      </c>
      <c r="G39">
        <f>IF(ISNUMBER(SEARCH(טבלה1[[#Headers],[red]], $P39)), 1, 0)</f>
        <v>1</v>
      </c>
      <c r="H39">
        <f>IF(ISNUMBER(SEARCH(טבלה1[[#Headers],[jet black]], $P39)), 1, 0)</f>
        <v>1</v>
      </c>
      <c r="I39">
        <f>IF(ISNUMBER(SEARCH(טבלה1[[#Headers],[rose gold]], $P39)), 1, 0)</f>
        <v>1</v>
      </c>
      <c r="J39">
        <f>IF(ISNUMBER(SEARCH(טבלה1[[#Headers],[gold]], $P39)), 1, 0)</f>
        <v>1</v>
      </c>
      <c r="K39">
        <f>IF(ISNUMBER(SEARCH(טבלה1[[#Headers],[silver]], $P39)), 1, 0)</f>
        <v>1</v>
      </c>
      <c r="L39">
        <f>IF(ISNUMBER(SEARCH(טבלה1[[#Headers],[space gray]], $P39)), 1, 0)</f>
        <v>1</v>
      </c>
      <c r="M39">
        <f>IF(ISNUMBER(SEARCH(טבלה1[[#Headers],[white]], $P39)), 1, 0)</f>
        <v>1</v>
      </c>
      <c r="N39">
        <f>IF(ISNUMBER(SEARCH(טבלה1[[#Headers],[Black]], $P39)), 1, 0)</f>
        <v>1</v>
      </c>
      <c r="O39">
        <f>IF(ISNUMBER(SEARCH(טבלה1[[#Headers],[graphite]], $P39)), 1, 0)</f>
        <v>1</v>
      </c>
      <c r="P39" t="str">
        <f>VLOOKUP(A39,Sam[],2,FALSE)</f>
        <v>['Purple', 'Green', 'Coral', 'Blue', 'Yellow', 'Red', 'Jet Black', 'Rose Gold', 'Gold', 'Silver', 'Space Gray', 'White', 'Black', 'Graphite']</v>
      </c>
      <c r="Q39">
        <f>VLOOKUP(A39,Sam[],3,FALSE)</f>
        <v>10</v>
      </c>
      <c r="R39" s="3" t="str">
        <f>VLOOKUP(A39,camnum[],4,FALSE)</f>
        <v>3</v>
      </c>
      <c r="S39">
        <v>50</v>
      </c>
      <c r="T39" s="3" t="str" cm="1">
        <f t="array" ref="T39">INDEX(_xlfn.TEXTSPLIT(טבלה1[[#This Row],[size]],"×"),3)</f>
        <v xml:space="preserve"> 7.4</v>
      </c>
      <c r="U39" s="3" t="str">
        <f>TEXT(טבלה1[[#This Row],[release_date_first]], "yyyy-mm-dd")</f>
        <v>2025-02-07</v>
      </c>
      <c r="V39" s="7">
        <v>45695</v>
      </c>
      <c r="Y39" t="s">
        <v>343</v>
      </c>
      <c r="Z39" t="s">
        <v>147</v>
      </c>
      <c r="AA39">
        <f>IF(טבלה1[[#This Row],[display_inner_resolution]]&gt;0,1,0)</f>
        <v>0</v>
      </c>
      <c r="AC39" t="s">
        <v>347</v>
      </c>
      <c r="AD39" s="6">
        <v>4000</v>
      </c>
      <c r="AE39" t="str" cm="1">
        <f t="array" ref="AE39">INDEX(_xlfn.TEXTSPLIT(טבלה1[[#This Row],[size]],"×"),2)</f>
        <v xml:space="preserve"> 70.5 </v>
      </c>
      <c r="AF39" t="str" cm="1">
        <f t="array" ref="AF39">INDEX(_xlfn.TEXTSPLIT(טבלה1[[#This Row],[size]],"×"),1)</f>
        <v xml:space="preserve">146.5 </v>
      </c>
      <c r="AG39" t="s">
        <v>352</v>
      </c>
      <c r="AH39">
        <v>169</v>
      </c>
      <c r="AI39" t="s">
        <v>202</v>
      </c>
      <c r="AJ39" t="s">
        <v>207</v>
      </c>
      <c r="AL39" t="s">
        <v>217</v>
      </c>
      <c r="AM39">
        <v>29.5</v>
      </c>
      <c r="AN39">
        <v>1</v>
      </c>
      <c r="AO39">
        <v>25</v>
      </c>
      <c r="AP39">
        <v>799</v>
      </c>
      <c r="AQ39">
        <v>1299</v>
      </c>
      <c r="AR39" t="str">
        <f>VLOOKUP(A39,charge[],2,FALSE)</f>
        <v>USB-C PD 3.0</v>
      </c>
      <c r="AS39">
        <f>טבלה1[[#This Row],[launch_price_usd.min]]*3.33</f>
        <v>2660.67</v>
      </c>
      <c r="AT39">
        <f>טבלה1[[#This Row],[launch_price_usd.max]]*3.33</f>
        <v>4325.67</v>
      </c>
      <c r="AU39">
        <f>VLOOKUP(A39,airplay[],3,FALSE)</f>
        <v>0</v>
      </c>
      <c r="AV39">
        <v>1</v>
      </c>
      <c r="AW39">
        <v>1</v>
      </c>
      <c r="AX39" t="s">
        <v>517</v>
      </c>
      <c r="AY39" t="s">
        <v>521</v>
      </c>
      <c r="AZ39">
        <v>0</v>
      </c>
      <c r="BA39">
        <f>SUM(טבלה1[[#This Row],[Power]:[Silent Switch]])</f>
        <v>3</v>
      </c>
      <c r="BB39">
        <v>1</v>
      </c>
      <c r="BC39">
        <v>1</v>
      </c>
      <c r="BD39">
        <v>1</v>
      </c>
      <c r="BE39">
        <v>0</v>
      </c>
      <c r="BF39">
        <f>VLOOKUP(A39,rate[],2,FALSE)</f>
        <v>87</v>
      </c>
      <c r="BG39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226915381070.79233</v>
      </c>
      <c r="BH39">
        <f t="shared" si="0"/>
        <v>64.489999999999995</v>
      </c>
    </row>
    <row r="40" spans="1:60" x14ac:dyDescent="0.15">
      <c r="A40" t="s">
        <v>277</v>
      </c>
      <c r="B40">
        <f>IF(ISNUMBER(SEARCH(טבלה1[[#Headers],[purple]], $P40)), 1, 0)</f>
        <v>0</v>
      </c>
      <c r="C40">
        <f>IF(ISNUMBER(SEARCH(טבלה1[[#Headers],[green]], $P40)), 1, 0)</f>
        <v>1</v>
      </c>
      <c r="D40">
        <f>IF(ISNUMBER(SEARCH(טבלה1[[#Headers],[coral]], $P40)), 1, 0)</f>
        <v>0</v>
      </c>
      <c r="E40">
        <f>IF(ISNUMBER(SEARCH(טבלה1[[#Headers],[blue]], $P40)), 1, 0)</f>
        <v>0</v>
      </c>
      <c r="F40">
        <f>IF(ISNUMBER(SEARCH(טבלה1[[#Headers],[yellow]], $P40)), 1, 0)</f>
        <v>0</v>
      </c>
      <c r="G40">
        <f>IF(ISNUMBER(SEARCH(טבלה1[[#Headers],[red]], $P40)), 1, 0)</f>
        <v>0</v>
      </c>
      <c r="H40">
        <f>IF(ISNUMBER(SEARCH(טבלה1[[#Headers],[jet black]], $P40)), 1, 0)</f>
        <v>0</v>
      </c>
      <c r="I40">
        <f>IF(ISNUMBER(SEARCH(טבלה1[[#Headers],[rose gold]], $P40)), 1, 0)</f>
        <v>0</v>
      </c>
      <c r="J40">
        <f>IF(ISNUMBER(SEARCH(טבלה1[[#Headers],[gold]], $P40)), 1, 0)</f>
        <v>0</v>
      </c>
      <c r="K40">
        <f>IF(ISNUMBER(SEARCH(טבלה1[[#Headers],[silver]], $P40)), 1, 0)</f>
        <v>0</v>
      </c>
      <c r="L40">
        <f>IF(ISNUMBER(SEARCH(טבלה1[[#Headers],[space gray]], $P40)), 1, 0)</f>
        <v>0</v>
      </c>
      <c r="M40">
        <f>IF(ISNUMBER(SEARCH(טבלה1[[#Headers],[white]], $P40)), 1, 0)</f>
        <v>0</v>
      </c>
      <c r="N40">
        <f>IF(ISNUMBER(SEARCH(טבלה1[[#Headers],[Black]], $P40)), 1, 0)</f>
        <v>0</v>
      </c>
      <c r="O40">
        <f>IF(ISNUMBER(SEARCH(טבלה1[[#Headers],[graphite]], $P40)), 1, 0)</f>
        <v>0</v>
      </c>
      <c r="P40" t="str">
        <f>VLOOKUP(A40,Sam[],2,FALSE)</f>
        <v>['Mystic Bronze', 'Mystic Green', 'Mystic Gray']</v>
      </c>
      <c r="Q40">
        <f>VLOOKUP(A40,Sam[],3,FALSE)</f>
        <v>10</v>
      </c>
      <c r="R40" s="3" t="str">
        <f>VLOOKUP(A40,camnum[],4,FALSE)</f>
        <v>3</v>
      </c>
      <c r="S40">
        <v>64</v>
      </c>
      <c r="T40" s="3" t="str" cm="1">
        <f t="array" ref="T40">INDEX(_xlfn.TEXTSPLIT(טבלה1[[#This Row],[size]],"×"),3)</f>
        <v xml:space="preserve"> 8.3</v>
      </c>
      <c r="U40" s="3" t="str">
        <f>TEXT(טבלה1[[#This Row],[release_date_first]], "yyyy-mm-dd")</f>
        <v>2020-08-05</v>
      </c>
      <c r="V40" s="7">
        <f>DATE(2020,8,5)</f>
        <v>44048</v>
      </c>
      <c r="Y40" t="s">
        <v>343</v>
      </c>
      <c r="Z40" t="s">
        <v>147</v>
      </c>
      <c r="AA40">
        <f>IF(טבלה1[[#This Row],[display_inner_resolution]]&gt;0,1,0)</f>
        <v>0</v>
      </c>
      <c r="AC40" t="s">
        <v>348</v>
      </c>
      <c r="AD40">
        <v>4300</v>
      </c>
      <c r="AE40" t="str" cm="1">
        <f t="array" ref="AE40">INDEX(_xlfn.TEXTSPLIT(טבלה1[[#This Row],[size]],"×"),2)</f>
        <v xml:space="preserve"> 75.2 </v>
      </c>
      <c r="AF40" t="str" cm="1">
        <f t="array" ref="AF40">INDEX(_xlfn.TEXTSPLIT(טבלה1[[#This Row],[size]],"×"),1)</f>
        <v xml:space="preserve">161.6 </v>
      </c>
      <c r="AG40" t="s">
        <v>353</v>
      </c>
      <c r="AH40">
        <v>192</v>
      </c>
      <c r="AI40" t="s">
        <v>202</v>
      </c>
      <c r="AJ40" t="s">
        <v>207</v>
      </c>
      <c r="AK40" t="s">
        <v>264</v>
      </c>
      <c r="AL40" t="s">
        <v>358</v>
      </c>
      <c r="AM40">
        <v>24</v>
      </c>
      <c r="AN40">
        <v>1</v>
      </c>
      <c r="AO40">
        <v>25</v>
      </c>
      <c r="AP40">
        <v>999</v>
      </c>
      <c r="AQ40">
        <v>1299</v>
      </c>
      <c r="AR40" t="str">
        <f>VLOOKUP(A40,charge[],2,FALSE)</f>
        <v>USB-C PD 3.0</v>
      </c>
      <c r="AS40">
        <f>טבלה1[[#This Row],[launch_price_usd.min]]*3.33</f>
        <v>3326.67</v>
      </c>
      <c r="AT40">
        <f>טבלה1[[#This Row],[launch_price_usd.max]]*3.33</f>
        <v>4325.67</v>
      </c>
      <c r="AU40">
        <f>VLOOKUP(A40,airplay[],3,FALSE)</f>
        <v>0</v>
      </c>
      <c r="AV40">
        <v>1</v>
      </c>
      <c r="AW40">
        <v>1</v>
      </c>
      <c r="AX40" t="s">
        <v>517</v>
      </c>
      <c r="AY40" t="s">
        <v>521</v>
      </c>
      <c r="AZ40">
        <v>0</v>
      </c>
      <c r="BA40">
        <f>SUM(טבלה1[[#This Row],[Power]:[Silent Switch]])</f>
        <v>3</v>
      </c>
      <c r="BB40">
        <v>1</v>
      </c>
      <c r="BC40">
        <v>1</v>
      </c>
      <c r="BD40">
        <v>1</v>
      </c>
      <c r="BE40">
        <v>0</v>
      </c>
      <c r="BF40">
        <f>VLOOKUP(A40,rate[],2,FALSE)</f>
        <v>90</v>
      </c>
      <c r="BG40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41631680789.727478</v>
      </c>
      <c r="BH40">
        <f t="shared" si="0"/>
        <v>60.31</v>
      </c>
    </row>
    <row r="41" spans="1:60" x14ac:dyDescent="0.15">
      <c r="A41" t="s">
        <v>278</v>
      </c>
      <c r="B41">
        <f>IF(ISNUMBER(SEARCH(טבלה1[[#Headers],[purple]], $P41)), 1, 0)</f>
        <v>0</v>
      </c>
      <c r="C41">
        <f>IF(ISNUMBER(SEARCH(טבלה1[[#Headers],[green]], $P41)), 1, 0)</f>
        <v>0</v>
      </c>
      <c r="D41">
        <f>IF(ISNUMBER(SEARCH(טבלה1[[#Headers],[coral]], $P41)), 1, 0)</f>
        <v>0</v>
      </c>
      <c r="E41">
        <f>IF(ISNUMBER(SEARCH(טבלה1[[#Headers],[blue]], $P41)), 1, 0)</f>
        <v>1</v>
      </c>
      <c r="F41">
        <f>IF(ISNUMBER(SEARCH(טבלה1[[#Headers],[yellow]], $P41)), 1, 0)</f>
        <v>0</v>
      </c>
      <c r="G41">
        <f>IF(ISNUMBER(SEARCH(טבלה1[[#Headers],[red]], $P41)), 1, 0)</f>
        <v>1</v>
      </c>
      <c r="H41">
        <f>IF(ISNUMBER(SEARCH(טבלה1[[#Headers],[jet black]], $P41)), 1, 0)</f>
        <v>0</v>
      </c>
      <c r="I41">
        <f>IF(ISNUMBER(SEARCH(טבלה1[[#Headers],[rose gold]], $P41)), 1, 0)</f>
        <v>0</v>
      </c>
      <c r="J41">
        <f>IF(ISNUMBER(SEARCH(טבלה1[[#Headers],[gold]], $P41)), 1, 0)</f>
        <v>0</v>
      </c>
      <c r="K41">
        <f>IF(ISNUMBER(SEARCH(טבלה1[[#Headers],[silver]], $P41)), 1, 0)</f>
        <v>0</v>
      </c>
      <c r="L41">
        <f>IF(ISNUMBER(SEARCH(טבלה1[[#Headers],[space gray]], $P41)), 1, 0)</f>
        <v>0</v>
      </c>
      <c r="M41">
        <f>IF(ISNUMBER(SEARCH(טבלה1[[#Headers],[white]], $P41)), 1, 0)</f>
        <v>1</v>
      </c>
      <c r="N41">
        <f>IF(ISNUMBER(SEARCH(טבלה1[[#Headers],[Black]], $P41)), 1, 0)</f>
        <v>1</v>
      </c>
      <c r="O41">
        <f>IF(ISNUMBER(SEARCH(טבלה1[[#Headers],[graphite]], $P41)), 1, 0)</f>
        <v>0</v>
      </c>
      <c r="P41" t="str">
        <f>VLOOKUP(A41,Sam[],2,FALSE)</f>
        <v>['Black', 'White', 'Blue', 'Red']</v>
      </c>
      <c r="Q41">
        <f>VLOOKUP(A41,Sam[],3,FALSE)</f>
        <v>13</v>
      </c>
      <c r="R41" s="3" t="str">
        <f>VLOOKUP(A41,camnum[],4,FALSE)</f>
        <v>3</v>
      </c>
      <c r="S41">
        <v>50</v>
      </c>
      <c r="T41" s="3" t="str" cm="1">
        <f t="array" ref="T41">INDEX(_xlfn.TEXTSPLIT(טבלה1[[#This Row],[size]],"×"),3)</f>
        <v xml:space="preserve"> 8.3</v>
      </c>
      <c r="U41" s="3" t="str">
        <f>TEXT(טבלה1[[#This Row],[release_date_first]], "yyyy-mm-dd")</f>
        <v>2023-12-01</v>
      </c>
      <c r="V41" s="7">
        <f t="shared" ref="V41" si="1">DATE(2023,12,1)</f>
        <v>45261</v>
      </c>
      <c r="Y41" t="s">
        <v>344</v>
      </c>
      <c r="Z41" t="s">
        <v>302</v>
      </c>
      <c r="AA41">
        <f>IF(טבלה1[[#This Row],[display_inner_resolution]]&gt;0,1,0)</f>
        <v>0</v>
      </c>
      <c r="AC41" t="s">
        <v>349</v>
      </c>
      <c r="AD41">
        <v>5000</v>
      </c>
      <c r="AE41" t="str" cm="1">
        <f t="array" ref="AE41">INDEX(_xlfn.TEXTSPLIT(טבלה1[[#This Row],[size]],"×"),2)</f>
        <v xml:space="preserve"> 77.2 </v>
      </c>
      <c r="AF41" t="str" cm="1">
        <f t="array" ref="AF41">INDEX(_xlfn.TEXTSPLIT(טבלה1[[#This Row],[size]],"×"),1)</f>
        <v xml:space="preserve">164.5 </v>
      </c>
      <c r="AG41" t="s">
        <v>354</v>
      </c>
      <c r="AH41">
        <v>202</v>
      </c>
      <c r="AI41" t="s">
        <v>305</v>
      </c>
      <c r="AJ41">
        <v>-999</v>
      </c>
      <c r="AK41" t="s">
        <v>264</v>
      </c>
      <c r="AL41" t="s">
        <v>216</v>
      </c>
      <c r="AM41">
        <v>14</v>
      </c>
      <c r="AN41">
        <v>1</v>
      </c>
      <c r="AO41">
        <v>15</v>
      </c>
      <c r="AP41">
        <v>199</v>
      </c>
      <c r="AQ41">
        <v>249</v>
      </c>
      <c r="AR41" t="str">
        <f>VLOOKUP(A41,charge[],2,FALSE)</f>
        <v>USB-C</v>
      </c>
      <c r="AS41">
        <f>טבלה1[[#This Row],[launch_price_usd.min]]*3.33</f>
        <v>662.67</v>
      </c>
      <c r="AT41">
        <f>טבלה1[[#This Row],[launch_price_usd.max]]*3.33</f>
        <v>829.17000000000007</v>
      </c>
      <c r="AU41">
        <f>VLOOKUP(A41,airplay[],3,FALSE)</f>
        <v>0</v>
      </c>
      <c r="AV41">
        <v>1</v>
      </c>
      <c r="AW41">
        <v>1</v>
      </c>
      <c r="AX41" t="s">
        <v>517</v>
      </c>
      <c r="AY41" t="s">
        <v>521</v>
      </c>
      <c r="AZ41">
        <v>1</v>
      </c>
      <c r="BA41">
        <f>SUM(טבלה1[[#This Row],[Power]:[Silent Switch]])</f>
        <v>3</v>
      </c>
      <c r="BB41">
        <v>1</v>
      </c>
      <c r="BC41">
        <v>1</v>
      </c>
      <c r="BD41">
        <v>1</v>
      </c>
      <c r="BE41">
        <v>0</v>
      </c>
      <c r="BF41">
        <f>VLOOKUP(A41,rate[],2,FALSE)</f>
        <v>50</v>
      </c>
      <c r="BG41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2168225.3431814536</v>
      </c>
      <c r="BH41">
        <f t="shared" si="0"/>
        <v>35.979999999999997</v>
      </c>
    </row>
    <row r="42" spans="1:60" x14ac:dyDescent="0.15">
      <c r="A42" t="s">
        <v>280</v>
      </c>
      <c r="B42">
        <f>IF(ISNUMBER(SEARCH(טבלה1[[#Headers],[purple]], $P42)), 1, 0)</f>
        <v>1</v>
      </c>
      <c r="C42">
        <f>IF(ISNUMBER(SEARCH(טבלה1[[#Headers],[green]], $P42)), 1, 0)</f>
        <v>0</v>
      </c>
      <c r="D42">
        <f>IF(ISNUMBER(SEARCH(טבלה1[[#Headers],[coral]], $P42)), 1, 0)</f>
        <v>0</v>
      </c>
      <c r="E42">
        <f>IF(ISNUMBER(SEARCH(טבלה1[[#Headers],[blue]], $P42)), 1, 0)</f>
        <v>0</v>
      </c>
      <c r="F42">
        <f>IF(ISNUMBER(SEARCH(טבלה1[[#Headers],[yellow]], $P42)), 1, 0)</f>
        <v>0</v>
      </c>
      <c r="G42">
        <f>IF(ISNUMBER(SEARCH(טבלה1[[#Headers],[red]], $P42)), 1, 0)</f>
        <v>0</v>
      </c>
      <c r="H42">
        <f>IF(ISNUMBER(SEARCH(טבלה1[[#Headers],[jet black]], $P42)), 1, 0)</f>
        <v>0</v>
      </c>
      <c r="I42">
        <f>IF(ISNUMBER(SEARCH(טבלה1[[#Headers],[rose gold]], $P42)), 1, 0)</f>
        <v>0</v>
      </c>
      <c r="J42">
        <f>IF(ISNUMBER(SEARCH(טבלה1[[#Headers],[gold]], $P42)), 1, 0)</f>
        <v>0</v>
      </c>
      <c r="K42">
        <f>IF(ISNUMBER(SEARCH(טבלה1[[#Headers],[silver]], $P42)), 1, 0)</f>
        <v>1</v>
      </c>
      <c r="L42">
        <f>IF(ISNUMBER(SEARCH(טבלה1[[#Headers],[space gray]], $P42)), 1, 0)</f>
        <v>0</v>
      </c>
      <c r="M42">
        <f>IF(ISNUMBER(SEARCH(טבלה1[[#Headers],[white]], $P42)), 1, 0)</f>
        <v>0</v>
      </c>
      <c r="N42">
        <f>IF(ISNUMBER(SEARCH(טבלה1[[#Headers],[Black]], $P42)), 1, 0)</f>
        <v>1</v>
      </c>
      <c r="O42">
        <f>IF(ISNUMBER(SEARCH(טבלה1[[#Headers],[graphite]], $P42)), 1, 0)</f>
        <v>0</v>
      </c>
      <c r="P42" t="str">
        <f>VLOOKUP(A42,Sam[],2,FALSE)</f>
        <v>['Purple', 'Black', 'Silver']</v>
      </c>
      <c r="Q42">
        <f>VLOOKUP(A42,Sam[],3,FALSE)</f>
        <v>10</v>
      </c>
      <c r="R42" s="3" t="str">
        <f>VLOOKUP(A42,camnum[],4,FALSE)</f>
        <v>2</v>
      </c>
      <c r="S42">
        <v>50</v>
      </c>
      <c r="T42" s="3" t="str" cm="1">
        <f t="array" ref="T42">INDEX(_xlfn.TEXTSPLIT(טבלה1[[#This Row],[size]],"×"),3)</f>
        <v xml:space="preserve"> 17.3</v>
      </c>
      <c r="U42" s="3" t="str">
        <f>TEXT(טבלה1[[#This Row],[release_date_first]], "yyyy-mm-dd")</f>
        <v>2025-07-09</v>
      </c>
      <c r="V42" s="7">
        <f>DATE(2025,7,9)</f>
        <v>45847</v>
      </c>
      <c r="Y42">
        <v>12</v>
      </c>
      <c r="Z42" t="s">
        <v>149</v>
      </c>
      <c r="AA42">
        <f>IF(טבלה1[[#This Row],[display_inner_resolution]]&gt;0,1,0)</f>
        <v>1</v>
      </c>
      <c r="AB42" t="s">
        <v>350</v>
      </c>
      <c r="AC42" t="s">
        <v>360</v>
      </c>
      <c r="AD42">
        <v>4300</v>
      </c>
      <c r="AE42" t="str" cm="1">
        <f t="array" ref="AE42">INDEX(_xlfn.TEXTSPLIT(טבלה1[[#This Row],[size]],"×"),2)</f>
        <v xml:space="preserve"> 71.9 </v>
      </c>
      <c r="AF42" t="str" cm="1">
        <f t="array" ref="AF42">INDEX(_xlfn.TEXTSPLIT(טבלה1[[#This Row],[size]],"×"),1)</f>
        <v xml:space="preserve">85.4 </v>
      </c>
      <c r="AG42" t="s">
        <v>355</v>
      </c>
      <c r="AH42">
        <v>187</v>
      </c>
      <c r="AI42" t="s">
        <v>312</v>
      </c>
      <c r="AJ42" t="s">
        <v>207</v>
      </c>
      <c r="AL42" t="s">
        <v>216</v>
      </c>
      <c r="AM42">
        <v>31</v>
      </c>
      <c r="AN42">
        <v>1</v>
      </c>
      <c r="AO42">
        <v>25</v>
      </c>
      <c r="AP42">
        <v>1069</v>
      </c>
      <c r="AQ42">
        <v>1219</v>
      </c>
      <c r="AR42" t="str">
        <f>VLOOKUP(A42,charge[],2,FALSE)</f>
        <v>USB-C PD 3.0 / PPS</v>
      </c>
      <c r="AS42">
        <f>טבלה1[[#This Row],[launch_price_usd.min]]*3.33</f>
        <v>3559.77</v>
      </c>
      <c r="AT42">
        <f>טבלה1[[#This Row],[launch_price_usd.max]]*3.33</f>
        <v>4059.27</v>
      </c>
      <c r="AU42">
        <f>VLOOKUP(A42,airplay[],3,FALSE)</f>
        <v>0</v>
      </c>
      <c r="AV42">
        <v>1</v>
      </c>
      <c r="AW42">
        <v>1</v>
      </c>
      <c r="AX42" t="s">
        <v>517</v>
      </c>
      <c r="AY42" t="s">
        <v>521</v>
      </c>
      <c r="AZ42">
        <v>0</v>
      </c>
      <c r="BA42">
        <f>SUM(טבלה1[[#This Row],[Power]:[Silent Switch]])</f>
        <v>3</v>
      </c>
      <c r="BB42">
        <v>1</v>
      </c>
      <c r="BC42">
        <v>1</v>
      </c>
      <c r="BD42">
        <v>1</v>
      </c>
      <c r="BE42">
        <v>0</v>
      </c>
      <c r="BF42">
        <f>VLOOKUP(A42,rate[],2,FALSE)</f>
        <v>85</v>
      </c>
      <c r="BG42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155067570869.02304</v>
      </c>
      <c r="BH42">
        <f t="shared" si="0"/>
        <v>63.55</v>
      </c>
    </row>
    <row r="43" spans="1:60" x14ac:dyDescent="0.15">
      <c r="A43" t="s">
        <v>279</v>
      </c>
      <c r="B43">
        <f>IF(ISNUMBER(SEARCH(טבלה1[[#Headers],[purple]], $P43)), 1, 0)</f>
        <v>0</v>
      </c>
      <c r="C43">
        <f>IF(ISNUMBER(SEARCH(טבלה1[[#Headers],[green]], $P43)), 1, 0)</f>
        <v>0</v>
      </c>
      <c r="D43">
        <f>IF(ISNUMBER(SEARCH(טבלה1[[#Headers],[coral]], $P43)), 1, 0)</f>
        <v>0</v>
      </c>
      <c r="E43">
        <f>IF(ISNUMBER(SEARCH(טבלה1[[#Headers],[blue]], $P43)), 1, 0)</f>
        <v>1</v>
      </c>
      <c r="F43">
        <f>IF(ISNUMBER(SEARCH(טבלה1[[#Headers],[yellow]], $P43)), 1, 0)</f>
        <v>0</v>
      </c>
      <c r="G43">
        <f>IF(ISNUMBER(SEARCH(טבלה1[[#Headers],[red]], $P43)), 1, 0)</f>
        <v>0</v>
      </c>
      <c r="H43">
        <f>IF(ISNUMBER(SEARCH(טבלה1[[#Headers],[jet black]], $P43)), 1, 0)</f>
        <v>0</v>
      </c>
      <c r="I43">
        <f>IF(ISNUMBER(SEARCH(טבלה1[[#Headers],[rose gold]], $P43)), 1, 0)</f>
        <v>0</v>
      </c>
      <c r="J43">
        <f>IF(ISNUMBER(SEARCH(טבלה1[[#Headers],[gold]], $P43)), 1, 0)</f>
        <v>0</v>
      </c>
      <c r="K43">
        <f>IF(ISNUMBER(SEARCH(טבלה1[[#Headers],[silver]], $P43)), 1, 0)</f>
        <v>1</v>
      </c>
      <c r="L43">
        <f>IF(ISNUMBER(SEARCH(טבלה1[[#Headers],[space gray]], $P43)), 1, 0)</f>
        <v>0</v>
      </c>
      <c r="M43">
        <f>IF(ISNUMBER(SEARCH(טבלה1[[#Headers],[white]], $P43)), 1, 0)</f>
        <v>0</v>
      </c>
      <c r="N43">
        <f>IF(ISNUMBER(SEARCH(טבלה1[[#Headers],[Black]], $P43)), 1, 0)</f>
        <v>1</v>
      </c>
      <c r="O43">
        <f>IF(ISNUMBER(SEARCH(טבלה1[[#Headers],[graphite]], $P43)), 1, 0)</f>
        <v>0</v>
      </c>
      <c r="P43" t="str">
        <f>VLOOKUP(A43,Sam[],2,FALSE)</f>
        <v>['Silver', 'Black', 'Blue']</v>
      </c>
      <c r="Q43">
        <f>VLOOKUP(A43,Sam[],3,FALSE)</f>
        <v>10</v>
      </c>
      <c r="R43" s="3" t="str">
        <f>VLOOKUP(A43,camnum[],4,FALSE)</f>
        <v>3</v>
      </c>
      <c r="S43">
        <v>200</v>
      </c>
      <c r="T43" s="3" t="str" cm="1">
        <f t="array" ref="T43">INDEX(_xlfn.TEXTSPLIT(טבלה1[[#This Row],[size]],"×"),3)</f>
        <v xml:space="preserve"> 6.3</v>
      </c>
      <c r="U43" s="3" t="str">
        <f>TEXT(טבלה1[[#This Row],[release_date_first]], "yyyy-mm-dd")</f>
        <v>2025-07-25</v>
      </c>
      <c r="V43" s="7">
        <f>DATE(2025,7,25)</f>
        <v>45863</v>
      </c>
      <c r="Y43" t="s">
        <v>345</v>
      </c>
      <c r="Z43" t="s">
        <v>346</v>
      </c>
      <c r="AA43">
        <f>IF(טבלה1[[#This Row],[display_inner_resolution]]&gt;0,1,0)</f>
        <v>1</v>
      </c>
      <c r="AB43" t="s">
        <v>351</v>
      </c>
      <c r="AC43" t="s">
        <v>350</v>
      </c>
      <c r="AD43">
        <v>4400</v>
      </c>
      <c r="AE43" t="str" cm="1">
        <f t="array" ref="AE43">INDEX(_xlfn.TEXTSPLIT(טבלה1[[#This Row],[size]],"×"),2)</f>
        <v xml:space="preserve"> 128.1 </v>
      </c>
      <c r="AF43" t="str" cm="1">
        <f t="array" ref="AF43">INDEX(_xlfn.TEXTSPLIT(טבלה1[[#This Row],[size]],"×"),1)</f>
        <v xml:space="preserve">158.4 </v>
      </c>
      <c r="AG43" t="s">
        <v>356</v>
      </c>
      <c r="AH43">
        <v>270</v>
      </c>
      <c r="AI43" t="s">
        <v>312</v>
      </c>
      <c r="AJ43" t="s">
        <v>207</v>
      </c>
      <c r="AL43" t="s">
        <v>358</v>
      </c>
      <c r="AM43">
        <v>24</v>
      </c>
      <c r="AN43">
        <v>1</v>
      </c>
      <c r="AO43">
        <v>45</v>
      </c>
      <c r="AP43">
        <v>1999</v>
      </c>
      <c r="AQ43">
        <v>2419</v>
      </c>
      <c r="AR43" t="str">
        <f>VLOOKUP(A43,charge[],2,FALSE)</f>
        <v>USB-C PD 3.0 / PPS</v>
      </c>
      <c r="AS43">
        <f>טבלה1[[#This Row],[launch_price_usd.min]]*3.33</f>
        <v>6656.67</v>
      </c>
      <c r="AT43">
        <f>טבלה1[[#This Row],[launch_price_usd.max]]*3.33</f>
        <v>8055.27</v>
      </c>
      <c r="AU43">
        <f>VLOOKUP(A43,airplay[],3,FALSE)</f>
        <v>0</v>
      </c>
      <c r="AV43">
        <v>1</v>
      </c>
      <c r="AW43">
        <v>1</v>
      </c>
      <c r="AX43" t="s">
        <v>517</v>
      </c>
      <c r="AY43" t="s">
        <v>521</v>
      </c>
      <c r="AZ43">
        <v>0</v>
      </c>
      <c r="BA43">
        <f>SUM(טבלה1[[#This Row],[Power]:[Silent Switch]])</f>
        <v>3</v>
      </c>
      <c r="BB43">
        <v>1</v>
      </c>
      <c r="BC43">
        <v>1</v>
      </c>
      <c r="BD43">
        <v>1</v>
      </c>
      <c r="BE43">
        <v>0</v>
      </c>
      <c r="BF43">
        <f>VLOOKUP(A43,rate[],2,FALSE)</f>
        <v>86</v>
      </c>
      <c r="BG43">
        <f>טבלה1[[#This Row],[rate]] * EXP(
    (טבלה1[[#This Row],[AI/Siri]] + טבלה1[[#This Row],[support_hd]] + טבלה1[[#This Row],[charging_wattage]] + טבלה1[[#This Row],[water_resistance]] + טבלה1[[#This Row],[video_playback_hours]])
    / (SUM(טבלה1[[#This Row],[Power]:[Silent Switch]]) + טבלה1[[#This Row],[Headphone Jack]])
    + טבלה1[[#This Row],[length]]/טבלה1[[#This Row],[width]]
    + טבלה1[[#This Row],[battery_mah]]/MAX(טבלה1[battery_mah])
)</f>
        <v>12690321130908.973</v>
      </c>
      <c r="BH43">
        <f t="shared" si="0"/>
        <v>74.41</v>
      </c>
    </row>
  </sheetData>
  <phoneticPr fontId="2" type="noConversion"/>
  <conditionalFormatting sqref="B2:O43">
    <cfRule type="cellIs" dxfId="2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502E-C99F-3D42-81B2-2A88A8C64E69}">
  <dimension ref="A1:C45"/>
  <sheetViews>
    <sheetView rightToLeft="1" topLeftCell="A19" workbookViewId="0">
      <selection activeCell="B60" sqref="B60"/>
    </sheetView>
  </sheetViews>
  <sheetFormatPr baseColWidth="10" defaultRowHeight="14" x14ac:dyDescent="0.15"/>
  <cols>
    <col min="1" max="1" width="30.1640625" bestFit="1" customWidth="1"/>
    <col min="2" max="2" width="16.5" customWidth="1"/>
    <col min="3" max="3" width="28.1640625" customWidth="1"/>
  </cols>
  <sheetData>
    <row r="1" spans="1:3" x14ac:dyDescent="0.15">
      <c r="A1" s="5" t="s">
        <v>513</v>
      </c>
      <c r="B1" s="5" t="s">
        <v>547</v>
      </c>
      <c r="C1" s="5" t="s">
        <v>530</v>
      </c>
    </row>
    <row r="2" spans="1:3" x14ac:dyDescent="0.15">
      <c r="A2" t="s">
        <v>24</v>
      </c>
      <c r="B2">
        <v>74</v>
      </c>
      <c r="C2" t="s">
        <v>531</v>
      </c>
    </row>
    <row r="3" spans="1:3" x14ac:dyDescent="0.15">
      <c r="A3" t="s">
        <v>25</v>
      </c>
      <c r="B3">
        <v>70</v>
      </c>
      <c r="C3" t="s">
        <v>532</v>
      </c>
    </row>
    <row r="4" spans="1:3" x14ac:dyDescent="0.15">
      <c r="A4" t="s">
        <v>26</v>
      </c>
      <c r="B4">
        <v>72</v>
      </c>
      <c r="C4" t="s">
        <v>533</v>
      </c>
    </row>
    <row r="5" spans="1:3" x14ac:dyDescent="0.15">
      <c r="A5" t="s">
        <v>27</v>
      </c>
      <c r="B5">
        <v>85</v>
      </c>
      <c r="C5" t="s">
        <v>534</v>
      </c>
    </row>
    <row r="6" spans="1:3" x14ac:dyDescent="0.15">
      <c r="A6" t="s">
        <v>28</v>
      </c>
      <c r="B6">
        <v>78</v>
      </c>
      <c r="C6" t="s">
        <v>535</v>
      </c>
    </row>
    <row r="7" spans="1:3" x14ac:dyDescent="0.15">
      <c r="A7" t="s">
        <v>29</v>
      </c>
      <c r="B7">
        <v>79</v>
      </c>
      <c r="C7" t="s">
        <v>536</v>
      </c>
    </row>
    <row r="8" spans="1:3" x14ac:dyDescent="0.15">
      <c r="A8" t="s">
        <v>30</v>
      </c>
      <c r="B8">
        <v>80</v>
      </c>
      <c r="C8" t="s">
        <v>537</v>
      </c>
    </row>
    <row r="9" spans="1:3" x14ac:dyDescent="0.15">
      <c r="A9" t="s">
        <v>31</v>
      </c>
      <c r="B9">
        <v>81</v>
      </c>
      <c r="C9" t="s">
        <v>539</v>
      </c>
    </row>
    <row r="10" spans="1:3" x14ac:dyDescent="0.15">
      <c r="A10" t="s">
        <v>32</v>
      </c>
      <c r="B10">
        <v>82</v>
      </c>
      <c r="C10" t="s">
        <v>540</v>
      </c>
    </row>
    <row r="11" spans="1:3" x14ac:dyDescent="0.15">
      <c r="A11" t="s">
        <v>33</v>
      </c>
      <c r="B11">
        <v>83</v>
      </c>
      <c r="C11" t="s">
        <v>541</v>
      </c>
    </row>
    <row r="12" spans="1:3" x14ac:dyDescent="0.15">
      <c r="A12" t="s">
        <v>34</v>
      </c>
      <c r="B12">
        <v>84</v>
      </c>
      <c r="C12" t="s">
        <v>542</v>
      </c>
    </row>
    <row r="13" spans="1:3" x14ac:dyDescent="0.15">
      <c r="A13" t="s">
        <v>35</v>
      </c>
      <c r="B13">
        <v>85</v>
      </c>
      <c r="C13" t="s">
        <v>543</v>
      </c>
    </row>
    <row r="14" spans="1:3" x14ac:dyDescent="0.15">
      <c r="A14" t="s">
        <v>36</v>
      </c>
      <c r="B14">
        <v>97</v>
      </c>
      <c r="C14" t="s">
        <v>544</v>
      </c>
    </row>
    <row r="15" spans="1:3" x14ac:dyDescent="0.15">
      <c r="A15" t="s">
        <v>37</v>
      </c>
      <c r="B15">
        <v>89</v>
      </c>
      <c r="C15" t="s">
        <v>545</v>
      </c>
    </row>
    <row r="16" spans="1:3" x14ac:dyDescent="0.15">
      <c r="A16" t="s">
        <v>38</v>
      </c>
      <c r="B16">
        <v>94</v>
      </c>
      <c r="C16" t="s">
        <v>546</v>
      </c>
    </row>
    <row r="17" spans="1:2" x14ac:dyDescent="0.15">
      <c r="A17" t="s">
        <v>39</v>
      </c>
      <c r="B17">
        <v>90</v>
      </c>
    </row>
    <row r="18" spans="1:2" x14ac:dyDescent="0.15">
      <c r="A18" t="s">
        <v>40</v>
      </c>
      <c r="B18">
        <v>91</v>
      </c>
    </row>
    <row r="19" spans="1:2" x14ac:dyDescent="0.15">
      <c r="A19" t="s">
        <v>41</v>
      </c>
      <c r="B19">
        <v>94</v>
      </c>
    </row>
    <row r="20" spans="1:2" x14ac:dyDescent="0.15">
      <c r="A20" t="s">
        <v>42</v>
      </c>
      <c r="B20">
        <v>91</v>
      </c>
    </row>
    <row r="21" spans="1:2" x14ac:dyDescent="0.15">
      <c r="A21" t="s">
        <v>43</v>
      </c>
      <c r="B21">
        <v>96</v>
      </c>
    </row>
    <row r="22" spans="1:2" x14ac:dyDescent="0.15">
      <c r="A22" t="s">
        <v>44</v>
      </c>
      <c r="B22">
        <v>93</v>
      </c>
    </row>
    <row r="23" spans="1:2" x14ac:dyDescent="0.15">
      <c r="A23" t="s">
        <v>45</v>
      </c>
      <c r="B23">
        <v>80</v>
      </c>
    </row>
    <row r="24" spans="1:2" x14ac:dyDescent="0.15">
      <c r="A24" t="s">
        <v>46</v>
      </c>
      <c r="B24">
        <v>94</v>
      </c>
    </row>
    <row r="25" spans="1:2" x14ac:dyDescent="0.15">
      <c r="A25" t="s">
        <v>47</v>
      </c>
      <c r="B25">
        <v>77</v>
      </c>
    </row>
    <row r="26" spans="1:2" x14ac:dyDescent="0.15">
      <c r="A26" t="s">
        <v>48</v>
      </c>
      <c r="B26">
        <v>95</v>
      </c>
    </row>
    <row r="27" spans="1:2" x14ac:dyDescent="0.15">
      <c r="A27" t="s">
        <v>49</v>
      </c>
      <c r="B27">
        <v>82</v>
      </c>
    </row>
    <row r="28" spans="1:2" x14ac:dyDescent="0.15">
      <c r="A28" t="s">
        <v>548</v>
      </c>
      <c r="B28">
        <v>89</v>
      </c>
    </row>
    <row r="29" spans="1:2" x14ac:dyDescent="0.15">
      <c r="A29" t="s">
        <v>538</v>
      </c>
      <c r="B29">
        <v>95</v>
      </c>
    </row>
    <row r="30" spans="1:2" x14ac:dyDescent="0.15">
      <c r="A30" t="s">
        <v>50</v>
      </c>
      <c r="B30">
        <v>95</v>
      </c>
    </row>
    <row r="31" spans="1:2" x14ac:dyDescent="0.15">
      <c r="A31" t="s">
        <v>357</v>
      </c>
      <c r="B31">
        <v>96</v>
      </c>
    </row>
    <row r="32" spans="1:2" x14ac:dyDescent="0.15">
      <c r="A32" t="s">
        <v>51</v>
      </c>
      <c r="B32">
        <v>90</v>
      </c>
    </row>
    <row r="33" spans="1:2" x14ac:dyDescent="0.15">
      <c r="A33" t="s">
        <v>276</v>
      </c>
      <c r="B33">
        <v>87</v>
      </c>
    </row>
    <row r="34" spans="1:2" x14ac:dyDescent="0.15">
      <c r="A34" t="s">
        <v>277</v>
      </c>
      <c r="B34">
        <v>90</v>
      </c>
    </row>
    <row r="35" spans="1:2" x14ac:dyDescent="0.15">
      <c r="A35" t="s">
        <v>278</v>
      </c>
      <c r="B35">
        <v>50</v>
      </c>
    </row>
    <row r="36" spans="1:2" x14ac:dyDescent="0.15">
      <c r="A36" t="s">
        <v>280</v>
      </c>
      <c r="B36">
        <v>85</v>
      </c>
    </row>
    <row r="37" spans="1:2" x14ac:dyDescent="0.15">
      <c r="A37" t="s">
        <v>279</v>
      </c>
      <c r="B37">
        <v>86</v>
      </c>
    </row>
    <row r="38" spans="1:2" x14ac:dyDescent="0.15">
      <c r="A38" t="s">
        <v>52</v>
      </c>
      <c r="B38">
        <v>80</v>
      </c>
    </row>
    <row r="39" spans="1:2" x14ac:dyDescent="0.15">
      <c r="A39" t="s">
        <v>53</v>
      </c>
      <c r="B39">
        <v>86</v>
      </c>
    </row>
    <row r="40" spans="1:2" x14ac:dyDescent="0.15">
      <c r="A40" t="s">
        <v>54</v>
      </c>
      <c r="B40">
        <v>93</v>
      </c>
    </row>
    <row r="41" spans="1:2" x14ac:dyDescent="0.15">
      <c r="A41" t="s">
        <v>55</v>
      </c>
      <c r="B41">
        <v>90</v>
      </c>
    </row>
    <row r="42" spans="1:2" x14ac:dyDescent="0.15">
      <c r="A42" t="s">
        <v>56</v>
      </c>
      <c r="B42">
        <v>85</v>
      </c>
    </row>
    <row r="43" spans="1:2" x14ac:dyDescent="0.15">
      <c r="A43" t="s">
        <v>57</v>
      </c>
      <c r="B43">
        <v>90</v>
      </c>
    </row>
    <row r="44" spans="1:2" x14ac:dyDescent="0.15">
      <c r="A44" t="s">
        <v>58</v>
      </c>
      <c r="B44">
        <v>95</v>
      </c>
    </row>
    <row r="45" spans="1:2" x14ac:dyDescent="0.15">
      <c r="A45" t="s">
        <v>59</v>
      </c>
      <c r="B45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462D-A3D3-9249-BD41-2B188F7D79C0}">
  <dimension ref="A1:AE11"/>
  <sheetViews>
    <sheetView rightToLeft="1" topLeftCell="D1" workbookViewId="0">
      <selection activeCell="Z2" sqref="Z2"/>
    </sheetView>
  </sheetViews>
  <sheetFormatPr baseColWidth="10" defaultRowHeight="14" x14ac:dyDescent="0.15"/>
  <cols>
    <col min="1" max="1" width="14.1640625" bestFit="1" customWidth="1"/>
    <col min="2" max="2" width="18.33203125" bestFit="1" customWidth="1"/>
    <col min="3" max="3" width="18.5" bestFit="1" customWidth="1"/>
    <col min="4" max="4" width="16" bestFit="1" customWidth="1"/>
    <col min="5" max="5" width="9.83203125" bestFit="1" customWidth="1"/>
    <col min="6" max="6" width="37.5" bestFit="1" customWidth="1"/>
    <col min="7" max="7" width="19.33203125" customWidth="1"/>
    <col min="8" max="15" width="0.1640625" customWidth="1"/>
    <col min="16" max="16" width="2.33203125" customWidth="1"/>
    <col min="17" max="19" width="0.1640625" customWidth="1"/>
    <col min="20" max="20" width="11.83203125" bestFit="1" customWidth="1"/>
    <col min="21" max="21" width="14.5" style="7" bestFit="1" customWidth="1"/>
    <col min="22" max="22" width="0.1640625" style="7" customWidth="1"/>
    <col min="23" max="23" width="14.1640625" bestFit="1" customWidth="1"/>
    <col min="24" max="24" width="15.6640625" bestFit="1" customWidth="1"/>
    <col min="25" max="25" width="7.83203125" customWidth="1"/>
    <col min="26" max="26" width="20.1640625" customWidth="1"/>
  </cols>
  <sheetData>
    <row r="1" spans="1:31" x14ac:dyDescent="0.15">
      <c r="A1" t="s">
        <v>0</v>
      </c>
      <c r="B1" t="s">
        <v>7</v>
      </c>
      <c r="C1" t="s">
        <v>364</v>
      </c>
      <c r="D1" t="s">
        <v>365</v>
      </c>
      <c r="E1" t="s">
        <v>366</v>
      </c>
      <c r="F1" t="s">
        <v>367</v>
      </c>
      <c r="G1" t="s">
        <v>281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10</v>
      </c>
      <c r="P1" t="s">
        <v>375</v>
      </c>
      <c r="Q1" t="s">
        <v>376</v>
      </c>
      <c r="R1" t="s">
        <v>377</v>
      </c>
      <c r="S1" s="5" t="s">
        <v>438</v>
      </c>
      <c r="T1" s="5" t="s">
        <v>452</v>
      </c>
      <c r="U1" s="9" t="s">
        <v>453</v>
      </c>
      <c r="V1" s="7" t="s">
        <v>497</v>
      </c>
      <c r="W1" s="5" t="s">
        <v>510</v>
      </c>
      <c r="X1" s="5" t="s">
        <v>498</v>
      </c>
      <c r="Y1" s="5" t="s">
        <v>499</v>
      </c>
      <c r="Z1" s="5" t="s">
        <v>500</v>
      </c>
      <c r="AA1" s="5" t="s">
        <v>501</v>
      </c>
      <c r="AB1" s="5" t="s">
        <v>502</v>
      </c>
      <c r="AC1" s="5" t="s">
        <v>503</v>
      </c>
      <c r="AD1" s="5" t="s">
        <v>504</v>
      </c>
      <c r="AE1" s="5" t="s">
        <v>505</v>
      </c>
    </row>
    <row r="2" spans="1:31" x14ac:dyDescent="0.15">
      <c r="A2" t="s">
        <v>378</v>
      </c>
      <c r="B2" t="s">
        <v>379</v>
      </c>
      <c r="C2" t="s">
        <v>343</v>
      </c>
      <c r="D2" t="s">
        <v>451</v>
      </c>
      <c r="E2" t="s">
        <v>380</v>
      </c>
      <c r="F2" t="s">
        <v>381</v>
      </c>
      <c r="G2" t="s">
        <v>382</v>
      </c>
      <c r="H2">
        <v>2022</v>
      </c>
      <c r="I2" t="s">
        <v>383</v>
      </c>
      <c r="J2" t="s">
        <v>384</v>
      </c>
      <c r="K2" t="s">
        <v>385</v>
      </c>
      <c r="L2" t="s">
        <v>386</v>
      </c>
      <c r="M2">
        <v>6.7</v>
      </c>
      <c r="N2" t="s">
        <v>387</v>
      </c>
      <c r="O2" t="s">
        <v>477</v>
      </c>
      <c r="P2" t="s">
        <v>388</v>
      </c>
      <c r="S2" t="s">
        <v>439</v>
      </c>
      <c r="T2">
        <v>8.5500000000000007</v>
      </c>
      <c r="U2" t="s">
        <v>456</v>
      </c>
      <c r="V2" s="7">
        <v>44572</v>
      </c>
      <c r="W2" t="s">
        <v>378</v>
      </c>
      <c r="X2" t="s">
        <v>202</v>
      </c>
      <c r="Y2" t="s">
        <v>511</v>
      </c>
      <c r="Z2">
        <v>1</v>
      </c>
      <c r="AA2" t="s">
        <v>291</v>
      </c>
      <c r="AB2">
        <v>1</v>
      </c>
      <c r="AC2" t="s">
        <v>483</v>
      </c>
      <c r="AD2" t="s">
        <v>487</v>
      </c>
      <c r="AE2" t="s">
        <v>484</v>
      </c>
    </row>
    <row r="3" spans="1:31" x14ac:dyDescent="0.15">
      <c r="A3" t="s">
        <v>389</v>
      </c>
      <c r="B3" t="s">
        <v>390</v>
      </c>
      <c r="C3">
        <v>12</v>
      </c>
      <c r="D3">
        <v>256</v>
      </c>
      <c r="E3" t="s">
        <v>391</v>
      </c>
      <c r="F3" t="s">
        <v>392</v>
      </c>
      <c r="G3" t="s">
        <v>393</v>
      </c>
      <c r="H3">
        <v>2021</v>
      </c>
      <c r="I3" t="s">
        <v>394</v>
      </c>
      <c r="J3" t="s">
        <v>384</v>
      </c>
      <c r="K3" t="s">
        <v>385</v>
      </c>
      <c r="L3" t="s">
        <v>386</v>
      </c>
      <c r="M3">
        <v>6.7</v>
      </c>
      <c r="N3" t="s">
        <v>387</v>
      </c>
      <c r="O3" t="s">
        <v>477</v>
      </c>
      <c r="P3" t="s">
        <v>388</v>
      </c>
      <c r="S3" t="s">
        <v>440</v>
      </c>
      <c r="T3">
        <v>8.6999999999999993</v>
      </c>
      <c r="U3" t="s">
        <v>457</v>
      </c>
      <c r="V3" s="7">
        <v>44286</v>
      </c>
      <c r="W3" t="s">
        <v>389</v>
      </c>
      <c r="X3" t="s">
        <v>202</v>
      </c>
      <c r="Y3" t="s">
        <v>511</v>
      </c>
      <c r="Z3">
        <v>1</v>
      </c>
      <c r="AA3" t="s">
        <v>291</v>
      </c>
      <c r="AB3">
        <v>1</v>
      </c>
      <c r="AC3" t="s">
        <v>483</v>
      </c>
      <c r="AD3" t="s">
        <v>507</v>
      </c>
      <c r="AE3" t="s">
        <v>484</v>
      </c>
    </row>
    <row r="4" spans="1:31" x14ac:dyDescent="0.15">
      <c r="A4" t="s">
        <v>395</v>
      </c>
      <c r="B4" t="s">
        <v>396</v>
      </c>
      <c r="C4" t="s">
        <v>343</v>
      </c>
      <c r="D4" t="s">
        <v>451</v>
      </c>
      <c r="E4" t="s">
        <v>397</v>
      </c>
      <c r="F4" t="s">
        <v>398</v>
      </c>
      <c r="G4" t="s">
        <v>399</v>
      </c>
      <c r="H4">
        <v>2020</v>
      </c>
      <c r="I4" t="s">
        <v>400</v>
      </c>
      <c r="J4" t="s">
        <v>384</v>
      </c>
      <c r="K4" t="s">
        <v>384</v>
      </c>
      <c r="L4" t="s">
        <v>386</v>
      </c>
      <c r="M4">
        <v>6.78</v>
      </c>
      <c r="N4" t="s">
        <v>387</v>
      </c>
      <c r="O4" t="s">
        <v>478</v>
      </c>
      <c r="P4" t="s">
        <v>388</v>
      </c>
      <c r="S4" t="s">
        <v>441</v>
      </c>
      <c r="T4">
        <v>8.5</v>
      </c>
      <c r="U4" t="s">
        <v>458</v>
      </c>
      <c r="V4" s="7">
        <v>43935</v>
      </c>
      <c r="W4" t="s">
        <v>395</v>
      </c>
      <c r="X4" t="s">
        <v>202</v>
      </c>
      <c r="Y4" t="s">
        <v>511</v>
      </c>
      <c r="Z4">
        <v>1</v>
      </c>
      <c r="AA4" t="s">
        <v>485</v>
      </c>
      <c r="AB4">
        <v>1</v>
      </c>
      <c r="AC4" t="s">
        <v>486</v>
      </c>
      <c r="AD4" t="s">
        <v>487</v>
      </c>
      <c r="AE4" t="s">
        <v>487</v>
      </c>
    </row>
    <row r="5" spans="1:31" x14ac:dyDescent="0.15">
      <c r="A5" t="s">
        <v>401</v>
      </c>
      <c r="B5" t="s">
        <v>402</v>
      </c>
      <c r="C5" t="s">
        <v>448</v>
      </c>
      <c r="D5" t="s">
        <v>451</v>
      </c>
      <c r="E5" t="s">
        <v>403</v>
      </c>
      <c r="F5" t="s">
        <v>404</v>
      </c>
      <c r="G5" t="s">
        <v>405</v>
      </c>
      <c r="H5">
        <v>2019</v>
      </c>
      <c r="I5" t="s">
        <v>406</v>
      </c>
      <c r="J5" t="s">
        <v>384</v>
      </c>
      <c r="K5" t="s">
        <v>407</v>
      </c>
      <c r="L5" t="s">
        <v>386</v>
      </c>
      <c r="M5">
        <v>6.67</v>
      </c>
      <c r="N5" t="s">
        <v>387</v>
      </c>
      <c r="O5" t="s">
        <v>479</v>
      </c>
      <c r="P5" t="s">
        <v>408</v>
      </c>
      <c r="S5" t="s">
        <v>442</v>
      </c>
      <c r="T5">
        <v>8.8000000000000007</v>
      </c>
      <c r="U5" t="s">
        <v>459</v>
      </c>
      <c r="V5" s="7">
        <v>39947</v>
      </c>
      <c r="W5" t="s">
        <v>401</v>
      </c>
      <c r="X5" t="s">
        <v>202</v>
      </c>
      <c r="Y5" t="s">
        <v>511</v>
      </c>
      <c r="Z5">
        <v>0</v>
      </c>
      <c r="AA5" t="s">
        <v>485</v>
      </c>
      <c r="AB5">
        <v>0</v>
      </c>
      <c r="AC5" t="s">
        <v>486</v>
      </c>
      <c r="AD5" t="s">
        <v>489</v>
      </c>
      <c r="AE5" t="s">
        <v>489</v>
      </c>
    </row>
    <row r="6" spans="1:31" x14ac:dyDescent="0.15">
      <c r="A6" t="s">
        <v>409</v>
      </c>
      <c r="B6" t="s">
        <v>410</v>
      </c>
      <c r="C6" t="s">
        <v>449</v>
      </c>
      <c r="D6" t="s">
        <v>451</v>
      </c>
      <c r="E6" t="s">
        <v>411</v>
      </c>
      <c r="F6" t="s">
        <v>412</v>
      </c>
      <c r="G6" t="s">
        <v>405</v>
      </c>
      <c r="H6">
        <v>2018</v>
      </c>
      <c r="I6" t="s">
        <v>413</v>
      </c>
      <c r="J6" t="s">
        <v>414</v>
      </c>
      <c r="M6">
        <v>6.41</v>
      </c>
      <c r="N6" t="s">
        <v>415</v>
      </c>
      <c r="O6" t="s">
        <v>347</v>
      </c>
      <c r="P6" t="s">
        <v>416</v>
      </c>
      <c r="Q6" t="s">
        <v>407</v>
      </c>
      <c r="S6" t="s">
        <v>443</v>
      </c>
      <c r="T6">
        <v>8.1999999999999993</v>
      </c>
      <c r="U6" t="s">
        <v>460</v>
      </c>
      <c r="V6" s="7">
        <v>39758</v>
      </c>
      <c r="W6" t="s">
        <v>409</v>
      </c>
      <c r="X6" t="s">
        <v>202</v>
      </c>
      <c r="Y6" t="s">
        <v>482</v>
      </c>
      <c r="Z6">
        <v>0</v>
      </c>
      <c r="AA6" t="s">
        <v>485</v>
      </c>
      <c r="AB6">
        <v>0</v>
      </c>
      <c r="AC6" t="s">
        <v>490</v>
      </c>
      <c r="AD6" t="s">
        <v>491</v>
      </c>
      <c r="AE6" t="s">
        <v>491</v>
      </c>
    </row>
    <row r="7" spans="1:31" x14ac:dyDescent="0.15">
      <c r="A7" t="s">
        <v>417</v>
      </c>
      <c r="B7" t="s">
        <v>418</v>
      </c>
      <c r="C7" t="s">
        <v>450</v>
      </c>
      <c r="D7" t="s">
        <v>302</v>
      </c>
      <c r="E7" t="s">
        <v>419</v>
      </c>
      <c r="F7" t="s">
        <v>412</v>
      </c>
      <c r="G7" t="s">
        <v>420</v>
      </c>
      <c r="H7">
        <v>2017</v>
      </c>
      <c r="I7" t="s">
        <v>421</v>
      </c>
      <c r="J7" t="s">
        <v>414</v>
      </c>
      <c r="M7">
        <v>6.01</v>
      </c>
      <c r="N7" t="s">
        <v>415</v>
      </c>
      <c r="O7" t="s">
        <v>480</v>
      </c>
      <c r="P7" t="s">
        <v>416</v>
      </c>
      <c r="Q7" t="s">
        <v>407</v>
      </c>
      <c r="S7" t="s">
        <v>444</v>
      </c>
      <c r="T7">
        <v>7.3</v>
      </c>
      <c r="U7" t="s">
        <v>461</v>
      </c>
      <c r="V7" s="7">
        <v>39407</v>
      </c>
      <c r="W7" t="s">
        <v>417</v>
      </c>
      <c r="X7" t="s">
        <v>492</v>
      </c>
      <c r="Y7" t="s">
        <v>512</v>
      </c>
      <c r="Z7">
        <v>0</v>
      </c>
      <c r="AA7" t="s">
        <v>485</v>
      </c>
      <c r="AB7">
        <v>0</v>
      </c>
      <c r="AC7" t="s">
        <v>490</v>
      </c>
      <c r="AD7" t="s">
        <v>493</v>
      </c>
      <c r="AE7" t="s">
        <v>493</v>
      </c>
    </row>
    <row r="8" spans="1:31" x14ac:dyDescent="0.15">
      <c r="A8" t="s">
        <v>422</v>
      </c>
      <c r="B8" t="s">
        <v>423</v>
      </c>
      <c r="C8">
        <v>6</v>
      </c>
      <c r="D8" t="s">
        <v>302</v>
      </c>
      <c r="E8" t="s">
        <v>424</v>
      </c>
      <c r="F8" t="s">
        <v>425</v>
      </c>
      <c r="G8" t="s">
        <v>426</v>
      </c>
      <c r="H8">
        <v>2016</v>
      </c>
      <c r="I8" t="s">
        <v>427</v>
      </c>
      <c r="J8" t="s">
        <v>407</v>
      </c>
      <c r="M8">
        <v>5.5</v>
      </c>
      <c r="N8" t="s">
        <v>415</v>
      </c>
      <c r="O8" t="s">
        <v>481</v>
      </c>
      <c r="P8" t="s">
        <v>416</v>
      </c>
      <c r="Q8" t="s">
        <v>386</v>
      </c>
      <c r="S8" t="s">
        <v>445</v>
      </c>
      <c r="T8">
        <v>7.3</v>
      </c>
      <c r="U8" t="s">
        <v>454</v>
      </c>
      <c r="V8" t="s">
        <v>454</v>
      </c>
      <c r="W8" t="s">
        <v>422</v>
      </c>
      <c r="X8" t="s">
        <v>509</v>
      </c>
      <c r="Y8" t="s">
        <v>509</v>
      </c>
      <c r="Z8" t="s">
        <v>509</v>
      </c>
      <c r="AA8" t="s">
        <v>509</v>
      </c>
      <c r="AB8" t="s">
        <v>509</v>
      </c>
      <c r="AC8" t="s">
        <v>509</v>
      </c>
      <c r="AD8" t="s">
        <v>509</v>
      </c>
      <c r="AE8" t="s">
        <v>509</v>
      </c>
    </row>
    <row r="9" spans="1:31" x14ac:dyDescent="0.15">
      <c r="A9" t="s">
        <v>428</v>
      </c>
      <c r="B9" t="s">
        <v>429</v>
      </c>
      <c r="C9">
        <v>6</v>
      </c>
      <c r="D9" t="s">
        <v>302</v>
      </c>
      <c r="E9" t="s">
        <v>430</v>
      </c>
      <c r="F9" t="s">
        <v>425</v>
      </c>
      <c r="G9" t="s">
        <v>420</v>
      </c>
      <c r="H9">
        <v>2016</v>
      </c>
      <c r="I9" t="s">
        <v>431</v>
      </c>
      <c r="J9" t="s">
        <v>407</v>
      </c>
      <c r="M9">
        <v>5.5</v>
      </c>
      <c r="N9" t="s">
        <v>415</v>
      </c>
      <c r="O9" t="s">
        <v>481</v>
      </c>
      <c r="P9" t="s">
        <v>416</v>
      </c>
      <c r="Q9" t="s">
        <v>407</v>
      </c>
      <c r="S9" t="s">
        <v>446</v>
      </c>
      <c r="T9">
        <v>7.35</v>
      </c>
      <c r="U9" t="s">
        <v>462</v>
      </c>
      <c r="V9" s="7">
        <v>42689</v>
      </c>
      <c r="W9" s="11" t="s">
        <v>428</v>
      </c>
      <c r="X9" s="11" t="s">
        <v>205</v>
      </c>
      <c r="Y9" s="11" t="s">
        <v>494</v>
      </c>
      <c r="Z9" s="11">
        <v>0</v>
      </c>
      <c r="AA9" s="11" t="s">
        <v>485</v>
      </c>
      <c r="AB9" s="11" t="s">
        <v>488</v>
      </c>
      <c r="AC9" s="11" t="s">
        <v>495</v>
      </c>
      <c r="AD9" s="11" t="s">
        <v>496</v>
      </c>
      <c r="AE9" s="12" t="s">
        <v>496</v>
      </c>
    </row>
    <row r="10" spans="1:31" x14ac:dyDescent="0.15">
      <c r="A10" t="s">
        <v>432</v>
      </c>
      <c r="B10" t="s">
        <v>433</v>
      </c>
      <c r="C10" t="s">
        <v>343</v>
      </c>
      <c r="D10" t="s">
        <v>451</v>
      </c>
      <c r="E10" t="s">
        <v>380</v>
      </c>
      <c r="F10" t="s">
        <v>434</v>
      </c>
      <c r="G10" t="s">
        <v>382</v>
      </c>
      <c r="H10">
        <v>2022</v>
      </c>
      <c r="I10" t="s">
        <v>435</v>
      </c>
      <c r="J10" t="s">
        <v>436</v>
      </c>
      <c r="K10" t="s">
        <v>386</v>
      </c>
      <c r="M10">
        <v>6.43</v>
      </c>
      <c r="N10" t="s">
        <v>387</v>
      </c>
      <c r="O10" t="s">
        <v>348</v>
      </c>
      <c r="P10" t="s">
        <v>408</v>
      </c>
      <c r="R10" t="s">
        <v>437</v>
      </c>
      <c r="S10" t="s">
        <v>447</v>
      </c>
      <c r="T10" t="s">
        <v>455</v>
      </c>
      <c r="U10" t="s">
        <v>463</v>
      </c>
      <c r="V10" t="s">
        <v>463</v>
      </c>
      <c r="W10" s="13" t="s">
        <v>432</v>
      </c>
      <c r="X10" s="13" t="s">
        <v>205</v>
      </c>
      <c r="Y10" s="13" t="s">
        <v>511</v>
      </c>
      <c r="Z10" s="13">
        <v>1</v>
      </c>
      <c r="AA10" s="13" t="s">
        <v>485</v>
      </c>
      <c r="AB10" s="13" t="s">
        <v>488</v>
      </c>
      <c r="AC10" s="13" t="s">
        <v>506</v>
      </c>
      <c r="AD10" s="13" t="s">
        <v>508</v>
      </c>
      <c r="AE10" s="14" t="s">
        <v>508</v>
      </c>
    </row>
    <row r="11" spans="1:31" x14ac:dyDescent="0.1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ECA9-170D-834F-AFE6-B51DD39F0E99}">
  <dimension ref="A1:D51"/>
  <sheetViews>
    <sheetView rightToLeft="1" topLeftCell="A17" workbookViewId="0">
      <selection activeCell="A44" sqref="A44"/>
    </sheetView>
  </sheetViews>
  <sheetFormatPr baseColWidth="10" defaultRowHeight="14" x14ac:dyDescent="0.15"/>
  <cols>
    <col min="2" max="2" width="27.83203125" bestFit="1" customWidth="1"/>
    <col min="3" max="3" width="15.1640625" customWidth="1"/>
  </cols>
  <sheetData>
    <row r="1" spans="1:4" x14ac:dyDescent="0.15">
      <c r="A1" s="5" t="s">
        <v>321</v>
      </c>
      <c r="B1" s="5" t="s">
        <v>322</v>
      </c>
      <c r="C1" s="5" t="s">
        <v>323</v>
      </c>
      <c r="D1" s="5" t="s">
        <v>341</v>
      </c>
    </row>
    <row r="2" spans="1:4" x14ac:dyDescent="0.15">
      <c r="A2" t="s">
        <v>24</v>
      </c>
      <c r="B2" t="s">
        <v>324</v>
      </c>
      <c r="C2" t="s">
        <v>325</v>
      </c>
      <c r="D2" t="str" cm="1">
        <f t="array" ref="D2">INDEX(_xlfn.TEXTSPLIT(B2," "),1)</f>
        <v>1</v>
      </c>
    </row>
    <row r="3" spans="1:4" x14ac:dyDescent="0.15">
      <c r="A3" t="s">
        <v>25</v>
      </c>
      <c r="B3" t="s">
        <v>326</v>
      </c>
      <c r="C3" t="s">
        <v>325</v>
      </c>
      <c r="D3" t="str" cm="1">
        <f t="array" ref="D3">INDEX(_xlfn.TEXTSPLIT(B3," "),1)</f>
        <v>1</v>
      </c>
    </row>
    <row r="4" spans="1:4" x14ac:dyDescent="0.15">
      <c r="A4" t="s">
        <v>26</v>
      </c>
      <c r="B4" t="s">
        <v>326</v>
      </c>
      <c r="C4" t="s">
        <v>327</v>
      </c>
      <c r="D4" t="str" cm="1">
        <f t="array" ref="D4">INDEX(_xlfn.TEXTSPLIT(B4," "),1)</f>
        <v>1</v>
      </c>
    </row>
    <row r="5" spans="1:4" x14ac:dyDescent="0.15">
      <c r="A5" t="s">
        <v>27</v>
      </c>
      <c r="B5" t="s">
        <v>326</v>
      </c>
      <c r="C5" t="s">
        <v>327</v>
      </c>
      <c r="D5" t="str" cm="1">
        <f t="array" ref="D5">INDEX(_xlfn.TEXTSPLIT(B5," "),1)</f>
        <v>1</v>
      </c>
    </row>
    <row r="6" spans="1:4" x14ac:dyDescent="0.15">
      <c r="A6" t="s">
        <v>28</v>
      </c>
      <c r="B6" t="s">
        <v>326</v>
      </c>
      <c r="C6" t="s">
        <v>327</v>
      </c>
      <c r="D6" t="str" cm="1">
        <f t="array" ref="D6">INDEX(_xlfn.TEXTSPLIT(B6," "),1)</f>
        <v>1</v>
      </c>
    </row>
    <row r="7" spans="1:4" x14ac:dyDescent="0.15">
      <c r="A7" t="s">
        <v>29</v>
      </c>
      <c r="B7" t="s">
        <v>326</v>
      </c>
      <c r="C7" t="s">
        <v>327</v>
      </c>
      <c r="D7" t="str" cm="1">
        <f t="array" ref="D7">INDEX(_xlfn.TEXTSPLIT(B7," "),1)</f>
        <v>1</v>
      </c>
    </row>
    <row r="8" spans="1:4" x14ac:dyDescent="0.15">
      <c r="A8" t="s">
        <v>30</v>
      </c>
      <c r="B8" t="s">
        <v>328</v>
      </c>
      <c r="C8" t="s">
        <v>324</v>
      </c>
      <c r="D8" t="str" cm="1">
        <f t="array" ref="D8">INDEX(_xlfn.TEXTSPLIT(B8," "),1)</f>
        <v>1</v>
      </c>
    </row>
    <row r="9" spans="1:4" x14ac:dyDescent="0.15">
      <c r="A9" t="s">
        <v>31</v>
      </c>
      <c r="B9" t="s">
        <v>328</v>
      </c>
      <c r="C9" t="s">
        <v>324</v>
      </c>
      <c r="D9" t="str" cm="1">
        <f t="array" ref="D9">INDEX(_xlfn.TEXTSPLIT(B9," "),1)</f>
        <v>1</v>
      </c>
    </row>
    <row r="10" spans="1:4" x14ac:dyDescent="0.15">
      <c r="A10" t="s">
        <v>32</v>
      </c>
      <c r="B10" t="s">
        <v>328</v>
      </c>
      <c r="C10" t="s">
        <v>329</v>
      </c>
      <c r="D10" t="str" cm="1">
        <f t="array" ref="D10">INDEX(_xlfn.TEXTSPLIT(B10," "),1)</f>
        <v>1</v>
      </c>
    </row>
    <row r="11" spans="1:4" x14ac:dyDescent="0.15">
      <c r="A11" t="s">
        <v>33</v>
      </c>
      <c r="B11" t="s">
        <v>330</v>
      </c>
      <c r="C11" t="s">
        <v>329</v>
      </c>
      <c r="D11" t="str" cm="1">
        <f t="array" ref="D11">INDEX(_xlfn.TEXTSPLIT(B11," "),1)</f>
        <v>2</v>
      </c>
    </row>
    <row r="12" spans="1:4" x14ac:dyDescent="0.15">
      <c r="A12" t="s">
        <v>34</v>
      </c>
      <c r="B12" t="s">
        <v>328</v>
      </c>
      <c r="C12" t="s">
        <v>329</v>
      </c>
      <c r="D12" t="str" cm="1">
        <f t="array" ref="D12">INDEX(_xlfn.TEXTSPLIT(B12," "),1)</f>
        <v>1</v>
      </c>
    </row>
    <row r="13" spans="1:4" x14ac:dyDescent="0.15">
      <c r="A13" t="s">
        <v>35</v>
      </c>
      <c r="B13" t="s">
        <v>330</v>
      </c>
      <c r="C13" t="s">
        <v>329</v>
      </c>
      <c r="D13" t="str" cm="1">
        <f t="array" ref="D13">INDEX(_xlfn.TEXTSPLIT(B13," "),1)</f>
        <v>2</v>
      </c>
    </row>
    <row r="14" spans="1:4" x14ac:dyDescent="0.15">
      <c r="A14" t="s">
        <v>36</v>
      </c>
      <c r="B14" t="s">
        <v>330</v>
      </c>
      <c r="C14" t="s">
        <v>329</v>
      </c>
      <c r="D14" t="str" cm="1">
        <f t="array" ref="D14">INDEX(_xlfn.TEXTSPLIT(B14," "),1)</f>
        <v>2</v>
      </c>
    </row>
    <row r="15" spans="1:4" x14ac:dyDescent="0.15">
      <c r="A15" t="s">
        <v>37</v>
      </c>
      <c r="B15" t="s">
        <v>328</v>
      </c>
      <c r="C15" t="s">
        <v>329</v>
      </c>
      <c r="D15" t="str" cm="1">
        <f t="array" ref="D15">INDEX(_xlfn.TEXTSPLIT(B15," "),1)</f>
        <v>1</v>
      </c>
    </row>
    <row r="16" spans="1:4" x14ac:dyDescent="0.15">
      <c r="A16" t="s">
        <v>38</v>
      </c>
      <c r="B16" t="s">
        <v>330</v>
      </c>
      <c r="C16" t="s">
        <v>328</v>
      </c>
      <c r="D16" t="str" cm="1">
        <f t="array" ref="D16">INDEX(_xlfn.TEXTSPLIT(B16," "),1)</f>
        <v>2</v>
      </c>
    </row>
    <row r="17" spans="1:4" x14ac:dyDescent="0.15">
      <c r="A17" t="s">
        <v>39</v>
      </c>
      <c r="B17" t="s">
        <v>331</v>
      </c>
      <c r="C17" t="s">
        <v>328</v>
      </c>
      <c r="D17" t="str" cm="1">
        <f t="array" ref="D17">INDEX(_xlfn.TEXTSPLIT(B17," "),1)</f>
        <v>3</v>
      </c>
    </row>
    <row r="18" spans="1:4" x14ac:dyDescent="0.15">
      <c r="A18" t="s">
        <v>40</v>
      </c>
      <c r="B18" t="s">
        <v>331</v>
      </c>
      <c r="C18" t="s">
        <v>328</v>
      </c>
      <c r="D18" t="str" cm="1">
        <f t="array" ref="D18">INDEX(_xlfn.TEXTSPLIT(B18," "),1)</f>
        <v>3</v>
      </c>
    </row>
    <row r="19" spans="1:4" x14ac:dyDescent="0.15">
      <c r="A19" t="s">
        <v>41</v>
      </c>
      <c r="B19" t="s">
        <v>330</v>
      </c>
      <c r="C19" t="s">
        <v>328</v>
      </c>
      <c r="D19" t="str" cm="1">
        <f t="array" ref="D19">INDEX(_xlfn.TEXTSPLIT(B19," "),1)</f>
        <v>2</v>
      </c>
    </row>
    <row r="20" spans="1:4" x14ac:dyDescent="0.15">
      <c r="A20" t="s">
        <v>42</v>
      </c>
      <c r="B20" t="s">
        <v>331</v>
      </c>
      <c r="C20" t="s">
        <v>328</v>
      </c>
      <c r="D20" t="str" cm="1">
        <f t="array" ref="D20">INDEX(_xlfn.TEXTSPLIT(B20," "),1)</f>
        <v>3</v>
      </c>
    </row>
    <row r="21" spans="1:4" x14ac:dyDescent="0.15">
      <c r="A21" t="s">
        <v>43</v>
      </c>
      <c r="B21" t="s">
        <v>330</v>
      </c>
      <c r="C21" t="s">
        <v>328</v>
      </c>
      <c r="D21" t="str" cm="1">
        <f t="array" ref="D21">INDEX(_xlfn.TEXTSPLIT(B21," "),1)</f>
        <v>2</v>
      </c>
    </row>
    <row r="22" spans="1:4" x14ac:dyDescent="0.15">
      <c r="A22" t="s">
        <v>44</v>
      </c>
      <c r="B22" t="s">
        <v>331</v>
      </c>
      <c r="C22" t="s">
        <v>328</v>
      </c>
      <c r="D22" t="str" cm="1">
        <f t="array" ref="D22">INDEX(_xlfn.TEXTSPLIT(B22," "),1)</f>
        <v>3</v>
      </c>
    </row>
    <row r="23" spans="1:4" x14ac:dyDescent="0.15">
      <c r="A23" t="s">
        <v>45</v>
      </c>
      <c r="B23" t="s">
        <v>330</v>
      </c>
      <c r="C23" t="s">
        <v>328</v>
      </c>
      <c r="D23" t="str" cm="1">
        <f t="array" ref="D23">INDEX(_xlfn.TEXTSPLIT(B23," "),1)</f>
        <v>2</v>
      </c>
    </row>
    <row r="24" spans="1:4" x14ac:dyDescent="0.15">
      <c r="A24" t="s">
        <v>46</v>
      </c>
      <c r="B24" t="s">
        <v>331</v>
      </c>
      <c r="C24" t="s">
        <v>328</v>
      </c>
      <c r="D24" t="str" cm="1">
        <f t="array" ref="D24">INDEX(_xlfn.TEXTSPLIT(B24," "),1)</f>
        <v>3</v>
      </c>
    </row>
    <row r="25" spans="1:4" x14ac:dyDescent="0.15">
      <c r="A25" t="s">
        <v>47</v>
      </c>
      <c r="B25" t="s">
        <v>330</v>
      </c>
      <c r="C25" t="s">
        <v>328</v>
      </c>
      <c r="D25" t="str" cm="1">
        <f t="array" ref="D25">INDEX(_xlfn.TEXTSPLIT(B25," "),1)</f>
        <v>2</v>
      </c>
    </row>
    <row r="26" spans="1:4" x14ac:dyDescent="0.15">
      <c r="A26" t="s">
        <v>48</v>
      </c>
      <c r="B26" t="s">
        <v>331</v>
      </c>
      <c r="C26" t="s">
        <v>328</v>
      </c>
      <c r="D26" t="str" cm="1">
        <f t="array" ref="D26">INDEX(_xlfn.TEXTSPLIT(B26," "),1)</f>
        <v>3</v>
      </c>
    </row>
    <row r="27" spans="1:4" x14ac:dyDescent="0.15">
      <c r="A27" t="s">
        <v>49</v>
      </c>
      <c r="B27" t="s">
        <v>330</v>
      </c>
      <c r="C27" t="s">
        <v>328</v>
      </c>
      <c r="D27" t="str" cm="1">
        <f t="array" ref="D27">INDEX(_xlfn.TEXTSPLIT(B27," "),1)</f>
        <v>2</v>
      </c>
    </row>
    <row r="28" spans="1:4" x14ac:dyDescent="0.15">
      <c r="A28" t="s">
        <v>50</v>
      </c>
      <c r="B28" t="s">
        <v>331</v>
      </c>
      <c r="C28" t="s">
        <v>328</v>
      </c>
      <c r="D28" t="str" cm="1">
        <f t="array" ref="D28">INDEX(_xlfn.TEXTSPLIT(B28," "),1)</f>
        <v>3</v>
      </c>
    </row>
    <row r="29" spans="1:4" x14ac:dyDescent="0.15">
      <c r="A29" t="s">
        <v>357</v>
      </c>
      <c r="B29" t="s">
        <v>331</v>
      </c>
      <c r="C29" t="s">
        <v>328</v>
      </c>
      <c r="D29" t="str" cm="1">
        <f t="array" ref="D29">INDEX(_xlfn.TEXTSPLIT(B29," "),1)</f>
        <v>3</v>
      </c>
    </row>
    <row r="30" spans="1:4" x14ac:dyDescent="0.15">
      <c r="A30" t="s">
        <v>51</v>
      </c>
      <c r="B30" t="s">
        <v>330</v>
      </c>
      <c r="C30" t="s">
        <v>328</v>
      </c>
      <c r="D30" t="str" cm="1">
        <f t="array" ref="D30">INDEX(_xlfn.TEXTSPLIT(B30," "),1)</f>
        <v>2</v>
      </c>
    </row>
    <row r="31" spans="1:4" x14ac:dyDescent="0.15">
      <c r="A31" t="s">
        <v>52</v>
      </c>
      <c r="B31" t="s">
        <v>328</v>
      </c>
      <c r="C31" t="s">
        <v>328</v>
      </c>
      <c r="D31" t="str" cm="1">
        <f t="array" ref="D31">INDEX(_xlfn.TEXTSPLIT(B31," "),1)</f>
        <v>1</v>
      </c>
    </row>
    <row r="32" spans="1:4" x14ac:dyDescent="0.15">
      <c r="A32" t="s">
        <v>53</v>
      </c>
      <c r="B32" t="s">
        <v>328</v>
      </c>
      <c r="C32" t="s">
        <v>328</v>
      </c>
      <c r="D32" t="str" cm="1">
        <f t="array" ref="D32">INDEX(_xlfn.TEXTSPLIT(B32," "),1)</f>
        <v>1</v>
      </c>
    </row>
    <row r="33" spans="1:4" x14ac:dyDescent="0.15">
      <c r="A33" t="s">
        <v>54</v>
      </c>
      <c r="B33" t="s">
        <v>330</v>
      </c>
      <c r="C33" t="s">
        <v>328</v>
      </c>
      <c r="D33" t="str" cm="1">
        <f t="array" ref="D33">INDEX(_xlfn.TEXTSPLIT(B33," "),1)</f>
        <v>2</v>
      </c>
    </row>
    <row r="34" spans="1:4" x14ac:dyDescent="0.15">
      <c r="A34" t="s">
        <v>55</v>
      </c>
      <c r="B34">
        <v>0</v>
      </c>
      <c r="C34" t="s">
        <v>332</v>
      </c>
      <c r="D34" t="str" cm="1">
        <f t="array" ref="D34">INDEX(_xlfn.TEXTSPLIT(B34," "),1)</f>
        <v>0</v>
      </c>
    </row>
    <row r="35" spans="1:4" x14ac:dyDescent="0.15">
      <c r="A35" t="s">
        <v>56</v>
      </c>
      <c r="B35">
        <v>0</v>
      </c>
      <c r="C35" t="s">
        <v>332</v>
      </c>
      <c r="D35" t="str" cm="1">
        <f t="array" ref="D35">INDEX(_xlfn.TEXTSPLIT(B35," "),1)</f>
        <v>0</v>
      </c>
    </row>
    <row r="36" spans="1:4" x14ac:dyDescent="0.15">
      <c r="A36" t="s">
        <v>57</v>
      </c>
      <c r="B36">
        <v>0</v>
      </c>
      <c r="C36" t="s">
        <v>333</v>
      </c>
      <c r="D36" t="str" cm="1">
        <f t="array" ref="D36">INDEX(_xlfn.TEXTSPLIT(B36," "),1)</f>
        <v>0</v>
      </c>
    </row>
    <row r="37" spans="1:4" x14ac:dyDescent="0.15">
      <c r="A37" t="s">
        <v>58</v>
      </c>
      <c r="B37">
        <v>0</v>
      </c>
      <c r="C37" t="s">
        <v>333</v>
      </c>
      <c r="D37" t="str" cm="1">
        <f t="array" ref="D37">INDEX(_xlfn.TEXTSPLIT(B37," "),1)</f>
        <v>0</v>
      </c>
    </row>
    <row r="38" spans="1:4" x14ac:dyDescent="0.15">
      <c r="A38" t="s">
        <v>59</v>
      </c>
      <c r="B38">
        <v>0</v>
      </c>
      <c r="C38" t="s">
        <v>333</v>
      </c>
      <c r="D38" t="str" cm="1">
        <f t="array" ref="D38">INDEX(_xlfn.TEXTSPLIT(B38," "),1)</f>
        <v>0</v>
      </c>
    </row>
    <row r="39" spans="1:4" x14ac:dyDescent="0.15">
      <c r="A39" t="s">
        <v>276</v>
      </c>
      <c r="B39" t="s">
        <v>334</v>
      </c>
      <c r="C39" t="s">
        <v>335</v>
      </c>
      <c r="D39" t="str" cm="1">
        <f t="array" ref="D39">INDEX(_xlfn.TEXTSPLIT(B39," "),1)</f>
        <v>3</v>
      </c>
    </row>
    <row r="40" spans="1:4" x14ac:dyDescent="0.15">
      <c r="A40" t="s">
        <v>277</v>
      </c>
      <c r="B40" t="s">
        <v>336</v>
      </c>
      <c r="C40" t="s">
        <v>335</v>
      </c>
      <c r="D40" t="str" cm="1">
        <f t="array" ref="D40">INDEX(_xlfn.TEXTSPLIT(B40," "),1)</f>
        <v>3</v>
      </c>
    </row>
    <row r="41" spans="1:4" x14ac:dyDescent="0.15">
      <c r="A41" t="s">
        <v>278</v>
      </c>
      <c r="B41" t="s">
        <v>337</v>
      </c>
      <c r="C41" t="s">
        <v>338</v>
      </c>
      <c r="D41" t="str" cm="1">
        <f t="array" ref="D41">INDEX(_xlfn.TEXTSPLIT(B41," "),1)</f>
        <v>3</v>
      </c>
    </row>
    <row r="42" spans="1:4" x14ac:dyDescent="0.15">
      <c r="A42" t="s">
        <v>280</v>
      </c>
      <c r="B42" t="s">
        <v>339</v>
      </c>
      <c r="C42" t="s">
        <v>335</v>
      </c>
      <c r="D42" t="str" cm="1">
        <f t="array" ref="D42">INDEX(_xlfn.TEXTSPLIT(B42," "),1)</f>
        <v>2</v>
      </c>
    </row>
    <row r="43" spans="1:4" x14ac:dyDescent="0.15">
      <c r="A43" t="s">
        <v>279</v>
      </c>
      <c r="B43" t="s">
        <v>340</v>
      </c>
      <c r="C43" t="s">
        <v>335</v>
      </c>
      <c r="D43" t="str" cm="1">
        <f t="array" ref="D43">INDEX(_xlfn.TEXTSPLIT(B43," "),1)</f>
        <v>3</v>
      </c>
    </row>
    <row r="44" spans="1:4" x14ac:dyDescent="0.15">
      <c r="A44" t="s">
        <v>378</v>
      </c>
      <c r="B44" t="s">
        <v>465</v>
      </c>
      <c r="C44" t="s">
        <v>466</v>
      </c>
      <c r="D44">
        <v>3</v>
      </c>
    </row>
    <row r="45" spans="1:4" x14ac:dyDescent="0.15">
      <c r="A45" t="s">
        <v>389</v>
      </c>
      <c r="B45" t="s">
        <v>467</v>
      </c>
      <c r="C45" t="s">
        <v>468</v>
      </c>
      <c r="D45">
        <v>4</v>
      </c>
    </row>
    <row r="46" spans="1:4" x14ac:dyDescent="0.15">
      <c r="A46" t="s">
        <v>401</v>
      </c>
      <c r="B46" t="s">
        <v>469</v>
      </c>
      <c r="C46" t="s">
        <v>468</v>
      </c>
      <c r="D46">
        <v>3</v>
      </c>
    </row>
    <row r="47" spans="1:4" x14ac:dyDescent="0.15">
      <c r="A47" t="s">
        <v>417</v>
      </c>
      <c r="B47" t="s">
        <v>470</v>
      </c>
      <c r="C47" t="s">
        <v>468</v>
      </c>
      <c r="D47">
        <v>2</v>
      </c>
    </row>
    <row r="48" spans="1:4" x14ac:dyDescent="0.15">
      <c r="A48" t="s">
        <v>472</v>
      </c>
      <c r="B48" t="s">
        <v>471</v>
      </c>
      <c r="C48" t="s">
        <v>468</v>
      </c>
      <c r="D48">
        <v>4</v>
      </c>
    </row>
    <row r="49" spans="1:4" x14ac:dyDescent="0.15">
      <c r="A49" t="s">
        <v>473</v>
      </c>
      <c r="B49" t="s">
        <v>470</v>
      </c>
      <c r="C49" t="s">
        <v>468</v>
      </c>
      <c r="D49">
        <v>2</v>
      </c>
    </row>
    <row r="50" spans="1:4" x14ac:dyDescent="0.15">
      <c r="A50" t="s">
        <v>474</v>
      </c>
      <c r="B50" t="s">
        <v>468</v>
      </c>
      <c r="C50" t="s">
        <v>468</v>
      </c>
      <c r="D50">
        <v>1</v>
      </c>
    </row>
    <row r="51" spans="1:4" x14ac:dyDescent="0.15">
      <c r="A51" t="s">
        <v>475</v>
      </c>
      <c r="B51" t="s">
        <v>476</v>
      </c>
      <c r="C51" t="s">
        <v>468</v>
      </c>
      <c r="D51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F9E3-1370-BB42-A58F-2DA37B357B77}">
  <dimension ref="A1:AA6"/>
  <sheetViews>
    <sheetView rightToLeft="1" workbookViewId="0">
      <selection activeCell="D1" sqref="D1"/>
    </sheetView>
  </sheetViews>
  <sheetFormatPr baseColWidth="10" defaultRowHeight="14" x14ac:dyDescent="0.15"/>
  <cols>
    <col min="1" max="1" width="14.1640625" bestFit="1" customWidth="1"/>
    <col min="2" max="2" width="80.6640625" bestFit="1" customWidth="1"/>
    <col min="3" max="3" width="19.1640625" bestFit="1" customWidth="1"/>
    <col min="4" max="4" width="18.33203125" bestFit="1" customWidth="1"/>
    <col min="5" max="5" width="13" customWidth="1"/>
    <col min="6" max="6" width="14.83203125" bestFit="1" customWidth="1"/>
    <col min="7" max="7" width="20.6640625" bestFit="1" customWidth="1"/>
    <col min="8" max="8" width="27.33203125" bestFit="1" customWidth="1"/>
    <col min="9" max="9" width="10.33203125" bestFit="1" customWidth="1"/>
    <col min="10" max="10" width="21.33203125" customWidth="1"/>
    <col min="11" max="11" width="20" bestFit="1" customWidth="1"/>
    <col min="12" max="12" width="14.5" customWidth="1"/>
    <col min="13" max="13" width="12.6640625" bestFit="1" customWidth="1"/>
    <col min="14" max="14" width="13.5" customWidth="1"/>
    <col min="15" max="15" width="18.1640625" customWidth="1"/>
    <col min="16" max="16" width="11.6640625" customWidth="1"/>
    <col min="17" max="17" width="16.1640625" bestFit="1" customWidth="1"/>
    <col min="18" max="18" width="16.83203125" customWidth="1"/>
    <col min="19" max="19" width="19.83203125" bestFit="1" customWidth="1"/>
    <col min="20" max="20" width="18" bestFit="1" customWidth="1"/>
    <col min="21" max="21" width="23.6640625" bestFit="1" customWidth="1"/>
    <col min="22" max="22" width="18.5" bestFit="1" customWidth="1"/>
    <col min="23" max="23" width="19.5" bestFit="1" customWidth="1"/>
    <col min="24" max="24" width="16.1640625" customWidth="1"/>
    <col min="25" max="25" width="17.5" bestFit="1" customWidth="1"/>
    <col min="26" max="26" width="23.1640625" bestFit="1" customWidth="1"/>
    <col min="27" max="27" width="23.6640625" bestFit="1" customWidth="1"/>
  </cols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282</v>
      </c>
      <c r="N1" t="s">
        <v>283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23</v>
      </c>
      <c r="Y1" t="s">
        <v>284</v>
      </c>
      <c r="Z1" t="s">
        <v>21</v>
      </c>
      <c r="AA1" t="s">
        <v>22</v>
      </c>
    </row>
    <row r="2" spans="1:27" x14ac:dyDescent="0.15">
      <c r="A2" t="s">
        <v>276</v>
      </c>
      <c r="B2" t="s">
        <v>285</v>
      </c>
      <c r="C2">
        <v>10</v>
      </c>
      <c r="D2" t="s">
        <v>286</v>
      </c>
      <c r="E2">
        <v>7.4</v>
      </c>
      <c r="F2" s="7">
        <v>45689</v>
      </c>
      <c r="G2" t="s">
        <v>287</v>
      </c>
      <c r="H2" t="s">
        <v>288</v>
      </c>
      <c r="I2">
        <v>12</v>
      </c>
      <c r="J2" t="s">
        <v>148</v>
      </c>
      <c r="K2" t="s">
        <v>289</v>
      </c>
      <c r="L2">
        <v>4000</v>
      </c>
      <c r="M2">
        <v>70.5</v>
      </c>
      <c r="N2">
        <v>146.5</v>
      </c>
      <c r="O2" t="s">
        <v>290</v>
      </c>
      <c r="P2">
        <v>169</v>
      </c>
      <c r="Q2" t="s">
        <v>202</v>
      </c>
      <c r="R2" t="s">
        <v>207</v>
      </c>
      <c r="S2">
        <v>1</v>
      </c>
      <c r="T2" t="s">
        <v>291</v>
      </c>
      <c r="U2">
        <v>-999</v>
      </c>
      <c r="V2" t="s">
        <v>221</v>
      </c>
      <c r="W2">
        <v>25</v>
      </c>
      <c r="X2" t="s">
        <v>222</v>
      </c>
      <c r="Y2">
        <v>0</v>
      </c>
      <c r="Z2">
        <v>999</v>
      </c>
      <c r="AA2">
        <v>1299</v>
      </c>
    </row>
    <row r="3" spans="1:27" x14ac:dyDescent="0.15">
      <c r="A3" t="s">
        <v>277</v>
      </c>
      <c r="B3" t="s">
        <v>292</v>
      </c>
      <c r="C3">
        <v>10</v>
      </c>
      <c r="D3" t="s">
        <v>293</v>
      </c>
      <c r="E3">
        <v>8.3000000000000007</v>
      </c>
      <c r="F3" s="7">
        <v>44064</v>
      </c>
      <c r="G3" t="s">
        <v>294</v>
      </c>
      <c r="H3" t="s">
        <v>295</v>
      </c>
      <c r="I3">
        <v>8</v>
      </c>
      <c r="J3" t="s">
        <v>147</v>
      </c>
      <c r="K3" t="s">
        <v>296</v>
      </c>
      <c r="L3">
        <v>4300</v>
      </c>
      <c r="M3">
        <v>75.2</v>
      </c>
      <c r="N3">
        <v>161.6</v>
      </c>
      <c r="O3" t="s">
        <v>297</v>
      </c>
      <c r="P3">
        <v>192</v>
      </c>
      <c r="Q3" t="s">
        <v>202</v>
      </c>
      <c r="R3" t="s">
        <v>207</v>
      </c>
      <c r="S3">
        <v>0</v>
      </c>
      <c r="T3" t="s">
        <v>291</v>
      </c>
      <c r="U3">
        <v>-999</v>
      </c>
      <c r="V3" t="s">
        <v>221</v>
      </c>
      <c r="W3">
        <v>25</v>
      </c>
      <c r="X3" t="s">
        <v>222</v>
      </c>
      <c r="Y3">
        <v>0</v>
      </c>
      <c r="Z3">
        <v>949</v>
      </c>
      <c r="AA3">
        <v>1099</v>
      </c>
    </row>
    <row r="4" spans="1:27" x14ac:dyDescent="0.15">
      <c r="A4" t="s">
        <v>278</v>
      </c>
      <c r="B4" t="s">
        <v>298</v>
      </c>
      <c r="C4">
        <v>13</v>
      </c>
      <c r="D4" t="s">
        <v>299</v>
      </c>
      <c r="E4">
        <v>8.3000000000000007</v>
      </c>
      <c r="F4" s="7">
        <v>44927</v>
      </c>
      <c r="G4" t="s">
        <v>300</v>
      </c>
      <c r="H4" t="s">
        <v>301</v>
      </c>
      <c r="I4">
        <v>4</v>
      </c>
      <c r="J4" t="s">
        <v>302</v>
      </c>
      <c r="K4" t="s">
        <v>303</v>
      </c>
      <c r="L4">
        <v>5000</v>
      </c>
      <c r="M4">
        <v>77.2</v>
      </c>
      <c r="N4">
        <v>164.5</v>
      </c>
      <c r="O4" t="s">
        <v>304</v>
      </c>
      <c r="P4">
        <v>202</v>
      </c>
      <c r="Q4" t="s">
        <v>305</v>
      </c>
      <c r="R4">
        <v>-999</v>
      </c>
      <c r="S4">
        <v>0</v>
      </c>
      <c r="T4">
        <v>-999</v>
      </c>
      <c r="U4">
        <v>-999</v>
      </c>
      <c r="V4" t="s">
        <v>264</v>
      </c>
      <c r="W4">
        <v>15</v>
      </c>
      <c r="X4" t="s">
        <v>222</v>
      </c>
      <c r="Y4">
        <v>0</v>
      </c>
      <c r="Z4">
        <v>249</v>
      </c>
      <c r="AA4">
        <v>349</v>
      </c>
    </row>
    <row r="5" spans="1:27" x14ac:dyDescent="0.15">
      <c r="A5" t="s">
        <v>280</v>
      </c>
      <c r="B5" t="s">
        <v>306</v>
      </c>
      <c r="C5">
        <v>10</v>
      </c>
      <c r="D5" t="s">
        <v>307</v>
      </c>
      <c r="E5">
        <v>17.3</v>
      </c>
      <c r="F5" s="7">
        <v>45839</v>
      </c>
      <c r="G5" t="s">
        <v>308</v>
      </c>
      <c r="H5" t="s">
        <v>309</v>
      </c>
      <c r="I5">
        <v>12</v>
      </c>
      <c r="J5" t="s">
        <v>149</v>
      </c>
      <c r="K5" t="s">
        <v>310</v>
      </c>
      <c r="L5">
        <v>4300</v>
      </c>
      <c r="M5">
        <v>71.900000000000006</v>
      </c>
      <c r="N5">
        <v>85.4</v>
      </c>
      <c r="O5" t="s">
        <v>311</v>
      </c>
      <c r="P5">
        <v>187</v>
      </c>
      <c r="Q5" t="s">
        <v>312</v>
      </c>
      <c r="R5" t="s">
        <v>207</v>
      </c>
      <c r="S5">
        <v>1</v>
      </c>
      <c r="T5">
        <v>-999</v>
      </c>
      <c r="U5">
        <v>-999</v>
      </c>
      <c r="V5" t="s">
        <v>313</v>
      </c>
      <c r="W5">
        <v>25</v>
      </c>
      <c r="X5" t="s">
        <v>222</v>
      </c>
      <c r="Y5">
        <v>0</v>
      </c>
      <c r="Z5">
        <v>1099</v>
      </c>
      <c r="AA5">
        <v>1299</v>
      </c>
    </row>
    <row r="6" spans="1:27" x14ac:dyDescent="0.15">
      <c r="A6" t="s">
        <v>279</v>
      </c>
      <c r="B6" t="s">
        <v>314</v>
      </c>
      <c r="C6">
        <v>10</v>
      </c>
      <c r="D6" t="s">
        <v>315</v>
      </c>
      <c r="E6">
        <v>6.3</v>
      </c>
      <c r="F6" s="7">
        <v>45839</v>
      </c>
      <c r="G6" t="s">
        <v>316</v>
      </c>
      <c r="H6" t="s">
        <v>288</v>
      </c>
      <c r="I6">
        <v>12</v>
      </c>
      <c r="J6" t="s">
        <v>150</v>
      </c>
      <c r="K6" t="s">
        <v>317</v>
      </c>
      <c r="L6">
        <v>4400</v>
      </c>
      <c r="M6">
        <v>128.1</v>
      </c>
      <c r="N6">
        <v>158.4</v>
      </c>
      <c r="O6" t="s">
        <v>318</v>
      </c>
      <c r="P6">
        <v>270</v>
      </c>
      <c r="Q6" t="s">
        <v>312</v>
      </c>
      <c r="R6" t="s">
        <v>207</v>
      </c>
      <c r="S6">
        <v>1</v>
      </c>
      <c r="T6">
        <v>-999</v>
      </c>
      <c r="U6">
        <v>-999</v>
      </c>
      <c r="V6" t="s">
        <v>319</v>
      </c>
      <c r="W6">
        <v>25</v>
      </c>
      <c r="X6" t="s">
        <v>222</v>
      </c>
      <c r="Y6">
        <v>0</v>
      </c>
      <c r="Z6">
        <v>1299</v>
      </c>
      <c r="AA6">
        <v>1499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6712-423B-D34B-A6EF-6C01B6685684}">
  <dimension ref="A1:C43"/>
  <sheetViews>
    <sheetView rightToLeft="1" topLeftCell="A5" workbookViewId="0">
      <selection activeCell="C44" sqref="C44"/>
    </sheetView>
  </sheetViews>
  <sheetFormatPr baseColWidth="10" defaultRowHeight="14" x14ac:dyDescent="0.15"/>
  <cols>
    <col min="2" max="2" width="17.33203125" customWidth="1"/>
  </cols>
  <sheetData>
    <row r="1" spans="1:3" x14ac:dyDescent="0.15">
      <c r="A1" s="5" t="s">
        <v>247</v>
      </c>
      <c r="B1" s="5" t="s">
        <v>268</v>
      </c>
      <c r="C1" s="5" t="s">
        <v>269</v>
      </c>
    </row>
    <row r="2" spans="1:3" x14ac:dyDescent="0.15">
      <c r="A2" t="s">
        <v>24</v>
      </c>
      <c r="B2" t="s">
        <v>270</v>
      </c>
      <c r="C2" t="s">
        <v>271</v>
      </c>
    </row>
    <row r="3" spans="1:3" x14ac:dyDescent="0.15">
      <c r="A3" t="s">
        <v>25</v>
      </c>
      <c r="B3" t="s">
        <v>270</v>
      </c>
      <c r="C3" t="s">
        <v>271</v>
      </c>
    </row>
    <row r="4" spans="1:3" x14ac:dyDescent="0.15">
      <c r="A4" t="s">
        <v>26</v>
      </c>
      <c r="B4" t="s">
        <v>270</v>
      </c>
      <c r="C4" t="s">
        <v>271</v>
      </c>
    </row>
    <row r="5" spans="1:3" x14ac:dyDescent="0.15">
      <c r="A5" t="s">
        <v>27</v>
      </c>
      <c r="B5" t="s">
        <v>270</v>
      </c>
      <c r="C5" t="s">
        <v>271</v>
      </c>
    </row>
    <row r="6" spans="1:3" x14ac:dyDescent="0.15">
      <c r="A6" t="s">
        <v>28</v>
      </c>
      <c r="B6" t="s">
        <v>270</v>
      </c>
      <c r="C6" t="s">
        <v>271</v>
      </c>
    </row>
    <row r="7" spans="1:3" x14ac:dyDescent="0.15">
      <c r="A7" t="s">
        <v>29</v>
      </c>
      <c r="B7" t="s">
        <v>270</v>
      </c>
      <c r="C7" t="s">
        <v>271</v>
      </c>
    </row>
    <row r="8" spans="1:3" x14ac:dyDescent="0.15">
      <c r="A8" t="s">
        <v>30</v>
      </c>
      <c r="B8" t="s">
        <v>272</v>
      </c>
      <c r="C8" t="s">
        <v>273</v>
      </c>
    </row>
    <row r="9" spans="1:3" x14ac:dyDescent="0.15">
      <c r="A9" t="s">
        <v>31</v>
      </c>
      <c r="B9" t="s">
        <v>272</v>
      </c>
      <c r="C9" t="s">
        <v>273</v>
      </c>
    </row>
    <row r="10" spans="1:3" x14ac:dyDescent="0.15">
      <c r="A10" t="s">
        <v>32</v>
      </c>
      <c r="B10" t="s">
        <v>272</v>
      </c>
      <c r="C10" t="s">
        <v>274</v>
      </c>
    </row>
    <row r="11" spans="1:3" x14ac:dyDescent="0.15">
      <c r="A11" t="s">
        <v>33</v>
      </c>
      <c r="B11" t="s">
        <v>272</v>
      </c>
      <c r="C11" t="s">
        <v>274</v>
      </c>
    </row>
    <row r="12" spans="1:3" x14ac:dyDescent="0.15">
      <c r="A12" t="s">
        <v>34</v>
      </c>
      <c r="B12" t="s">
        <v>272</v>
      </c>
      <c r="C12" t="s">
        <v>274</v>
      </c>
    </row>
    <row r="13" spans="1:3" x14ac:dyDescent="0.15">
      <c r="A13" t="s">
        <v>35</v>
      </c>
      <c r="B13" t="s">
        <v>272</v>
      </c>
      <c r="C13" t="s">
        <v>274</v>
      </c>
    </row>
    <row r="14" spans="1:3" x14ac:dyDescent="0.15">
      <c r="A14" t="s">
        <v>36</v>
      </c>
      <c r="B14" t="s">
        <v>272</v>
      </c>
      <c r="C14" t="s">
        <v>274</v>
      </c>
    </row>
    <row r="15" spans="1:3" x14ac:dyDescent="0.15">
      <c r="A15" t="s">
        <v>37</v>
      </c>
      <c r="B15" t="s">
        <v>272</v>
      </c>
      <c r="C15" t="s">
        <v>274</v>
      </c>
    </row>
    <row r="16" spans="1:3" x14ac:dyDescent="0.15">
      <c r="A16" t="s">
        <v>38</v>
      </c>
      <c r="B16" t="s">
        <v>272</v>
      </c>
      <c r="C16" t="s">
        <v>274</v>
      </c>
    </row>
    <row r="17" spans="1:3" x14ac:dyDescent="0.15">
      <c r="A17" t="s">
        <v>39</v>
      </c>
      <c r="B17" t="s">
        <v>272</v>
      </c>
      <c r="C17" t="s">
        <v>274</v>
      </c>
    </row>
    <row r="18" spans="1:3" x14ac:dyDescent="0.15">
      <c r="A18" t="s">
        <v>40</v>
      </c>
      <c r="B18" t="s">
        <v>272</v>
      </c>
      <c r="C18" t="s">
        <v>274</v>
      </c>
    </row>
    <row r="19" spans="1:3" x14ac:dyDescent="0.15">
      <c r="A19" t="s">
        <v>41</v>
      </c>
      <c r="B19" t="s">
        <v>272</v>
      </c>
      <c r="C19" t="s">
        <v>274</v>
      </c>
    </row>
    <row r="20" spans="1:3" x14ac:dyDescent="0.15">
      <c r="A20" t="s">
        <v>42</v>
      </c>
      <c r="B20" t="s">
        <v>272</v>
      </c>
      <c r="C20" t="s">
        <v>274</v>
      </c>
    </row>
    <row r="21" spans="1:3" x14ac:dyDescent="0.15">
      <c r="A21" t="s">
        <v>43</v>
      </c>
      <c r="B21" t="s">
        <v>272</v>
      </c>
      <c r="C21" t="s">
        <v>274</v>
      </c>
    </row>
    <row r="22" spans="1:3" x14ac:dyDescent="0.15">
      <c r="A22" t="s">
        <v>44</v>
      </c>
      <c r="B22" t="s">
        <v>272</v>
      </c>
      <c r="C22" t="s">
        <v>274</v>
      </c>
    </row>
    <row r="23" spans="1:3" x14ac:dyDescent="0.15">
      <c r="A23" t="s">
        <v>45</v>
      </c>
      <c r="B23" t="s">
        <v>272</v>
      </c>
      <c r="C23" t="s">
        <v>274</v>
      </c>
    </row>
    <row r="24" spans="1:3" x14ac:dyDescent="0.15">
      <c r="A24" t="s">
        <v>46</v>
      </c>
      <c r="B24" t="s">
        <v>272</v>
      </c>
      <c r="C24" t="s">
        <v>274</v>
      </c>
    </row>
    <row r="25" spans="1:3" x14ac:dyDescent="0.15">
      <c r="A25" t="s">
        <v>47</v>
      </c>
      <c r="B25" t="s">
        <v>272</v>
      </c>
      <c r="C25" t="s">
        <v>274</v>
      </c>
    </row>
    <row r="26" spans="1:3" x14ac:dyDescent="0.15">
      <c r="A26" t="s">
        <v>48</v>
      </c>
      <c r="B26" t="s">
        <v>272</v>
      </c>
      <c r="C26" t="s">
        <v>274</v>
      </c>
    </row>
    <row r="27" spans="1:3" x14ac:dyDescent="0.15">
      <c r="A27" t="s">
        <v>49</v>
      </c>
      <c r="B27" t="s">
        <v>272</v>
      </c>
      <c r="C27" t="s">
        <v>274</v>
      </c>
    </row>
    <row r="28" spans="1:3" x14ac:dyDescent="0.15">
      <c r="A28" t="s">
        <v>50</v>
      </c>
      <c r="B28" t="s">
        <v>272</v>
      </c>
      <c r="C28" t="s">
        <v>274</v>
      </c>
    </row>
    <row r="29" spans="1:3" x14ac:dyDescent="0.15">
      <c r="A29" t="s">
        <v>357</v>
      </c>
      <c r="B29" t="s">
        <v>272</v>
      </c>
      <c r="C29" t="s">
        <v>274</v>
      </c>
    </row>
    <row r="30" spans="1:3" x14ac:dyDescent="0.15">
      <c r="A30" t="s">
        <v>51</v>
      </c>
      <c r="B30" t="s">
        <v>272</v>
      </c>
      <c r="C30" t="s">
        <v>274</v>
      </c>
    </row>
    <row r="31" spans="1:3" x14ac:dyDescent="0.15">
      <c r="A31" t="s">
        <v>52</v>
      </c>
      <c r="B31" t="s">
        <v>272</v>
      </c>
      <c r="C31" t="s">
        <v>274</v>
      </c>
    </row>
    <row r="32" spans="1:3" x14ac:dyDescent="0.15">
      <c r="A32" t="s">
        <v>53</v>
      </c>
      <c r="B32" t="s">
        <v>272</v>
      </c>
      <c r="C32" t="s">
        <v>274</v>
      </c>
    </row>
    <row r="33" spans="1:3" x14ac:dyDescent="0.15">
      <c r="A33" t="s">
        <v>54</v>
      </c>
      <c r="B33" t="s">
        <v>272</v>
      </c>
      <c r="C33" t="s">
        <v>274</v>
      </c>
    </row>
    <row r="34" spans="1:3" x14ac:dyDescent="0.15">
      <c r="A34" t="s">
        <v>55</v>
      </c>
      <c r="B34" t="s">
        <v>272</v>
      </c>
      <c r="C34" t="s">
        <v>275</v>
      </c>
    </row>
    <row r="35" spans="1:3" x14ac:dyDescent="0.15">
      <c r="A35" t="s">
        <v>56</v>
      </c>
      <c r="B35" t="s">
        <v>272</v>
      </c>
      <c r="C35" t="s">
        <v>275</v>
      </c>
    </row>
    <row r="36" spans="1:3" x14ac:dyDescent="0.15">
      <c r="A36" t="s">
        <v>57</v>
      </c>
      <c r="B36" t="s">
        <v>272</v>
      </c>
      <c r="C36" t="s">
        <v>275</v>
      </c>
    </row>
    <row r="37" spans="1:3" x14ac:dyDescent="0.15">
      <c r="A37" t="s">
        <v>58</v>
      </c>
      <c r="B37" t="s">
        <v>272</v>
      </c>
      <c r="C37" t="s">
        <v>275</v>
      </c>
    </row>
    <row r="38" spans="1:3" x14ac:dyDescent="0.15">
      <c r="A38" t="s">
        <v>59</v>
      </c>
      <c r="B38" t="s">
        <v>272</v>
      </c>
      <c r="C38" t="s">
        <v>275</v>
      </c>
    </row>
    <row r="39" spans="1:3" x14ac:dyDescent="0.15">
      <c r="A39" t="s">
        <v>276</v>
      </c>
      <c r="C39">
        <v>0</v>
      </c>
    </row>
    <row r="40" spans="1:3" x14ac:dyDescent="0.15">
      <c r="A40" t="s">
        <v>277</v>
      </c>
      <c r="C40">
        <v>0</v>
      </c>
    </row>
    <row r="41" spans="1:3" x14ac:dyDescent="0.15">
      <c r="A41" t="s">
        <v>278</v>
      </c>
      <c r="C41">
        <v>0</v>
      </c>
    </row>
    <row r="42" spans="1:3" x14ac:dyDescent="0.15">
      <c r="A42" t="s">
        <v>280</v>
      </c>
      <c r="C42">
        <v>0</v>
      </c>
    </row>
    <row r="43" spans="1:3" x14ac:dyDescent="0.15">
      <c r="A43" t="s">
        <v>279</v>
      </c>
      <c r="C43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3B32-0911-6F47-ACFC-844185E886E3}">
  <dimension ref="A1:B42"/>
  <sheetViews>
    <sheetView rightToLeft="1" workbookViewId="0">
      <selection activeCell="A12" sqref="A12"/>
    </sheetView>
  </sheetViews>
  <sheetFormatPr baseColWidth="10" defaultRowHeight="14" x14ac:dyDescent="0.15"/>
  <cols>
    <col min="1" max="1" width="30.1640625" bestFit="1" customWidth="1"/>
    <col min="2" max="2" width="22.5" bestFit="1" customWidth="1"/>
  </cols>
  <sheetData>
    <row r="1" spans="1:2" x14ac:dyDescent="0.15">
      <c r="A1" s="5" t="s">
        <v>247</v>
      </c>
      <c r="B1" s="5" t="s">
        <v>258</v>
      </c>
    </row>
    <row r="2" spans="1:2" x14ac:dyDescent="0.15">
      <c r="A2" t="s">
        <v>24</v>
      </c>
      <c r="B2">
        <v>137</v>
      </c>
    </row>
    <row r="3" spans="1:2" x14ac:dyDescent="0.15">
      <c r="A3" t="s">
        <v>25</v>
      </c>
      <c r="B3">
        <v>140</v>
      </c>
    </row>
    <row r="4" spans="1:2" x14ac:dyDescent="0.15">
      <c r="A4" t="s">
        <v>26</v>
      </c>
      <c r="B4">
        <v>112</v>
      </c>
    </row>
    <row r="5" spans="1:2" x14ac:dyDescent="0.15">
      <c r="A5" t="s">
        <v>27</v>
      </c>
      <c r="B5">
        <v>112</v>
      </c>
    </row>
    <row r="6" spans="1:2" x14ac:dyDescent="0.15">
      <c r="A6" t="s">
        <v>28</v>
      </c>
      <c r="B6">
        <v>129</v>
      </c>
    </row>
    <row r="7" spans="1:2" x14ac:dyDescent="0.15">
      <c r="A7" t="s">
        <v>29</v>
      </c>
      <c r="B7">
        <v>172</v>
      </c>
    </row>
    <row r="8" spans="1:2" x14ac:dyDescent="0.15">
      <c r="A8" t="s">
        <v>30</v>
      </c>
      <c r="B8">
        <v>143</v>
      </c>
    </row>
    <row r="9" spans="1:2" x14ac:dyDescent="0.15">
      <c r="A9" t="s">
        <v>31</v>
      </c>
      <c r="B9">
        <v>192</v>
      </c>
    </row>
    <row r="10" spans="1:2" x14ac:dyDescent="0.15">
      <c r="A10" t="s">
        <v>32</v>
      </c>
      <c r="B10">
        <v>138</v>
      </c>
    </row>
    <row r="11" spans="1:2" x14ac:dyDescent="0.15">
      <c r="A11" t="s">
        <v>33</v>
      </c>
      <c r="B11">
        <v>188</v>
      </c>
    </row>
    <row r="12" spans="1:2" x14ac:dyDescent="0.15">
      <c r="A12" t="s">
        <v>34</v>
      </c>
      <c r="B12">
        <v>148</v>
      </c>
    </row>
    <row r="13" spans="1:2" x14ac:dyDescent="0.15">
      <c r="A13" t="s">
        <v>35</v>
      </c>
      <c r="B13">
        <v>202</v>
      </c>
    </row>
    <row r="14" spans="1:2" x14ac:dyDescent="0.15">
      <c r="A14" t="s">
        <v>36</v>
      </c>
      <c r="B14">
        <v>174</v>
      </c>
    </row>
    <row r="15" spans="1:2" x14ac:dyDescent="0.15">
      <c r="A15" t="s">
        <v>37</v>
      </c>
      <c r="B15">
        <v>194</v>
      </c>
    </row>
    <row r="16" spans="1:2" x14ac:dyDescent="0.15">
      <c r="A16" t="s">
        <v>38</v>
      </c>
      <c r="B16">
        <v>194</v>
      </c>
    </row>
    <row r="17" spans="1:2" x14ac:dyDescent="0.15">
      <c r="A17" t="s">
        <v>39</v>
      </c>
      <c r="B17">
        <v>188</v>
      </c>
    </row>
    <row r="18" spans="1:2" x14ac:dyDescent="0.15">
      <c r="A18" t="s">
        <v>40</v>
      </c>
      <c r="B18">
        <v>226</v>
      </c>
    </row>
    <row r="19" spans="1:2" x14ac:dyDescent="0.15">
      <c r="A19" t="s">
        <v>41</v>
      </c>
      <c r="B19">
        <v>164</v>
      </c>
    </row>
    <row r="20" spans="1:2" x14ac:dyDescent="0.15">
      <c r="A20" t="s">
        <v>42</v>
      </c>
      <c r="B20">
        <v>189</v>
      </c>
    </row>
    <row r="21" spans="1:2" x14ac:dyDescent="0.15">
      <c r="A21" t="s">
        <v>43</v>
      </c>
      <c r="B21">
        <v>173</v>
      </c>
    </row>
    <row r="22" spans="1:2" x14ac:dyDescent="0.15">
      <c r="A22" t="s">
        <v>44</v>
      </c>
      <c r="B22">
        <v>203</v>
      </c>
    </row>
    <row r="23" spans="1:2" x14ac:dyDescent="0.15">
      <c r="A23" t="s">
        <v>45</v>
      </c>
      <c r="B23">
        <v>172</v>
      </c>
    </row>
    <row r="24" spans="1:2" x14ac:dyDescent="0.15">
      <c r="A24" t="s">
        <v>46</v>
      </c>
      <c r="B24">
        <v>206</v>
      </c>
    </row>
    <row r="25" spans="1:2" x14ac:dyDescent="0.15">
      <c r="A25" t="s">
        <v>47</v>
      </c>
      <c r="B25">
        <v>171</v>
      </c>
    </row>
    <row r="26" spans="1:2" x14ac:dyDescent="0.15">
      <c r="A26" t="s">
        <v>48</v>
      </c>
      <c r="B26">
        <v>187</v>
      </c>
    </row>
    <row r="27" spans="1:2" x14ac:dyDescent="0.15">
      <c r="A27" t="s">
        <v>49</v>
      </c>
      <c r="B27">
        <v>201</v>
      </c>
    </row>
    <row r="28" spans="1:2" x14ac:dyDescent="0.15">
      <c r="A28" t="s">
        <v>50</v>
      </c>
      <c r="B28">
        <v>212</v>
      </c>
    </row>
    <row r="29" spans="1:2" x14ac:dyDescent="0.15">
      <c r="A29" t="s">
        <v>357</v>
      </c>
      <c r="B29">
        <v>229</v>
      </c>
    </row>
    <row r="30" spans="1:2" x14ac:dyDescent="0.15">
      <c r="A30" t="s">
        <v>51</v>
      </c>
      <c r="B30">
        <v>221</v>
      </c>
    </row>
    <row r="31" spans="1:2" x14ac:dyDescent="0.15">
      <c r="A31" t="s">
        <v>52</v>
      </c>
      <c r="B31">
        <v>490</v>
      </c>
    </row>
    <row r="32" spans="1:2" x14ac:dyDescent="0.15">
      <c r="A32" t="s">
        <v>259</v>
      </c>
      <c r="B32">
        <v>478</v>
      </c>
    </row>
    <row r="33" spans="1:2" x14ac:dyDescent="0.15">
      <c r="A33" t="s">
        <v>260</v>
      </c>
      <c r="B33">
        <v>685</v>
      </c>
    </row>
    <row r="34" spans="1:2" x14ac:dyDescent="0.15">
      <c r="A34" t="s">
        <v>261</v>
      </c>
      <c r="B34">
        <v>868</v>
      </c>
    </row>
    <row r="35" spans="1:2" x14ac:dyDescent="0.15">
      <c r="A35" t="s">
        <v>262</v>
      </c>
      <c r="B35">
        <v>683</v>
      </c>
    </row>
    <row r="36" spans="1:2" x14ac:dyDescent="0.15">
      <c r="A36" t="s">
        <v>55</v>
      </c>
      <c r="B36" s="6">
        <v>1240</v>
      </c>
    </row>
    <row r="37" spans="1:2" x14ac:dyDescent="0.15">
      <c r="A37" t="s">
        <v>56</v>
      </c>
      <c r="B37" s="6">
        <v>1400</v>
      </c>
    </row>
    <row r="38" spans="1:2" x14ac:dyDescent="0.15">
      <c r="A38" t="s">
        <v>57</v>
      </c>
      <c r="B38" s="6">
        <v>1600</v>
      </c>
    </row>
    <row r="39" spans="1:2" x14ac:dyDescent="0.15">
      <c r="A39" t="s">
        <v>58</v>
      </c>
      <c r="B39" s="6">
        <v>2200</v>
      </c>
    </row>
    <row r="40" spans="1:2" x14ac:dyDescent="0.15">
      <c r="A40" t="s">
        <v>59</v>
      </c>
      <c r="B40" s="6">
        <v>1900</v>
      </c>
    </row>
    <row r="41" spans="1:2" x14ac:dyDescent="0.15">
      <c r="A41" t="s">
        <v>53</v>
      </c>
      <c r="B41" s="6">
        <v>586</v>
      </c>
    </row>
    <row r="42" spans="1:2" x14ac:dyDescent="0.15">
      <c r="A42" t="s">
        <v>54</v>
      </c>
      <c r="B42" s="6">
        <v>720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A6CB-67FA-534C-AF00-B88DA7C3C46E}">
  <dimension ref="A1:C43"/>
  <sheetViews>
    <sheetView rightToLeft="1" topLeftCell="A4" workbookViewId="0">
      <selection activeCell="C39" sqref="C39"/>
    </sheetView>
  </sheetViews>
  <sheetFormatPr baseColWidth="10" defaultRowHeight="14" x14ac:dyDescent="0.15"/>
  <cols>
    <col min="1" max="1" width="30.1640625" bestFit="1" customWidth="1"/>
    <col min="2" max="2" width="16.5" customWidth="1"/>
    <col min="3" max="3" width="16.33203125" customWidth="1"/>
  </cols>
  <sheetData>
    <row r="1" spans="1:3" x14ac:dyDescent="0.15">
      <c r="A1" s="5" t="s">
        <v>247</v>
      </c>
      <c r="B1" s="5" t="s">
        <v>248</v>
      </c>
      <c r="C1" s="5" t="s">
        <v>249</v>
      </c>
    </row>
    <row r="2" spans="1:3" x14ac:dyDescent="0.15">
      <c r="A2" t="s">
        <v>24</v>
      </c>
      <c r="B2" t="s">
        <v>250</v>
      </c>
      <c r="C2" t="s">
        <v>251</v>
      </c>
    </row>
    <row r="3" spans="1:3" x14ac:dyDescent="0.15">
      <c r="A3" t="s">
        <v>25</v>
      </c>
      <c r="B3" t="s">
        <v>250</v>
      </c>
      <c r="C3" t="s">
        <v>251</v>
      </c>
    </row>
    <row r="4" spans="1:3" x14ac:dyDescent="0.15">
      <c r="A4" t="s">
        <v>26</v>
      </c>
      <c r="B4" t="s">
        <v>252</v>
      </c>
      <c r="C4" t="s">
        <v>253</v>
      </c>
    </row>
    <row r="5" spans="1:3" x14ac:dyDescent="0.15">
      <c r="A5" t="s">
        <v>27</v>
      </c>
      <c r="B5" t="s">
        <v>252</v>
      </c>
      <c r="C5" t="s">
        <v>253</v>
      </c>
    </row>
    <row r="6" spans="1:3" x14ac:dyDescent="0.15">
      <c r="A6" t="s">
        <v>28</v>
      </c>
      <c r="B6" t="s">
        <v>252</v>
      </c>
      <c r="C6" t="s">
        <v>253</v>
      </c>
    </row>
    <row r="7" spans="1:3" x14ac:dyDescent="0.15">
      <c r="A7" t="s">
        <v>29</v>
      </c>
      <c r="B7" t="s">
        <v>252</v>
      </c>
      <c r="C7" t="s">
        <v>253</v>
      </c>
    </row>
    <row r="8" spans="1:3" x14ac:dyDescent="0.15">
      <c r="A8" t="s">
        <v>30</v>
      </c>
      <c r="B8" t="s">
        <v>252</v>
      </c>
      <c r="C8" t="s">
        <v>253</v>
      </c>
    </row>
    <row r="9" spans="1:3" x14ac:dyDescent="0.15">
      <c r="A9" t="s">
        <v>31</v>
      </c>
      <c r="B9" t="s">
        <v>252</v>
      </c>
      <c r="C9" t="s">
        <v>253</v>
      </c>
    </row>
    <row r="10" spans="1:3" x14ac:dyDescent="0.15">
      <c r="A10" t="s">
        <v>32</v>
      </c>
      <c r="B10" t="s">
        <v>252</v>
      </c>
      <c r="C10" t="s">
        <v>253</v>
      </c>
    </row>
    <row r="11" spans="1:3" x14ac:dyDescent="0.15">
      <c r="A11" t="s">
        <v>33</v>
      </c>
      <c r="B11" t="s">
        <v>252</v>
      </c>
      <c r="C11" t="s">
        <v>253</v>
      </c>
    </row>
    <row r="12" spans="1:3" x14ac:dyDescent="0.15">
      <c r="A12" t="s">
        <v>34</v>
      </c>
      <c r="B12" t="s">
        <v>252</v>
      </c>
      <c r="C12" t="s">
        <v>253</v>
      </c>
    </row>
    <row r="13" spans="1:3" x14ac:dyDescent="0.15">
      <c r="A13" t="s">
        <v>35</v>
      </c>
      <c r="B13" t="s">
        <v>252</v>
      </c>
      <c r="C13" t="s">
        <v>253</v>
      </c>
    </row>
    <row r="14" spans="1:3" x14ac:dyDescent="0.15">
      <c r="A14" t="s">
        <v>36</v>
      </c>
      <c r="B14" t="s">
        <v>252</v>
      </c>
      <c r="C14" t="s">
        <v>254</v>
      </c>
    </row>
    <row r="15" spans="1:3" x14ac:dyDescent="0.15">
      <c r="A15" t="s">
        <v>37</v>
      </c>
      <c r="B15" t="s">
        <v>252</v>
      </c>
      <c r="C15" t="s">
        <v>254</v>
      </c>
    </row>
    <row r="16" spans="1:3" x14ac:dyDescent="0.15">
      <c r="A16" t="s">
        <v>38</v>
      </c>
      <c r="B16" t="s">
        <v>252</v>
      </c>
      <c r="C16" t="s">
        <v>254</v>
      </c>
    </row>
    <row r="17" spans="1:3" x14ac:dyDescent="0.15">
      <c r="A17" t="s">
        <v>39</v>
      </c>
      <c r="B17" t="s">
        <v>252</v>
      </c>
      <c r="C17" t="s">
        <v>254</v>
      </c>
    </row>
    <row r="18" spans="1:3" x14ac:dyDescent="0.15">
      <c r="A18" t="s">
        <v>40</v>
      </c>
      <c r="B18" t="s">
        <v>252</v>
      </c>
      <c r="C18" t="s">
        <v>254</v>
      </c>
    </row>
    <row r="19" spans="1:3" x14ac:dyDescent="0.15">
      <c r="A19" t="s">
        <v>41</v>
      </c>
      <c r="B19" t="s">
        <v>252</v>
      </c>
      <c r="C19" t="s">
        <v>254</v>
      </c>
    </row>
    <row r="20" spans="1:3" x14ac:dyDescent="0.15">
      <c r="A20" t="s">
        <v>42</v>
      </c>
      <c r="B20" t="s">
        <v>252</v>
      </c>
      <c r="C20" t="s">
        <v>254</v>
      </c>
    </row>
    <row r="21" spans="1:3" x14ac:dyDescent="0.15">
      <c r="A21" t="s">
        <v>43</v>
      </c>
      <c r="B21" t="s">
        <v>252</v>
      </c>
      <c r="C21" t="s">
        <v>254</v>
      </c>
    </row>
    <row r="22" spans="1:3" x14ac:dyDescent="0.15">
      <c r="A22" t="s">
        <v>44</v>
      </c>
      <c r="B22" t="s">
        <v>252</v>
      </c>
      <c r="C22" t="s">
        <v>254</v>
      </c>
    </row>
    <row r="23" spans="1:3" x14ac:dyDescent="0.15">
      <c r="A23" t="s">
        <v>45</v>
      </c>
      <c r="B23" t="s">
        <v>252</v>
      </c>
      <c r="C23" t="s">
        <v>254</v>
      </c>
    </row>
    <row r="24" spans="1:3" x14ac:dyDescent="0.15">
      <c r="A24" t="s">
        <v>46</v>
      </c>
      <c r="B24" t="s">
        <v>252</v>
      </c>
      <c r="C24" t="s">
        <v>254</v>
      </c>
    </row>
    <row r="25" spans="1:3" x14ac:dyDescent="0.15">
      <c r="A25" t="s">
        <v>47</v>
      </c>
      <c r="B25" t="s">
        <v>222</v>
      </c>
      <c r="C25" t="s">
        <v>255</v>
      </c>
    </row>
    <row r="26" spans="1:3" x14ac:dyDescent="0.15">
      <c r="A26" t="s">
        <v>48</v>
      </c>
      <c r="B26" t="s">
        <v>222</v>
      </c>
      <c r="C26" t="s">
        <v>255</v>
      </c>
    </row>
    <row r="27" spans="1:3" x14ac:dyDescent="0.15">
      <c r="A27" t="s">
        <v>49</v>
      </c>
      <c r="B27" t="s">
        <v>222</v>
      </c>
      <c r="C27" t="s">
        <v>255</v>
      </c>
    </row>
    <row r="28" spans="1:3" x14ac:dyDescent="0.15">
      <c r="A28" t="s">
        <v>50</v>
      </c>
      <c r="B28" t="s">
        <v>222</v>
      </c>
      <c r="C28" t="s">
        <v>255</v>
      </c>
    </row>
    <row r="29" spans="1:3" x14ac:dyDescent="0.15">
      <c r="A29" t="s">
        <v>357</v>
      </c>
      <c r="B29" t="s">
        <v>222</v>
      </c>
      <c r="C29" t="s">
        <v>255</v>
      </c>
    </row>
    <row r="30" spans="1:3" x14ac:dyDescent="0.15">
      <c r="A30" t="s">
        <v>51</v>
      </c>
      <c r="B30" t="s">
        <v>222</v>
      </c>
      <c r="C30" t="s">
        <v>255</v>
      </c>
    </row>
    <row r="31" spans="1:3" x14ac:dyDescent="0.15">
      <c r="A31" t="s">
        <v>52</v>
      </c>
      <c r="B31" t="s">
        <v>222</v>
      </c>
      <c r="C31" t="s">
        <v>255</v>
      </c>
    </row>
    <row r="32" spans="1:3" x14ac:dyDescent="0.15">
      <c r="A32" t="s">
        <v>53</v>
      </c>
      <c r="B32" t="s">
        <v>222</v>
      </c>
      <c r="C32" t="s">
        <v>255</v>
      </c>
    </row>
    <row r="33" spans="1:3" x14ac:dyDescent="0.15">
      <c r="A33" t="s">
        <v>54</v>
      </c>
      <c r="B33" t="s">
        <v>256</v>
      </c>
      <c r="C33" t="s">
        <v>254</v>
      </c>
    </row>
    <row r="34" spans="1:3" x14ac:dyDescent="0.15">
      <c r="A34" t="s">
        <v>55</v>
      </c>
      <c r="B34" t="s">
        <v>222</v>
      </c>
      <c r="C34" t="s">
        <v>254</v>
      </c>
    </row>
    <row r="35" spans="1:3" x14ac:dyDescent="0.15">
      <c r="A35" t="s">
        <v>56</v>
      </c>
      <c r="B35" t="s">
        <v>222</v>
      </c>
      <c r="C35" t="s">
        <v>254</v>
      </c>
    </row>
    <row r="36" spans="1:3" x14ac:dyDescent="0.15">
      <c r="A36" t="s">
        <v>57</v>
      </c>
      <c r="B36" t="s">
        <v>257</v>
      </c>
      <c r="C36" t="s">
        <v>254</v>
      </c>
    </row>
    <row r="37" spans="1:3" x14ac:dyDescent="0.15">
      <c r="A37" t="s">
        <v>58</v>
      </c>
      <c r="B37" t="s">
        <v>257</v>
      </c>
      <c r="C37" t="s">
        <v>254</v>
      </c>
    </row>
    <row r="38" spans="1:3" x14ac:dyDescent="0.15">
      <c r="A38" t="s">
        <v>59</v>
      </c>
      <c r="B38" t="s">
        <v>257</v>
      </c>
      <c r="C38" t="s">
        <v>254</v>
      </c>
    </row>
    <row r="39" spans="1:3" x14ac:dyDescent="0.15">
      <c r="A39" t="s">
        <v>276</v>
      </c>
      <c r="B39" t="s">
        <v>362</v>
      </c>
    </row>
    <row r="40" spans="1:3" x14ac:dyDescent="0.15">
      <c r="A40" t="s">
        <v>277</v>
      </c>
      <c r="B40" t="s">
        <v>362</v>
      </c>
    </row>
    <row r="41" spans="1:3" x14ac:dyDescent="0.15">
      <c r="A41" t="s">
        <v>278</v>
      </c>
      <c r="B41" t="s">
        <v>222</v>
      </c>
    </row>
    <row r="42" spans="1:3" x14ac:dyDescent="0.15">
      <c r="A42" t="s">
        <v>280</v>
      </c>
      <c r="B42" t="s">
        <v>363</v>
      </c>
    </row>
    <row r="43" spans="1:3" x14ac:dyDescent="0.15">
      <c r="A43" t="s">
        <v>279</v>
      </c>
      <c r="B43" t="s">
        <v>363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9CCC75-5FA1-794A-B0DD-6A282DEBFD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8</vt:i4>
      </vt:variant>
    </vt:vector>
  </HeadingPairs>
  <TitlesOfParts>
    <vt:vector size="8" baseType="lpstr">
      <vt:lpstr>Apple</vt:lpstr>
      <vt:lpstr>rate - target</vt:lpstr>
      <vt:lpstr>OnePlus</vt:lpstr>
      <vt:lpstr>cam_num</vt:lpstr>
      <vt:lpstr>Samsung</vt:lpstr>
      <vt:lpstr>airplay</vt:lpstr>
      <vt:lpstr>weight</vt:lpstr>
      <vt:lpstr>charge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סהר חיים יעקב</cp:lastModifiedBy>
  <dcterms:created xsi:type="dcterms:W3CDTF">2025-09-14T13:00:36Z</dcterms:created>
  <dcterms:modified xsi:type="dcterms:W3CDTF">2025-09-15T16:00:51Z</dcterms:modified>
</cp:coreProperties>
</file>