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yqb/Desktop/מסמכים/"/>
    </mc:Choice>
  </mc:AlternateContent>
  <xr:revisionPtr revIDLastSave="0" documentId="13_ncr:1_{25251F05-4EA2-EC46-94A3-2A9974F7B81D}" xr6:coauthVersionLast="47" xr6:coauthVersionMax="47" xr10:uidLastSave="{00000000-0000-0000-0000-000000000000}"/>
  <bookViews>
    <workbookView xWindow="0" yWindow="760" windowWidth="30240" windowHeight="17640" xr2:uid="{C710259E-6D54-4A40-A6C8-F5AC83BA4959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1" l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S2" i="1"/>
  <c r="S3" i="1"/>
  <c r="S5" i="1"/>
  <c r="S6" i="1"/>
  <c r="S7" i="1"/>
  <c r="S8" i="1"/>
  <c r="S9" i="1"/>
  <c r="S10" i="1"/>
  <c r="S14" i="1"/>
  <c r="S15" i="1"/>
  <c r="S16" i="1"/>
  <c r="S17" i="1"/>
  <c r="S19" i="1"/>
  <c r="S20" i="1"/>
  <c r="S21" i="1"/>
  <c r="S22" i="1"/>
  <c r="S23" i="1"/>
  <c r="S25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5" i="1"/>
  <c r="R26" i="1"/>
  <c r="R27" i="1"/>
  <c r="R28" i="1"/>
  <c r="O20" i="1"/>
  <c r="O2" i="1"/>
  <c r="O4" i="1"/>
  <c r="O10" i="1"/>
  <c r="O19" i="1"/>
  <c r="O21" i="1"/>
  <c r="O6" i="1"/>
  <c r="O14" i="1"/>
  <c r="O18" i="1"/>
  <c r="O5" i="1"/>
  <c r="O9" i="1"/>
  <c r="O13" i="1"/>
  <c r="O3" i="1"/>
  <c r="O7" i="1"/>
  <c r="O15" i="1"/>
  <c r="O16" i="1"/>
  <c r="O17" i="1"/>
  <c r="O24" i="1"/>
  <c r="O26" i="1"/>
  <c r="O27" i="1"/>
  <c r="O28" i="1"/>
  <c r="O22" i="1"/>
  <c r="O23" i="1"/>
  <c r="O8" i="1"/>
  <c r="O11" i="1"/>
  <c r="O12" i="1"/>
  <c r="O25" i="1"/>
  <c r="M20" i="1"/>
  <c r="M2" i="1"/>
  <c r="M4" i="1"/>
  <c r="M10" i="1"/>
  <c r="M21" i="1"/>
  <c r="M9" i="1"/>
  <c r="M13" i="1"/>
  <c r="M3" i="1"/>
  <c r="M15" i="1"/>
  <c r="M17" i="1"/>
  <c r="M22" i="1"/>
  <c r="M23" i="1"/>
  <c r="B20" i="1" a="1"/>
  <c r="B20" i="1" s="1"/>
  <c r="C20" i="1" s="1"/>
  <c r="P20" i="1" s="1"/>
  <c r="K20" i="1"/>
  <c r="J20" i="1" s="1"/>
  <c r="B4" i="1" a="1"/>
  <c r="B4" i="1" s="1"/>
  <c r="C4" i="1" s="1"/>
  <c r="P4" i="1" s="1"/>
  <c r="K4" i="1"/>
  <c r="J4" i="1" s="1"/>
  <c r="B22" i="1" a="1"/>
  <c r="B22" i="1" s="1"/>
  <c r="C22" i="1" s="1"/>
  <c r="P22" i="1" s="1"/>
  <c r="F22" i="1"/>
  <c r="K22" i="1"/>
  <c r="J22" i="1" s="1"/>
  <c r="B14" i="1" a="1"/>
  <c r="B14" i="1" s="1"/>
  <c r="C14" i="1" s="1"/>
  <c r="P14" i="1" s="1"/>
  <c r="F14" i="1"/>
  <c r="K14" i="1"/>
  <c r="J14" i="1" s="1"/>
  <c r="M14" i="1" s="1"/>
  <c r="B18" i="1" a="1"/>
  <c r="B18" i="1" s="1"/>
  <c r="C18" i="1" s="1"/>
  <c r="P18" i="1" s="1"/>
  <c r="F18" i="1"/>
  <c r="K18" i="1"/>
  <c r="J18" i="1" s="1"/>
  <c r="M18" i="1" s="1"/>
  <c r="B3" i="1" a="1"/>
  <c r="B3" i="1" s="1"/>
  <c r="C3" i="1" s="1"/>
  <c r="P3" i="1" s="1"/>
  <c r="F3" i="1"/>
  <c r="K3" i="1"/>
  <c r="J3" i="1" s="1"/>
  <c r="B7" i="1" a="1"/>
  <c r="B7" i="1" s="1"/>
  <c r="C7" i="1" s="1"/>
  <c r="P7" i="1" s="1"/>
  <c r="F7" i="1"/>
  <c r="K7" i="1"/>
  <c r="J7" i="1" s="1"/>
  <c r="M7" i="1" s="1"/>
  <c r="B15" i="1" a="1"/>
  <c r="B15" i="1" s="1"/>
  <c r="C15" i="1" s="1"/>
  <c r="P15" i="1" s="1"/>
  <c r="F15" i="1"/>
  <c r="K15" i="1"/>
  <c r="J15" i="1" s="1"/>
  <c r="B16" i="1" a="1"/>
  <c r="B16" i="1" s="1"/>
  <c r="C16" i="1" s="1"/>
  <c r="P16" i="1" s="1"/>
  <c r="F16" i="1"/>
  <c r="K16" i="1"/>
  <c r="J16" i="1" s="1"/>
  <c r="M16" i="1" s="1"/>
  <c r="B17" i="1" a="1"/>
  <c r="B17" i="1" s="1"/>
  <c r="C17" i="1" s="1"/>
  <c r="P17" i="1" s="1"/>
  <c r="F17" i="1"/>
  <c r="K17" i="1"/>
  <c r="J17" i="1" s="1"/>
  <c r="B24" i="1" a="1"/>
  <c r="B24" i="1" s="1"/>
  <c r="C24" i="1" s="1"/>
  <c r="P24" i="1" s="1"/>
  <c r="K24" i="1"/>
  <c r="J24" i="1" s="1"/>
  <c r="M24" i="1" s="1"/>
  <c r="B26" i="1" a="1"/>
  <c r="B26" i="1" s="1"/>
  <c r="C26" i="1" s="1"/>
  <c r="P26" i="1" s="1"/>
  <c r="K26" i="1"/>
  <c r="J26" i="1" s="1"/>
  <c r="M26" i="1" s="1"/>
  <c r="B27" i="1" a="1"/>
  <c r="B27" i="1" s="1"/>
  <c r="C27" i="1" s="1"/>
  <c r="P27" i="1" s="1"/>
  <c r="F27" i="1"/>
  <c r="K27" i="1"/>
  <c r="J27" i="1" s="1"/>
  <c r="M27" i="1" s="1"/>
  <c r="B28" i="1" a="1"/>
  <c r="B28" i="1" s="1"/>
  <c r="C28" i="1" s="1"/>
  <c r="P28" i="1" s="1"/>
  <c r="F28" i="1"/>
  <c r="K28" i="1"/>
  <c r="J28" i="1" s="1"/>
  <c r="M28" i="1" s="1"/>
  <c r="B23" i="1" a="1"/>
  <c r="B23" i="1" s="1"/>
  <c r="C23" i="1" s="1"/>
  <c r="P23" i="1" s="1"/>
  <c r="F23" i="1"/>
  <c r="K23" i="1"/>
  <c r="J23" i="1" s="1"/>
  <c r="B5" i="1" a="1"/>
  <c r="B5" i="1" s="1"/>
  <c r="C5" i="1" s="1"/>
  <c r="P5" i="1" s="1"/>
  <c r="K5" i="1"/>
  <c r="J5" i="1" s="1"/>
  <c r="M5" i="1" s="1"/>
  <c r="B6" i="1" a="1"/>
  <c r="B6" i="1" s="1"/>
  <c r="C6" i="1" s="1"/>
  <c r="P6" i="1" s="1"/>
  <c r="K6" i="1"/>
  <c r="J6" i="1" s="1"/>
  <c r="M6" i="1" s="1"/>
  <c r="B9" i="1" a="1"/>
  <c r="B9" i="1" s="1"/>
  <c r="C9" i="1" s="1"/>
  <c r="P9" i="1" s="1"/>
  <c r="K9" i="1"/>
  <c r="J9" i="1" s="1"/>
  <c r="B2" i="1" a="1"/>
  <c r="B2" i="1" s="1"/>
  <c r="C2" i="1" s="1"/>
  <c r="P2" i="1" s="1"/>
  <c r="K2" i="1"/>
  <c r="J2" i="1" s="1"/>
  <c r="B10" i="1" a="1"/>
  <c r="B10" i="1" s="1"/>
  <c r="C10" i="1" s="1"/>
  <c r="P10" i="1" s="1"/>
  <c r="K10" i="1"/>
  <c r="J10" i="1" s="1"/>
  <c r="B19" i="1" a="1"/>
  <c r="B19" i="1" s="1"/>
  <c r="C19" i="1" s="1"/>
  <c r="P19" i="1" s="1"/>
  <c r="K19" i="1"/>
  <c r="J19" i="1" s="1"/>
  <c r="M19" i="1" s="1"/>
  <c r="B21" i="1" a="1"/>
  <c r="B21" i="1" s="1"/>
  <c r="C21" i="1" s="1"/>
  <c r="P21" i="1" s="1"/>
  <c r="J21" i="1"/>
  <c r="B13" i="1" a="1"/>
  <c r="B13" i="1" s="1"/>
  <c r="C13" i="1" s="1"/>
  <c r="P13" i="1" s="1"/>
  <c r="F13" i="1"/>
  <c r="J13" i="1"/>
  <c r="B8" i="1" a="1"/>
  <c r="B8" i="1" s="1"/>
  <c r="C8" i="1" s="1"/>
  <c r="P8" i="1" s="1"/>
  <c r="F8" i="1"/>
  <c r="K8" i="1"/>
  <c r="J8" i="1" s="1"/>
  <c r="M8" i="1" s="1"/>
  <c r="B11" i="1" a="1"/>
  <c r="B11" i="1" s="1"/>
  <c r="C11" i="1" s="1"/>
  <c r="P11" i="1" s="1"/>
  <c r="F11" i="1"/>
  <c r="K11" i="1"/>
  <c r="J11" i="1" s="1"/>
  <c r="M11" i="1" s="1"/>
  <c r="B12" i="1" a="1"/>
  <c r="B12" i="1" s="1"/>
  <c r="C12" i="1" s="1"/>
  <c r="P12" i="1" s="1"/>
  <c r="F12" i="1"/>
  <c r="K12" i="1"/>
  <c r="J12" i="1" s="1"/>
  <c r="M12" i="1" s="1"/>
  <c r="B25" i="1" a="1"/>
  <c r="B25" i="1" s="1"/>
  <c r="C25" i="1" s="1"/>
  <c r="P25" i="1" s="1"/>
  <c r="K25" i="1"/>
  <c r="J25" i="1" s="1"/>
  <c r="M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<sst xmlns="http://schemas.openxmlformats.org/spreadsheetml/2006/main" count="263" uniqueCount="133">
  <si>
    <t xml:space="preserve">תאריך פינוי </t>
  </si>
  <si>
    <t>שנה</t>
  </si>
  <si>
    <t>תאריך מלא</t>
  </si>
  <si>
    <t>תאריך</t>
  </si>
  <si>
    <t>יישוב</t>
  </si>
  <si>
    <t>אלי סיני</t>
  </si>
  <si>
    <t>דוגית</t>
  </si>
  <si>
    <t>ניסנית</t>
  </si>
  <si>
    <t>בני עצמון</t>
  </si>
  <si>
    <t>שם יישוב מלא</t>
  </si>
  <si>
    <t>נצר חזני</t>
  </si>
  <si>
    <t>נצרים</t>
  </si>
  <si>
    <t>כפר דרום</t>
  </si>
  <si>
    <t>נווה דקלים</t>
  </si>
  <si>
    <t>גני טל</t>
  </si>
  <si>
    <t>כרם עצמונה</t>
  </si>
  <si>
    <t>עצמונה</t>
  </si>
  <si>
    <t>מורג</t>
  </si>
  <si>
    <t>מעוז ים</t>
  </si>
  <si>
    <t>בדולח</t>
  </si>
  <si>
    <t>רפיח ים</t>
  </si>
  <si>
    <t>רפיח</t>
  </si>
  <si>
    <t>תל קטיפא</t>
  </si>
  <si>
    <t>קטיף</t>
  </si>
  <si>
    <t>פאת שדה</t>
  </si>
  <si>
    <t>גנים</t>
  </si>
  <si>
    <t>כדים</t>
  </si>
  <si>
    <t>חומש</t>
  </si>
  <si>
    <t>שליו</t>
  </si>
  <si>
    <t>גוש קטיף</t>
  </si>
  <si>
    <t>אזור</t>
  </si>
  <si>
    <t>נפשות שפונו</t>
  </si>
  <si>
    <t>התוחמת הצפונית</t>
  </si>
  <si>
    <t>גדיד</t>
  </si>
  <si>
    <t>גן אור</t>
  </si>
  <si>
    <t>כפר ים</t>
  </si>
  <si>
    <t>דת</t>
  </si>
  <si>
    <t>דהנייה</t>
  </si>
  <si>
    <t>מוסלמים</t>
  </si>
  <si>
    <t>מרכז הרצועה</t>
  </si>
  <si>
    <t>צפון השומרון</t>
  </si>
  <si>
    <t>ממוצע למשפחה</t>
  </si>
  <si>
    <t>יהודים</t>
  </si>
  <si>
    <t>משפחות שפונו</t>
  </si>
  <si>
    <t>הערכת נפשות שפונו/ משפחות שפונו</t>
  </si>
  <si>
    <t>הערכת פיצויים מוערכת</t>
  </si>
  <si>
    <t>יישוב קהילתי</t>
  </si>
  <si>
    <t>שנת הקמה</t>
  </si>
  <si>
    <t>זמן קיום יישוב</t>
  </si>
  <si>
    <t>יום התנתקות</t>
  </si>
  <si>
    <t>סוג ייסוד</t>
  </si>
  <si>
    <t>מאחז</t>
  </si>
  <si>
    <t>גרעין דתי</t>
  </si>
  <si>
    <t>דתי קהילתי</t>
  </si>
  <si>
    <t>קישור</t>
  </si>
  <si>
    <t>היסטוריה</t>
  </si>
  <si>
    <t>"הוקם כהיאחזות נח"ל בשם 'גדיש', שונה ל'נצר חזני' ב-1977."</t>
  </si>
  <si>
    <t>שכול</t>
  </si>
  <si>
    <t>קהילתיות</t>
  </si>
  <si>
    <t>"הוקם על ידי גרעין דתי מתנועת אמנה, אופי קהילתי-חקלאי."</t>
  </si>
  <si>
    <t>נושא מרכזי</t>
  </si>
  <si>
    <t>ציטוט/דוגמה בולטת (מהטקסט)</t>
  </si>
  <si>
    <t>הערות</t>
  </si>
  <si>
    <t>יישוב עם עבר ארוך, קשור לגרעין נח"ל ובני עקיבא.</t>
  </si>
  <si>
    <t>"לירו, בשבילו ובשבילנו. לא יהיה אלי סיני, לא יהיה אי, להנציח את לירו... לקחת את הגלעד הזה."</t>
  </si>
  <si>
    <t>קשר עמוק לשכול ולזיכרון.</t>
  </si>
  <si>
    <t>יישוב דתי עם קהילה חזקה.</t>
  </si>
  <si>
    <t>דייגים</t>
  </si>
  <si>
    <t>"כפר דייגים קהילתי, הוקם על ידי שלוש משפחות במסגרת תנועת אמנה."</t>
  </si>
  <si>
    <t>יישוב קטן עם אופי ייחודי.</t>
  </si>
  <si>
    <t>דיכאון</t>
  </si>
  <si>
    <t>"אני לא מצליח להפעיל את עצמי כמו פעם... אין לי כוח לעבור, מי יהיו השכנים שלי."</t>
  </si>
  <si>
    <t>חרדה ודיכאון עקב חוסר ודאות.</t>
  </si>
  <si>
    <t>התחדשות</t>
  </si>
  <si>
    <t>"הוקם כהיאחזות נח"ל והתרחב ליישוב קהילתי דתי."</t>
  </si>
  <si>
    <t>יישוב עם היסטוריה של התחדשות.</t>
  </si>
  <si>
    <t>חינוך</t>
  </si>
  <si>
    <t>"מושב דתי, הוקם על ידי בוגרי ישיבות הסדר ובני עקיבא."</t>
  </si>
  <si>
    <t>קשור לחינוך דתי.</t>
  </si>
  <si>
    <t>חוף</t>
  </si>
  <si>
    <t>"יישוב קהילתי על חוף הים, הוקם על ידי משפחות חלוציות."</t>
  </si>
  <si>
    <t>יישוב עם אופי חופי.</t>
  </si>
  <si>
    <t>בגידה</t>
  </si>
  <si>
    <t>"הדיבור על הוצאת הקברים מעצים אצל כל משפחה את הכאב... אנחנו לא רוצים להיות חלוצים שוב."</t>
  </si>
  <si>
    <t>תחושת בגידה ופירוק קהילה.</t>
  </si>
  <si>
    <t>חקלאות</t>
  </si>
  <si>
    <t>"מושב עובדים דתי, הוקם במסגרת הפועל המזרחי."</t>
  </si>
  <si>
    <t>יישוב חקלאי עם אופי דתי.</t>
  </si>
  <si>
    <t>שיתוף פעולה</t>
  </si>
  <si>
    <t>"יישוב בדואי, הוקם בשיתוף פעולה עם ישראל."</t>
  </si>
  <si>
    <t>יישוב ייחודי עם אופי בדואי.</t>
  </si>
  <si>
    <t>עייפות</t>
  </si>
  <si>
    <t>"אנחנו עייפים, לא מוכנים להיות חלוצים שוב."</t>
  </si>
  <si>
    <t>תחושת תסכול ועייפות ממאבקים.</t>
  </si>
  <si>
    <t>השפלה</t>
  </si>
  <si>
    <t>"אנחנו מרגישים שזורקים אותנו... אני מרגיש מבוזה ומושפל."</t>
  </si>
  <si>
    <t>תחושת השפלה וכעס.</t>
  </si>
  <si>
    <t>אפליה</t>
  </si>
  <si>
    <t>"אנחנו לא בסדר, אסור לנו להגיד שכואב... מרגישה שיש הרבה שנאה כלפי האנשים ביש"ע."</t>
  </si>
  <si>
    <t>תחושת אפליה וחוסר לגיטימציה לכאב.</t>
  </si>
  <si>
    <t>"הוקם על ידי גרעין מתיישבים, חלק מהתנועה הדתית-לאומית."</t>
  </si>
  <si>
    <t>יישוב חדש יחסית עם אופי דתי.</t>
  </si>
  <si>
    <t>כאב</t>
  </si>
  <si>
    <t>"אני כואב על מה שבנינו ועשינו, שזה לא יישאר... אני לא יודע לבכות, אבל כואב לי."</t>
  </si>
  <si>
    <t>כאב נפשי עקב אובדן.</t>
  </si>
  <si>
    <t>"יישוב דתי-חקלאי, חלק מגוש קטיף."</t>
  </si>
  <si>
    <t>יישוב עם אופי חקלאי.</t>
  </si>
  <si>
    <t>חרדה</t>
  </si>
  <si>
    <t>"אני חרד מזה שאני אלך לעיר אחרת ומוצא את עצמי בשכונה שלא מתאימה לי... חלמתי שהחיילים לוקחים אותי."</t>
  </si>
  <si>
    <t>חרדה וחוסר ודאות.</t>
  </si>
  <si>
    <t>שירת הים</t>
  </si>
  <si>
    <t>אמונה</t>
  </si>
  <si>
    <t>"יישוב דתי, הוקם במסגרת תנועת אמנה."</t>
  </si>
  <si>
    <t>יישוב עם אופי דתי-אידאולוגי.</t>
  </si>
  <si>
    <t>שלווה</t>
  </si>
  <si>
    <t>"יישוב דתי בגוש קטיף, הוקם על ידי גרעין מתיישבים דתיים."</t>
  </si>
  <si>
    <t>יישוב עם אופי קהילתי ושליו.</t>
  </si>
  <si>
    <t>"היאחזות נח"ל, הוקם במסגרת תוכנית 'חמש האצבעות'."</t>
  </si>
  <si>
    <t>יישוב עם היסטוריה ארוכה.</t>
  </si>
  <si>
    <t>יישוב עם אופי קהילתי.</t>
  </si>
  <si>
    <t>"יישוב דתי בצפון השומרון, הוקם על ידי גרעין מתיישבים דתיים."</t>
  </si>
  <si>
    <t>חלוציות</t>
  </si>
  <si>
    <t>"יישוב דתי בצפון השומרון, הוקם על ידי גרעין בני עקיבא."</t>
  </si>
  <si>
    <t>יישוב עם אופי חלוצי.</t>
  </si>
  <si>
    <t>ישיבות</t>
  </si>
  <si>
    <t>"יישוב דתי, הוקם על ידי גרעין ישיבת הסדר מעלה אדומים."</t>
  </si>
  <si>
    <t>קשור לישיבות הסדר.</t>
  </si>
  <si>
    <t>שא-נור</t>
  </si>
  <si>
    <t>"יישוב דתי בצפון השומרון, הוקם על ידי גרעין בני עקיבא ותנועת אמנה."</t>
  </si>
  <si>
    <t>ציטוט</t>
  </si>
  <si>
    <t>מאפייני פינוי</t>
  </si>
  <si>
    <t>נפשות שפונו חסר</t>
  </si>
  <si>
    <t>משפחות שפונו חסר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</si>
</sst>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_-* #,##0.00_₪_-;\-* #,##0.00_₪_-;_-* &quot;-&quot;??_₪_-;_-@_-"/>
    <numFmt numFmtId="166" formatCode="_-* #,##0_-;\-* #,##0_-;_-* &quot;-&quot;??_-;_-@_-"/>
  </numFmts>
  <fonts count="6" x14ac:knownFonts="1">
    <font>
      <sz val="12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2"/>
      <color rgb="FFFF0000"/>
      <name val="Arial"/>
      <family val="2"/>
      <charset val="177"/>
      <scheme val="minor"/>
    </font>
    <font>
      <b/>
      <sz val="12"/>
      <color theme="1"/>
      <name val="Arial"/>
      <family val="2"/>
      <charset val="177"/>
      <scheme val="minor"/>
    </font>
    <font>
      <u/>
      <sz val="12"/>
      <color theme="1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43" fontId="0" fillId="0" borderId="0" xfId="1" applyFont="1"/>
    <xf numFmtId="165" fontId="0" fillId="0" borderId="0" xfId="0" applyNumberFormat="1"/>
    <xf numFmtId="166" fontId="0" fillId="0" borderId="0" xfId="1" applyNumberFormat="1" applyFont="1"/>
    <xf numFmtId="0" fontId="4" fillId="0" borderId="0" xfId="2"/>
    <xf numFmtId="0" fontId="3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היפר-קישור" xfId="2" builtinId="8"/>
    <cellStyle name="Comma" xfId="1" builtinId="3"/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_-* #,##0_-;\-* #,##0_-;_-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177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09737-8AFE-C74D-A28A-A3E1311228A7}" name="טבלה2" displayName="טבלה2" ref="A1:U28" totalsRowShown="0" dataDxfId="0">
  <autoFilter ref="A1:U28" xr:uid="{31F09737-8AFE-C74D-A28A-A3E1311228A7}"/>
  <sortState xmlns:xlrd2="http://schemas.microsoft.com/office/spreadsheetml/2017/richdata2" ref="A2:S28">
    <sortCondition ref="E1:E28"/>
  </sortState>
  <tableColumns count="21">
    <tableColumn id="1" xr3:uid="{EE8B4C94-C442-D84A-B448-B2D4697A57B7}" name="תאריך פינוי " dataDxfId="21"/>
    <tableColumn id="2" xr3:uid="{2AF8ECEC-87B1-8D41-8386-81F4A3A328E3}" name="תאריך" dataDxfId="20"/>
    <tableColumn id="3" xr3:uid="{CDE6D5CA-7F70-6545-9969-F794675B8326}" name="תאריך מלא" dataDxfId="19"/>
    <tableColumn id="4" xr3:uid="{F94B2D28-85E2-2147-B8C3-A2DA0A6983EF}" name="שנה" dataDxfId="18"/>
    <tableColumn id="5" xr3:uid="{6AB95400-6DB5-C240-916D-E7FBE8999382}" name="שם יישוב מלא" dataDxfId="17"/>
    <tableColumn id="6" xr3:uid="{E5983BF2-29CE-934D-8D2E-37FA8928D178}" name="יישוב" dataDxfId="16"/>
    <tableColumn id="7" xr3:uid="{2384429A-F52E-DC48-9014-1876FC6D75B5}" name="אזור" dataDxfId="15"/>
    <tableColumn id="8" xr3:uid="{E224B538-143E-CC4D-879D-84379436E2FF}" name="נפשות שפונו חסר" dataDxfId="14"/>
    <tableColumn id="9" xr3:uid="{F3C6CD19-94EC-5641-90EB-AC3694C190AC}" name="משפחות שפונו חסר" dataDxfId="13"/>
    <tableColumn id="10" xr3:uid="{9801DA7F-911D-FB47-82C9-E9FA55B441B1}" name="הערכת נפשות שפונו/ משפחות שפונו" dataDxfId="12">
      <calculatedColumnFormula>ROUND(IF(טבלה2[[#This Row],[נפשות שפונו חסר]]&gt;0,H2/K2,I2*K2),3)</calculatedColumnFormula>
    </tableColumn>
    <tableColumn id="12" xr3:uid="{B4C540B0-981B-7A43-A2D9-E6BEF96ECF2B}" name="ממוצע למשפחה" dataDxfId="11">
      <calculatedColumnFormula>IF(טבלה2[[#This Row],[אזור]]="גוש קטיף",8.3,IF(טבלה2[[#This Row],[אזור]]="צפון השומרון",6.8,IF(טבלה2[[#This Row],[אזור]]="התוחמת הצפונית",5.6,"")))</calculatedColumnFormula>
    </tableColumn>
    <tableColumn id="13" xr3:uid="{A4FC98E5-4B84-134A-A0AE-38C49FE65CE7}" name="דת" dataDxfId="10"/>
    <tableColumn id="15" xr3:uid="{3D3149F0-B436-0442-BC2E-A171E75536BA}" name="הערכת פיצויים מוערכת" dataDxfId="9" dataCellStyle="Comma">
      <calculatedColumnFormula>IF(טבלה2[[#This Row],[נפשות שפונו חסר]]&gt;0,333536*טבלה2[[#This Row],[נפשות שפונו חסר]],טבלה2[[#This Row],[הערכת נפשות שפונו/ משפחות שפונו]]*333536)</calculatedColumnFormula>
    </tableColumn>
    <tableColumn id="18" xr3:uid="{88455FFC-628D-934B-93C0-38DBA52C4A88}" name="זמן קיום יישוב" dataDxfId="8"/>
    <tableColumn id="19" xr3:uid="{E4EF9CB7-82BD-7340-90F3-EEC62DFC1F2A}" name="שנת הקמה" dataDxfId="7">
      <calculatedColumnFormula>2005-טבלה2[[#This Row],[זמן קיום יישוב]]</calculatedColumnFormula>
    </tableColumn>
    <tableColumn id="20" xr3:uid="{5BBD27D6-B43C-1F4E-8463-62F5080C6471}" name="יום התנתקות" dataDxfId="6">
      <calculatedColumnFormula>TEXT(טבלה2[[#This Row],[תאריך מלא]],"dddd")</calculatedColumnFormula>
    </tableColumn>
    <tableColumn id="11" xr3:uid="{8ADA7A14-4D05-9C40-A0F5-EC48AD2A6D1C}" name="סוג ייסוד" dataDxfId="5"/>
    <tableColumn id="16" xr3:uid="{DAF89BFB-4FD8-3D4A-B430-15BDA73ABD10}" name="ציטוט" dataDxfId="4">
      <calculatedColumnFormula>VLOOKUP(E2,נושא_מרכזי4[#All], 3, FALSE)</calculatedColumnFormula>
    </tableColumn>
    <tableColumn id="21" xr3:uid="{E1E28378-612C-CF4C-9FBA-1C2B5D9E9921}" name="מאפייני פינוי" dataDxfId="3">
      <calculatedColumnFormula>VLOOKUP(E2,נושא_מרכזי4[#All], 2, FALSE)</calculatedColumnFormula>
    </tableColumn>
    <tableColumn id="25" xr3:uid="{6D94CFA3-5E07-0147-860F-7E555A081A55}" name="נפשות שפונו" dataDxfId="2">
      <calculatedColumnFormula>IF(טבלה2[[#This Row],[נפשות שפונו חסר]]&gt;0,טבלה2[[#This Row],[נפשות שפונו חסר]],טבלה2[[#This Row],[הערכת נפשות שפונו/ משפחות שפונו]])</calculatedColumnFormula>
    </tableColumn>
    <tableColumn id="26" xr3:uid="{9E861EB8-2E42-6D42-89E5-B2B5DFE74956}" name="משפחות שפונו" dataDxfId="1">
      <calculatedColumnFormula>IF(טבלה2[[#This Row],[משפחות שפונו חסר]]&gt;0,טבלה2[[#This Row],[משפחות שפונו חסר]],טבלה2[[#This Row],[הערכת נפשות שפונו/ משפחות שפונו]])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3D3EEA-74D1-8C46-AE52-0CAA14BD7D19}" name="נושא_מרכזי4" displayName="נושא_מרכזי4" ref="A1:D28" totalsRowShown="0" headerRowDxfId="24">
  <autoFilter ref="A1:D28" xr:uid="{8B3D3EEA-74D1-8C46-AE52-0CAA14BD7D19}"/>
  <tableColumns count="4">
    <tableColumn id="1" xr3:uid="{757E0DB6-65F4-8C40-AE8E-08CF684548B9}" name="יישוב" dataDxfId="23"/>
    <tableColumn id="2" xr3:uid="{39FEE5EF-6128-A64A-8FC4-7C18932C5B68}" name="נושא מרכזי" dataDxfId="22"/>
    <tableColumn id="3" xr3:uid="{D82C6D7A-7B5E-2741-A703-B127D3C073E6}" name="ציטוט/דוגמה בולטת (מהטקסט)"/>
    <tableColumn id="4" xr3:uid="{D6087A83-8B11-A145-9982-400569208C8A}" name="הערו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n.fips.huji.ac.il/sites/default/files/floersheimeeng/files/billig_settlers_perspectives_on_the_disengagement_from_gaza_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9C0A-A9CF-124F-AA47-840BC0E95ACF}">
  <dimension ref="A1:AM69"/>
  <sheetViews>
    <sheetView rightToLeft="1" tabSelected="1" topLeftCell="I1" zoomScale="109" workbookViewId="0">
      <selection activeCell="M21" sqref="M21"/>
    </sheetView>
  </sheetViews>
  <sheetFormatPr baseColWidth="10" defaultRowHeight="16" x14ac:dyDescent="0.2"/>
  <cols>
    <col min="1" max="1" width="11.140625" customWidth="1"/>
    <col min="2" max="2" width="10.7109375" style="1"/>
    <col min="5" max="5" width="12.7109375" customWidth="1"/>
    <col min="7" max="7" width="15.28515625" customWidth="1"/>
    <col min="8" max="8" width="18.28515625" customWidth="1"/>
    <col min="9" max="9" width="17" bestFit="1" customWidth="1"/>
    <col min="10" max="10" width="20.5703125" bestFit="1" customWidth="1"/>
    <col min="12" max="12" width="19.85546875" bestFit="1" customWidth="1"/>
    <col min="13" max="13" width="19" style="5" bestFit="1" customWidth="1"/>
    <col min="18" max="18" width="63.85546875" customWidth="1"/>
    <col min="19" max="19" width="25.7109375" customWidth="1"/>
    <col min="20" max="20" width="13.85546875" customWidth="1"/>
    <col min="21" max="21" width="15.42578125" customWidth="1"/>
    <col min="25" max="25" width="10.85546875" customWidth="1"/>
    <col min="26" max="26" width="24.7109375" customWidth="1"/>
  </cols>
  <sheetData>
    <row r="1" spans="1:21" x14ac:dyDescent="0.2">
      <c r="A1" t="s">
        <v>0</v>
      </c>
      <c r="B1" s="1" t="s">
        <v>3</v>
      </c>
      <c r="C1" t="s">
        <v>2</v>
      </c>
      <c r="D1" t="s">
        <v>1</v>
      </c>
      <c r="E1" t="s">
        <v>9</v>
      </c>
      <c r="F1" t="s">
        <v>4</v>
      </c>
      <c r="G1" t="s">
        <v>30</v>
      </c>
      <c r="H1" t="s">
        <v>131</v>
      </c>
      <c r="I1" t="s">
        <v>132</v>
      </c>
      <c r="J1" t="s">
        <v>44</v>
      </c>
      <c r="K1" t="s">
        <v>41</v>
      </c>
      <c r="L1" t="s">
        <v>36</v>
      </c>
      <c r="M1" s="5" t="s">
        <v>45</v>
      </c>
      <c r="N1" t="s">
        <v>48</v>
      </c>
      <c r="O1" t="s">
        <v>47</v>
      </c>
      <c r="P1" t="s">
        <v>49</v>
      </c>
      <c r="Q1" t="s">
        <v>50</v>
      </c>
      <c r="R1" t="s">
        <v>129</v>
      </c>
      <c r="S1" t="s">
        <v>130</v>
      </c>
      <c r="T1" t="s">
        <v>31</v>
      </c>
      <c r="U1" t="s">
        <v>43</v>
      </c>
    </row>
    <row r="2" spans="1:21" x14ac:dyDescent="0.2">
      <c r="A2" s="8">
        <v>17.079999999999998</v>
      </c>
      <c r="B2" s="9" t="str" cm="1">
        <f t="array" ref="B2">INDEX(_xlfn.TEXTSPLIT(A2,"."),1) &amp; "/" &amp; INDEX(_xlfn.TEXTSPLIT(A2,"."),2)</f>
        <v>17/08</v>
      </c>
      <c r="C2" s="9">
        <f>DATE(D2, MONTH(B2),DAY(B2))</f>
        <v>38581</v>
      </c>
      <c r="D2" s="8">
        <v>2005</v>
      </c>
      <c r="E2" s="8" t="s">
        <v>5</v>
      </c>
      <c r="F2" s="8" t="s">
        <v>5</v>
      </c>
      <c r="G2" s="8" t="s">
        <v>32</v>
      </c>
      <c r="H2" s="8">
        <v>350</v>
      </c>
      <c r="I2" s="10"/>
      <c r="J2" s="8">
        <f>ROUND(IF(טבלה2[[#This Row],[נפשות שפונו חסר]]&gt;0,H2/K2,I2*K2),3)</f>
        <v>62.5</v>
      </c>
      <c r="K2" s="8">
        <f>IF(טבלה2[[#This Row],[אזור]]="גוש קטיף",8.3,IF(טבלה2[[#This Row],[אזור]]="צפון השומרון",6.8,IF(טבלה2[[#This Row],[אזור]]="התוחמת הצפונית",5.6,"")))</f>
        <v>5.6</v>
      </c>
      <c r="L2" s="8" t="s">
        <v>42</v>
      </c>
      <c r="M2" s="11">
        <f>IF(טבלה2[[#This Row],[נפשות שפונו חסר]]&gt;0,333536*טבלה2[[#This Row],[נפשות שפונו חסר]],טבלה2[[#This Row],[הערכת נפשות שפונו/ משפחות שפונו]]*333536)</f>
        <v>116737600</v>
      </c>
      <c r="N2" s="8">
        <v>22</v>
      </c>
      <c r="O2" s="8">
        <f>2005-טבלה2[[#This Row],[זמן קיום יישוב]]</f>
        <v>1983</v>
      </c>
      <c r="P2" s="8" t="str">
        <f>TEXT(טבלה2[[#This Row],[תאריך מלא]],"dddd")</f>
        <v>יום רביעי</v>
      </c>
      <c r="Q2" s="8" t="s">
        <v>46</v>
      </c>
      <c r="R2" s="8" t="str">
        <f>VLOOKUP(E2,נושא_מרכזי4[#All], 3, FALSE)</f>
        <v>"לירו, בשבילו ובשבילנו. לא יהיה אלי סיני, לא יהיה אי, להנציח את לירו... לקחת את הגלעד הזה."</v>
      </c>
      <c r="S2" s="8" t="str">
        <f>VLOOKUP(E2,נושא_מרכזי4[#All], 2, FALSE)</f>
        <v>שכול</v>
      </c>
      <c r="T2" s="12">
        <f>IF(טבלה2[[#This Row],[נפשות שפונו חסר]]&gt;0,טבלה2[[#This Row],[נפשות שפונו חסר]],טבלה2[[#This Row],[הערכת נפשות שפונו/ משפחות שפונו]])</f>
        <v>350</v>
      </c>
      <c r="U2" s="12">
        <f>IF(טבלה2[[#This Row],[משפחות שפונו חסר]]&gt;0,טבלה2[[#This Row],[משפחות שפונו חסר]],טבלה2[[#This Row],[הערכת נפשות שפונו/ משפחות שפונו]])</f>
        <v>62.5</v>
      </c>
    </row>
    <row r="3" spans="1:21" x14ac:dyDescent="0.2">
      <c r="A3" s="8">
        <v>20.079999999999998</v>
      </c>
      <c r="B3" s="9" t="str" cm="1">
        <f t="array" ref="B3">INDEX(_xlfn.TEXTSPLIT(A3,"."),1) &amp; "/" &amp; INDEX(_xlfn.TEXTSPLIT(A3,"."),2)</f>
        <v>20/08</v>
      </c>
      <c r="C3" s="9">
        <f>DATE(D3, MONTH(B3),DAY(B3))</f>
        <v>38584</v>
      </c>
      <c r="D3" s="8">
        <v>2005</v>
      </c>
      <c r="E3" s="8" t="s">
        <v>19</v>
      </c>
      <c r="F3" s="8" t="str">
        <f>E3</f>
        <v>בדולח</v>
      </c>
      <c r="G3" s="8" t="s">
        <v>29</v>
      </c>
      <c r="H3" s="8">
        <v>220</v>
      </c>
      <c r="I3" s="10"/>
      <c r="J3" s="8">
        <f>ROUND(IF(טבלה2[[#This Row],[נפשות שפונו חסר]]&gt;0,H3/K3,I3*K3),3)</f>
        <v>26.506</v>
      </c>
      <c r="K3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3" s="8" t="s">
        <v>42</v>
      </c>
      <c r="M3" s="11">
        <f>IF(טבלה2[[#This Row],[נפשות שפונו חסר]]&gt;0,333536*טבלה2[[#This Row],[נפשות שפונו חסר]],טבלה2[[#This Row],[הערכת נפשות שפונו/ משפחות שפונו]]*333536)</f>
        <v>73377920</v>
      </c>
      <c r="N3" s="8">
        <v>22</v>
      </c>
      <c r="O3" s="8">
        <f>2005-טבלה2[[#This Row],[זמן קיום יישוב]]</f>
        <v>1983</v>
      </c>
      <c r="P3" s="8" t="str">
        <f>TEXT(טבלה2[[#This Row],[תאריך מלא]],"dddd")</f>
        <v>יום שבת</v>
      </c>
      <c r="Q3" s="8" t="s">
        <v>52</v>
      </c>
      <c r="R3" s="8" t="str">
        <f>VLOOKUP(E3,נושא_מרכזי4[#All], 3, FALSE)</f>
        <v>"אנחנו מרגישים שזורקים אותנו... אני מרגיש מבוזה ומושפל."</v>
      </c>
      <c r="S3" s="8" t="str">
        <f>VLOOKUP(E3,נושא_מרכזי4[#All], 2, FALSE)</f>
        <v>השפלה</v>
      </c>
      <c r="T3" s="12">
        <f>IF(טבלה2[[#This Row],[נפשות שפונו חסר]]&gt;0,טבלה2[[#This Row],[נפשות שפונו חסר]],טבלה2[[#This Row],[הערכת נפשות שפונו/ משפחות שפונו]])</f>
        <v>220</v>
      </c>
      <c r="U3" s="12">
        <f>IF(טבלה2[[#This Row],[משפחות שפונו חסר]]&gt;0,טבלה2[[#This Row],[משפחות שפונו חסר]],טבלה2[[#This Row],[הערכת נפשות שפונו/ משפחות שפונו]])</f>
        <v>26.506</v>
      </c>
    </row>
    <row r="4" spans="1:21" x14ac:dyDescent="0.2">
      <c r="A4" s="8">
        <v>18.079999999999998</v>
      </c>
      <c r="B4" s="9" t="str" cm="1">
        <f t="array" ref="B4">INDEX(_xlfn.TEXTSPLIT(A4,"."),1) &amp; "/" &amp; INDEX(_xlfn.TEXTSPLIT(A4,"."),2)</f>
        <v>18/08</v>
      </c>
      <c r="C4" s="9">
        <f>DATE(D4, MONTH(B4),DAY(B4))</f>
        <v>38582</v>
      </c>
      <c r="D4" s="8">
        <v>2005</v>
      </c>
      <c r="E4" s="8" t="s">
        <v>8</v>
      </c>
      <c r="F4" s="8" t="s">
        <v>16</v>
      </c>
      <c r="G4" s="8" t="s">
        <v>29</v>
      </c>
      <c r="H4" s="8">
        <v>550</v>
      </c>
      <c r="I4" s="10"/>
      <c r="J4" s="8">
        <f>ROUND(IF(טבלה2[[#This Row],[נפשות שפונו חסר]]&gt;0,H4/K4,I4*K4),3)</f>
        <v>66.265000000000001</v>
      </c>
      <c r="K4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4" s="8" t="s">
        <v>42</v>
      </c>
      <c r="M4" s="11">
        <f>IF(טבלה2[[#This Row],[נפשות שפונו חסר]]&gt;0,333536*טבלה2[[#This Row],[נפשות שפונו חסר]],טבלה2[[#This Row],[הערכת נפשות שפונו/ משפחות שפונו]]*333536)</f>
        <v>183444800</v>
      </c>
      <c r="N4" s="8">
        <v>22</v>
      </c>
      <c r="O4" s="8">
        <f>2005-טבלה2[[#This Row],[זמן קיום יישוב]]</f>
        <v>1983</v>
      </c>
      <c r="P4" s="8" t="str">
        <f>TEXT(טבלה2[[#This Row],[תאריך מלא]],"dddd")</f>
        <v>יום חמישי</v>
      </c>
      <c r="Q4" s="8" t="s">
        <v>52</v>
      </c>
      <c r="R4" s="8" t="str">
        <f>VLOOKUP(E4,נושא_מרכזי4[#All], 3, FALSE)</f>
        <v>"הוקם על ידי גרעין דתי מתנועת אמנה, אופי קהילתי-חקלאי."</v>
      </c>
      <c r="S4" s="8" t="s">
        <v>85</v>
      </c>
      <c r="T4" s="12">
        <f>IF(טבלה2[[#This Row],[נפשות שפונו חסר]]&gt;0,טבלה2[[#This Row],[נפשות שפונו חסר]],טבלה2[[#This Row],[הערכת נפשות שפונו/ משפחות שפונו]])</f>
        <v>550</v>
      </c>
      <c r="U4" s="12">
        <f>IF(טבלה2[[#This Row],[משפחות שפונו חסר]]&gt;0,טבלה2[[#This Row],[משפחות שפונו חסר]],טבלה2[[#This Row],[הערכת נפשות שפונו/ משפחות שפונו]])</f>
        <v>66.265000000000001</v>
      </c>
    </row>
    <row r="5" spans="1:21" x14ac:dyDescent="0.2">
      <c r="A5" s="8">
        <v>19.079999999999998</v>
      </c>
      <c r="B5" s="9" t="str" cm="1">
        <f t="array" ref="B5">INDEX(_xlfn.TEXTSPLIT(A5,"."),1) &amp; "/" &amp; INDEX(_xlfn.TEXTSPLIT(A5,"."),2)</f>
        <v>19/08</v>
      </c>
      <c r="C5" s="9">
        <f>DATE(D5, MONTH(B5),DAY(B5))</f>
        <v>38583</v>
      </c>
      <c r="D5" s="8">
        <v>2005</v>
      </c>
      <c r="E5" s="8" t="s">
        <v>33</v>
      </c>
      <c r="F5" s="8" t="s">
        <v>33</v>
      </c>
      <c r="G5" s="8" t="s">
        <v>29</v>
      </c>
      <c r="H5" s="8"/>
      <c r="I5" s="8">
        <v>60</v>
      </c>
      <c r="J5" s="8">
        <f>ROUND(IF(טבלה2[[#This Row],[נפשות שפונו חסר]]&gt;0,H5/K5,I5*K5),3)</f>
        <v>498</v>
      </c>
      <c r="K5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5" s="8" t="s">
        <v>42</v>
      </c>
      <c r="M5" s="11">
        <f>IF(טבלה2[[#This Row],[נפשות שפונו חסר]]&gt;0,333536*טבלה2[[#This Row],[נפשות שפונו חסר]],טבלה2[[#This Row],[הערכת נפשות שפונו/ משפחות שפונו]]*333536)</f>
        <v>166100928</v>
      </c>
      <c r="N5" s="8">
        <v>22</v>
      </c>
      <c r="O5" s="8">
        <f>2005-טבלה2[[#This Row],[זמן קיום יישוב]]</f>
        <v>1983</v>
      </c>
      <c r="P5" s="8" t="str">
        <f>TEXT(טבלה2[[#This Row],[תאריך מלא]],"dddd")</f>
        <v>יום שישי</v>
      </c>
      <c r="Q5" s="8" t="s">
        <v>52</v>
      </c>
      <c r="R5" s="8" t="str">
        <f>VLOOKUP(E5,נושא_מרכזי4[#All], 3, FALSE)</f>
        <v>"מושב עובדים דתי, הוקם במסגרת הפועל המזרחי."</v>
      </c>
      <c r="S5" s="8" t="str">
        <f>VLOOKUP(E5,נושא_מרכזי4[#All], 2, FALSE)</f>
        <v>חקלאות</v>
      </c>
      <c r="T5" s="12">
        <f>IF(טבלה2[[#This Row],[נפשות שפונו חסר]]&gt;0,טבלה2[[#This Row],[נפשות שפונו חסר]],טבלה2[[#This Row],[הערכת נפשות שפונו/ משפחות שפונו]])</f>
        <v>498</v>
      </c>
      <c r="U5" s="12">
        <f>IF(טבלה2[[#This Row],[משפחות שפונו חסר]]&gt;0,טבלה2[[#This Row],[משפחות שפונו חסר]],טבלה2[[#This Row],[הערכת נפשות שפונו/ משפחות שפונו]])</f>
        <v>60</v>
      </c>
    </row>
    <row r="6" spans="1:21" x14ac:dyDescent="0.2">
      <c r="A6" s="8">
        <v>18.8</v>
      </c>
      <c r="B6" s="9" t="str" cm="1">
        <f t="array" ref="B6">INDEX(_xlfn.TEXTSPLIT(A6,"."),1) &amp; "/" &amp; INDEX(_xlfn.TEXTSPLIT(A6,"."),2)</f>
        <v>18/8</v>
      </c>
      <c r="C6" s="9">
        <f>DATE(D6, MONTH(B6),DAY(B6))</f>
        <v>38582</v>
      </c>
      <c r="D6" s="8">
        <v>2005</v>
      </c>
      <c r="E6" s="8" t="s">
        <v>34</v>
      </c>
      <c r="F6" s="8" t="s">
        <v>34</v>
      </c>
      <c r="G6" s="8" t="s">
        <v>29</v>
      </c>
      <c r="H6" s="8"/>
      <c r="I6" s="8">
        <v>50</v>
      </c>
      <c r="J6" s="8">
        <f>ROUND(IF(טבלה2[[#This Row],[נפשות שפונו חסר]]&gt;0,H6/K6,I6*K6),3)</f>
        <v>415</v>
      </c>
      <c r="K6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6" s="8" t="s">
        <v>42</v>
      </c>
      <c r="M6" s="11">
        <f>IF(טבלה2[[#This Row],[נפשות שפונו חסר]]&gt;0,333536*טבלה2[[#This Row],[נפשות שפונו חסר]],טבלה2[[#This Row],[הערכת נפשות שפונו/ משפחות שפונו]]*333536)</f>
        <v>138417440</v>
      </c>
      <c r="N6" s="8">
        <v>22</v>
      </c>
      <c r="O6" s="8">
        <f>2005-טבלה2[[#This Row],[זמן קיום יישוב]]</f>
        <v>1983</v>
      </c>
      <c r="P6" s="8" t="str">
        <f>TEXT(טבלה2[[#This Row],[תאריך מלא]],"dddd")</f>
        <v>יום חמישי</v>
      </c>
      <c r="Q6" s="8" t="s">
        <v>52</v>
      </c>
      <c r="R6" s="8" t="str">
        <f>VLOOKUP(E6,נושא_מרכזי4[#All], 3, FALSE)</f>
        <v>"מושב דתי, הוקם על ידי בוגרי ישיבות הסדר ובני עקיבא."</v>
      </c>
      <c r="S6" s="8" t="str">
        <f>VLOOKUP(E6,נושא_מרכזי4[#All], 2, FALSE)</f>
        <v>חינוך</v>
      </c>
      <c r="T6" s="12">
        <f>IF(טבלה2[[#This Row],[נפשות שפונו חסר]]&gt;0,טבלה2[[#This Row],[נפשות שפונו חסר]],טבלה2[[#This Row],[הערכת נפשות שפונו/ משפחות שפונו]])</f>
        <v>415</v>
      </c>
      <c r="U6" s="12">
        <f>IF(טבלה2[[#This Row],[משפחות שפונו חסר]]&gt;0,טבלה2[[#This Row],[משפחות שפונו חסר]],טבלה2[[#This Row],[הערכת נפשות שפונו/ משפחות שפונו]])</f>
        <v>50</v>
      </c>
    </row>
    <row r="7" spans="1:21" x14ac:dyDescent="0.2">
      <c r="A7" s="8">
        <v>20.079999999999998</v>
      </c>
      <c r="B7" s="9" t="str" cm="1">
        <f t="array" ref="B7">INDEX(_xlfn.TEXTSPLIT(A7,"."),1) &amp; "/" &amp; INDEX(_xlfn.TEXTSPLIT(A7,"."),2)</f>
        <v>20/08</v>
      </c>
      <c r="C7" s="9">
        <f>DATE(D7, MONTH(B7),DAY(B7))</f>
        <v>38584</v>
      </c>
      <c r="D7" s="8">
        <v>2005</v>
      </c>
      <c r="E7" s="8" t="s">
        <v>14</v>
      </c>
      <c r="F7" s="8" t="str">
        <f>E7</f>
        <v>גני טל</v>
      </c>
      <c r="G7" s="8" t="s">
        <v>29</v>
      </c>
      <c r="H7" s="8"/>
      <c r="I7" s="8">
        <v>65</v>
      </c>
      <c r="J7" s="8">
        <f>ROUND(IF(טבלה2[[#This Row],[נפשות שפונו חסר]]&gt;0,H7/K7,I7*K7),3)</f>
        <v>539.5</v>
      </c>
      <c r="K7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7" s="8" t="s">
        <v>42</v>
      </c>
      <c r="M7" s="11">
        <f>IF(טבלה2[[#This Row],[נפשות שפונו חסר]]&gt;0,333536*טבלה2[[#This Row],[נפשות שפונו חסר]],טבלה2[[#This Row],[הערכת נפשות שפונו/ משפחות שפונו]]*333536)</f>
        <v>179942672</v>
      </c>
      <c r="N7" s="8">
        <v>22</v>
      </c>
      <c r="O7" s="8">
        <f>2005-טבלה2[[#This Row],[זמן קיום יישוב]]</f>
        <v>1983</v>
      </c>
      <c r="P7" s="8" t="str">
        <f>TEXT(טבלה2[[#This Row],[תאריך מלא]],"dddd")</f>
        <v>יום שבת</v>
      </c>
      <c r="Q7" s="8" t="s">
        <v>52</v>
      </c>
      <c r="R7" s="8" t="str">
        <f>VLOOKUP(E7,נושא_מרכזי4[#All], 3, FALSE)</f>
        <v>"אנחנו לא בסדר, אסור לנו להגיד שכואב... מרגישה שיש הרבה שנאה כלפי האנשים ביש"ע."</v>
      </c>
      <c r="S7" s="8" t="str">
        <f>VLOOKUP(E7,נושא_מרכזי4[#All], 2, FALSE)</f>
        <v>אפליה</v>
      </c>
      <c r="T7" s="12">
        <f>IF(טבלה2[[#This Row],[נפשות שפונו חסר]]&gt;0,טבלה2[[#This Row],[נפשות שפונו חסר]],טבלה2[[#This Row],[הערכת נפשות שפונו/ משפחות שפונו]])</f>
        <v>539.5</v>
      </c>
      <c r="U7" s="12">
        <f>IF(טבלה2[[#This Row],[משפחות שפונו חסר]]&gt;0,טבלה2[[#This Row],[משפחות שפונו חסר]],טבלה2[[#This Row],[הערכת נפשות שפונו/ משפחות שפונו]])</f>
        <v>65</v>
      </c>
    </row>
    <row r="8" spans="1:21" x14ac:dyDescent="0.2">
      <c r="A8" s="8">
        <v>23.8</v>
      </c>
      <c r="B8" s="9" t="str" cm="1">
        <f t="array" ref="B8">INDEX(_xlfn.TEXTSPLIT(A8,"."),1) &amp; "/" &amp; INDEX(_xlfn.TEXTSPLIT(A8,"."),2)</f>
        <v>23/8</v>
      </c>
      <c r="C8" s="9">
        <f>DATE(D8, MONTH(B8),DAY(B8))</f>
        <v>38587</v>
      </c>
      <c r="D8" s="8">
        <v>2005</v>
      </c>
      <c r="E8" s="8" t="s">
        <v>25</v>
      </c>
      <c r="F8" s="8" t="str">
        <f>E8</f>
        <v>גנים</v>
      </c>
      <c r="G8" s="8" t="s">
        <v>40</v>
      </c>
      <c r="H8" s="8"/>
      <c r="I8" s="8">
        <v>30</v>
      </c>
      <c r="J8" s="8">
        <f>ROUND(IF(טבלה2[[#This Row],[נפשות שפונו חסר]]&gt;0,H8/K8,I8*K8),3)</f>
        <v>204</v>
      </c>
      <c r="K8" s="8">
        <f>IF(טבלה2[[#This Row],[אזור]]="גוש קטיף",8.3,IF(טבלה2[[#This Row],[אזור]]="צפון השומרון",6.8,IF(טבלה2[[#This Row],[אזור]]="התוחמת הצפונית",5.6,"")))</f>
        <v>6.8</v>
      </c>
      <c r="L8" s="8" t="s">
        <v>42</v>
      </c>
      <c r="M8" s="11">
        <f>IF(טבלה2[[#This Row],[נפשות שפונו חסר]]&gt;0,333536*טבלה2[[#This Row],[נפשות שפונו חסר]],טבלה2[[#This Row],[הערכת נפשות שפונו/ משפחות שפונו]]*333536)</f>
        <v>68041344</v>
      </c>
      <c r="N8" s="8">
        <v>22</v>
      </c>
      <c r="O8" s="8">
        <f>2005-טבלה2[[#This Row],[זמן קיום יישוב]]</f>
        <v>1983</v>
      </c>
      <c r="P8" s="8" t="str">
        <f>TEXT(טבלה2[[#This Row],[תאריך מלא]],"dddd")</f>
        <v>יום שלישי</v>
      </c>
      <c r="Q8" s="8" t="s">
        <v>53</v>
      </c>
      <c r="R8" s="8" t="str">
        <f>VLOOKUP(E8,נושא_מרכזי4[#All], 3, FALSE)</f>
        <v>"יישוב דתי בצפון השומרון, הוקם על ידי גרעין מתיישבים דתיים."</v>
      </c>
      <c r="S8" s="8" t="str">
        <f>VLOOKUP(E8,נושא_מרכזי4[#All], 2, FALSE)</f>
        <v>חינוך</v>
      </c>
      <c r="T8" s="12">
        <f>IF(טבלה2[[#This Row],[נפשות שפונו חסר]]&gt;0,טבלה2[[#This Row],[נפשות שפונו חסר]],טבלה2[[#This Row],[הערכת נפשות שפונו/ משפחות שפונו]])</f>
        <v>204</v>
      </c>
      <c r="U8" s="12">
        <f>IF(טבלה2[[#This Row],[משפחות שפונו חסר]]&gt;0,טבלה2[[#This Row],[משפחות שפונו חסר]],טבלה2[[#This Row],[הערכת נפשות שפונו/ משפחות שפונו]])</f>
        <v>30</v>
      </c>
    </row>
    <row r="9" spans="1:21" x14ac:dyDescent="0.2">
      <c r="A9" s="8">
        <v>19.079999999999998</v>
      </c>
      <c r="B9" s="9" t="str" cm="1">
        <f t="array" ref="B9">INDEX(_xlfn.TEXTSPLIT(A9,"."),1) &amp; "/" &amp; INDEX(_xlfn.TEXTSPLIT(A9,"."),2)</f>
        <v>19/08</v>
      </c>
      <c r="C9" s="9">
        <f>DATE(D9, MONTH(B9),DAY(B9))</f>
        <v>38583</v>
      </c>
      <c r="D9" s="8">
        <v>2005</v>
      </c>
      <c r="E9" s="8" t="s">
        <v>37</v>
      </c>
      <c r="F9" s="8" t="s">
        <v>37</v>
      </c>
      <c r="G9" s="8" t="s">
        <v>29</v>
      </c>
      <c r="H9" s="8">
        <v>500</v>
      </c>
      <c r="I9" s="8"/>
      <c r="J9" s="8">
        <f>ROUND(IF(טבלה2[[#This Row],[נפשות שפונו חסר]]&gt;0,H9/K9,I9*K9),3)</f>
        <v>60.241</v>
      </c>
      <c r="K9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9" s="8" t="s">
        <v>38</v>
      </c>
      <c r="M9" s="11">
        <f>IF(טבלה2[[#This Row],[נפשות שפונו חסר]]&gt;0,333536*טבלה2[[#This Row],[נפשות שפונו חסר]],טבלה2[[#This Row],[הערכת נפשות שפונו/ משפחות שפונו]]*333536)</f>
        <v>166768000</v>
      </c>
      <c r="N9" s="8">
        <v>22</v>
      </c>
      <c r="O9" s="8">
        <f>2005-טבלה2[[#This Row],[זמן קיום יישוב]]</f>
        <v>1983</v>
      </c>
      <c r="P9" s="8" t="str">
        <f>TEXT(טבלה2[[#This Row],[תאריך מלא]],"dddd")</f>
        <v>יום שישי</v>
      </c>
      <c r="Q9" s="8" t="s">
        <v>53</v>
      </c>
      <c r="R9" s="8" t="str">
        <f>VLOOKUP(E9,נושא_מרכזי4[#All], 3, FALSE)</f>
        <v>"יישוב בדואי, הוקם בשיתוף פעולה עם ישראל."</v>
      </c>
      <c r="S9" s="8" t="str">
        <f>VLOOKUP(E9,נושא_מרכזי4[#All], 2, FALSE)</f>
        <v>שיתוף פעולה</v>
      </c>
      <c r="T9" s="12">
        <f>IF(טבלה2[[#This Row],[נפשות שפונו חסר]]&gt;0,טבלה2[[#This Row],[נפשות שפונו חסר]],טבלה2[[#This Row],[הערכת נפשות שפונו/ משפחות שפונו]])</f>
        <v>500</v>
      </c>
      <c r="U9" s="12">
        <f>IF(טבלה2[[#This Row],[משפחות שפונו חסר]]&gt;0,טבלה2[[#This Row],[משפחות שפונו חסר]],טבלה2[[#This Row],[הערכת נפשות שפונו/ משפחות שפונו]])</f>
        <v>60.241</v>
      </c>
    </row>
    <row r="10" spans="1:21" x14ac:dyDescent="0.2">
      <c r="A10" s="8">
        <v>18.079999999999998</v>
      </c>
      <c r="B10" s="9" t="str" cm="1">
        <f t="array" ref="B10">INDEX(_xlfn.TEXTSPLIT(A10,"."),1) &amp; "/" &amp; INDEX(_xlfn.TEXTSPLIT(A10,"."),2)</f>
        <v>18/08</v>
      </c>
      <c r="C10" s="9">
        <f>DATE(D10, MONTH(B10),DAY(B10))</f>
        <v>38582</v>
      </c>
      <c r="D10" s="8">
        <v>2005</v>
      </c>
      <c r="E10" s="8" t="s">
        <v>6</v>
      </c>
      <c r="F10" s="8" t="s">
        <v>6</v>
      </c>
      <c r="G10" s="8" t="s">
        <v>32</v>
      </c>
      <c r="H10" s="8">
        <v>70</v>
      </c>
      <c r="I10" s="8"/>
      <c r="J10" s="8">
        <f>ROUND(IF(טבלה2[[#This Row],[נפשות שפונו חסר]]&gt;0,H10/K10,I10*K10),3)</f>
        <v>12.5</v>
      </c>
      <c r="K10" s="8">
        <f>IF(טבלה2[[#This Row],[אזור]]="גוש קטיף",8.3,IF(טבלה2[[#This Row],[אזור]]="צפון השומרון",6.8,IF(טבלה2[[#This Row],[אזור]]="התוחמת הצפונית",5.6,"")))</f>
        <v>5.6</v>
      </c>
      <c r="L10" s="8" t="s">
        <v>42</v>
      </c>
      <c r="M10" s="11">
        <f>IF(טבלה2[[#This Row],[נפשות שפונו חסר]]&gt;0,333536*טבלה2[[#This Row],[נפשות שפונו חסר]],טבלה2[[#This Row],[הערכת נפשות שפונו/ משפחות שפונו]]*333536)</f>
        <v>23347520</v>
      </c>
      <c r="N10" s="8">
        <v>16</v>
      </c>
      <c r="O10" s="8">
        <f>2005-טבלה2[[#This Row],[זמן קיום יישוב]]</f>
        <v>1989</v>
      </c>
      <c r="P10" s="8" t="str">
        <f>TEXT(טבלה2[[#This Row],[תאריך מלא]],"dddd")</f>
        <v>יום חמישי</v>
      </c>
      <c r="Q10" s="8" t="s">
        <v>46</v>
      </c>
      <c r="R10" s="8" t="str">
        <f>VLOOKUP(E10,נושא_מרכזי4[#All], 3, FALSE)</f>
        <v>"כפר דייגים קהילתי, הוקם על ידי שלוש משפחות במסגרת תנועת אמנה."</v>
      </c>
      <c r="S10" s="8" t="str">
        <f>VLOOKUP(E10,נושא_מרכזי4[#All], 2, FALSE)</f>
        <v>דייגים</v>
      </c>
      <c r="T10" s="12">
        <f>IF(טבלה2[[#This Row],[נפשות שפונו חסר]]&gt;0,טבלה2[[#This Row],[נפשות שפונו חסר]],טבלה2[[#This Row],[הערכת נפשות שפונו/ משפחות שפונו]])</f>
        <v>70</v>
      </c>
      <c r="U10" s="12">
        <f>IF(טבלה2[[#This Row],[משפחות שפונו חסר]]&gt;0,טבלה2[[#This Row],[משפחות שפונו חסר]],טבלה2[[#This Row],[הערכת נפשות שפונו/ משפחות שפונו]])</f>
        <v>12.5</v>
      </c>
    </row>
    <row r="11" spans="1:21" x14ac:dyDescent="0.2">
      <c r="A11" s="8">
        <v>23.8</v>
      </c>
      <c r="B11" s="9" t="str" cm="1">
        <f t="array" ref="B11">INDEX(_xlfn.TEXTSPLIT(A11,"."),1) &amp; "/" &amp; INDEX(_xlfn.TEXTSPLIT(A11,"."),2)</f>
        <v>23/8</v>
      </c>
      <c r="C11" s="9">
        <f>DATE(D11, MONTH(B11),DAY(B11))</f>
        <v>38587</v>
      </c>
      <c r="D11" s="8">
        <v>2005</v>
      </c>
      <c r="E11" s="8" t="s">
        <v>27</v>
      </c>
      <c r="F11" s="8" t="str">
        <f>E11</f>
        <v>חומש</v>
      </c>
      <c r="G11" s="8" t="s">
        <v>40</v>
      </c>
      <c r="H11" s="8"/>
      <c r="I11" s="8">
        <v>30</v>
      </c>
      <c r="J11" s="8">
        <f>ROUND(IF(טבלה2[[#This Row],[נפשות שפונו חסר]]&gt;0,H11/K11,I11*K11),3)</f>
        <v>204</v>
      </c>
      <c r="K11" s="8">
        <f>IF(טבלה2[[#This Row],[אזור]]="גוש קטיף",8.3,IF(טבלה2[[#This Row],[אזור]]="צפון השומרון",6.8,IF(טבלה2[[#This Row],[אזור]]="התוחמת הצפונית",5.6,"")))</f>
        <v>6.8</v>
      </c>
      <c r="L11" s="8" t="s">
        <v>42</v>
      </c>
      <c r="M11" s="11">
        <f>IF(טבלה2[[#This Row],[נפשות שפונו חסר]]&gt;0,333536*טבלה2[[#This Row],[נפשות שפונו חסר]],טבלה2[[#This Row],[הערכת נפשות שפונו/ משפחות שפונו]]*333536)</f>
        <v>68041344</v>
      </c>
      <c r="N11" s="8">
        <v>22</v>
      </c>
      <c r="O11" s="8">
        <f>2005-טבלה2[[#This Row],[זמן קיום יישוב]]</f>
        <v>1983</v>
      </c>
      <c r="P11" s="8" t="str">
        <f>TEXT(טבלה2[[#This Row],[תאריך מלא]],"dddd")</f>
        <v>יום שלישי</v>
      </c>
      <c r="Q11" s="8" t="s">
        <v>53</v>
      </c>
      <c r="R11" s="8" t="str">
        <f>VLOOKUP(E11,נושא_מרכזי4[#All], 3, FALSE)</f>
        <v>"יישוב דתי בצפון השומרון, הוקם על ידי גרעין בני עקיבא."</v>
      </c>
      <c r="S11" s="8" t="s">
        <v>76</v>
      </c>
      <c r="T11" s="12">
        <f>IF(טבלה2[[#This Row],[נפשות שפונו חסר]]&gt;0,טבלה2[[#This Row],[נפשות שפונו חסר]],טבלה2[[#This Row],[הערכת נפשות שפונו/ משפחות שפונו]])</f>
        <v>204</v>
      </c>
      <c r="U11" s="12">
        <f>IF(טבלה2[[#This Row],[משפחות שפונו חסר]]&gt;0,טבלה2[[#This Row],[משפחות שפונו חסר]],טבלה2[[#This Row],[הערכת נפשות שפונו/ משפחות שפונו]])</f>
        <v>30</v>
      </c>
    </row>
    <row r="12" spans="1:21" x14ac:dyDescent="0.2">
      <c r="A12" s="8">
        <v>23.8</v>
      </c>
      <c r="B12" s="9" t="str" cm="1">
        <f t="array" ref="B12">INDEX(_xlfn.TEXTSPLIT(A12,"."),1) &amp; "/" &amp; INDEX(_xlfn.TEXTSPLIT(A12,"."),2)</f>
        <v>23/8</v>
      </c>
      <c r="C12" s="9">
        <f>DATE(D12, MONTH(B12),DAY(B12))</f>
        <v>38587</v>
      </c>
      <c r="D12" s="8">
        <v>2005</v>
      </c>
      <c r="E12" s="8" t="s">
        <v>26</v>
      </c>
      <c r="F12" s="8" t="str">
        <f>E12</f>
        <v>כדים</v>
      </c>
      <c r="G12" s="8" t="s">
        <v>40</v>
      </c>
      <c r="H12" s="8"/>
      <c r="I12" s="8">
        <v>25</v>
      </c>
      <c r="J12" s="8">
        <f>ROUND(IF(טבלה2[[#This Row],[נפשות שפונו חסר]]&gt;0,H12/K12,I12*K12),3)</f>
        <v>170</v>
      </c>
      <c r="K12" s="8">
        <f>IF(טבלה2[[#This Row],[אזור]]="גוש קטיף",8.3,IF(טבלה2[[#This Row],[אזור]]="צפון השומרון",6.8,IF(טבלה2[[#This Row],[אזור]]="התוחמת הצפונית",5.6,"")))</f>
        <v>6.8</v>
      </c>
      <c r="L12" s="8" t="s">
        <v>42</v>
      </c>
      <c r="M12" s="11">
        <f>IF(טבלה2[[#This Row],[נפשות שפונו חסר]]&gt;0,333536*טבלה2[[#This Row],[נפשות שפונו חסר]],טבלה2[[#This Row],[הערכת נפשות שפונו/ משפחות שפונו]]*333536)</f>
        <v>56701120</v>
      </c>
      <c r="N12" s="8">
        <v>22</v>
      </c>
      <c r="O12" s="8">
        <f>2005-טבלה2[[#This Row],[זמן קיום יישוב]]</f>
        <v>1983</v>
      </c>
      <c r="P12" s="8" t="str">
        <f>TEXT(טבלה2[[#This Row],[תאריך מלא]],"dddd")</f>
        <v>יום שלישי</v>
      </c>
      <c r="Q12" s="8" t="s">
        <v>53</v>
      </c>
      <c r="R12" s="8" t="str">
        <f>VLOOKUP(E12,נושא_מרכזי4[#All], 3, FALSE)</f>
        <v>"יישוב דתי, הוקם על ידי גרעין ישיבת הסדר מעלה אדומים."</v>
      </c>
      <c r="S12" s="8" t="s">
        <v>76</v>
      </c>
      <c r="T12" s="12">
        <f>IF(טבלה2[[#This Row],[נפשות שפונו חסר]]&gt;0,טבלה2[[#This Row],[נפשות שפונו חסר]],טבלה2[[#This Row],[הערכת נפשות שפונו/ משפחות שפונו]])</f>
        <v>170</v>
      </c>
      <c r="U12" s="12">
        <f>IF(טבלה2[[#This Row],[משפחות שפונו חסר]]&gt;0,טבלה2[[#This Row],[משפחות שפונו חסר]],טבלה2[[#This Row],[הערכת נפשות שפונו/ משפחות שפונו]])</f>
        <v>25</v>
      </c>
    </row>
    <row r="13" spans="1:21" x14ac:dyDescent="0.2">
      <c r="A13" s="8">
        <v>19.079999999999998</v>
      </c>
      <c r="B13" s="9" t="str" cm="1">
        <f t="array" ref="B13">INDEX(_xlfn.TEXTSPLIT(A13,"."),1) &amp; "/" &amp; INDEX(_xlfn.TEXTSPLIT(A13,"."),2)</f>
        <v>19/08</v>
      </c>
      <c r="C13" s="9">
        <f>DATE(D13, MONTH(B13),DAY(B13))</f>
        <v>38583</v>
      </c>
      <c r="D13" s="8">
        <v>2005</v>
      </c>
      <c r="E13" s="8" t="s">
        <v>12</v>
      </c>
      <c r="F13" s="8" t="str">
        <f>E13</f>
        <v>כפר דרום</v>
      </c>
      <c r="G13" s="8" t="s">
        <v>39</v>
      </c>
      <c r="H13" s="8">
        <v>400</v>
      </c>
      <c r="I13" s="8"/>
      <c r="J13" s="8">
        <f>ROUND(IF(טבלה2[[#This Row],[נפשות שפונו חסר]]&gt;0,H13/K13,I13*K13),3)</f>
        <v>66.667000000000002</v>
      </c>
      <c r="K13" s="8">
        <v>6</v>
      </c>
      <c r="L13" s="8" t="s">
        <v>42</v>
      </c>
      <c r="M13" s="11">
        <f>IF(טבלה2[[#This Row],[נפשות שפונו חסר]]&gt;0,333536*טבלה2[[#This Row],[נפשות שפונו חסר]],טבלה2[[#This Row],[הערכת נפשות שפונו/ משפחות שפונו]]*333536)</f>
        <v>133414400</v>
      </c>
      <c r="N13" s="8">
        <v>22</v>
      </c>
      <c r="O13" s="8">
        <f>2005-טבלה2[[#This Row],[זמן קיום יישוב]]</f>
        <v>1983</v>
      </c>
      <c r="P13" s="8" t="str">
        <f>TEXT(טבלה2[[#This Row],[תאריך מלא]],"dddd")</f>
        <v>יום שישי</v>
      </c>
      <c r="Q13" s="8" t="s">
        <v>53</v>
      </c>
      <c r="R13" s="8" t="str">
        <f>VLOOKUP(E13,נושא_מרכזי4[#All], 3, FALSE)</f>
        <v>"אנחנו עייפים, לא מוכנים להיות חלוצים שוב."</v>
      </c>
      <c r="S13" s="8" t="s">
        <v>70</v>
      </c>
      <c r="T13" s="12">
        <f>IF(טבלה2[[#This Row],[נפשות שפונו חסר]]&gt;0,טבלה2[[#This Row],[נפשות שפונו חסר]],טבלה2[[#This Row],[הערכת נפשות שפונו/ משפחות שפונו]])</f>
        <v>400</v>
      </c>
      <c r="U13" s="12">
        <f>IF(טבלה2[[#This Row],[משפחות שפונו חסר]]&gt;0,טבלה2[[#This Row],[משפחות שפונו חסר]],טבלה2[[#This Row],[הערכת נפשות שפונו/ משפחות שפונו]])</f>
        <v>66.667000000000002</v>
      </c>
    </row>
    <row r="14" spans="1:21" x14ac:dyDescent="0.2">
      <c r="A14" s="8">
        <v>19.079999999999998</v>
      </c>
      <c r="B14" s="9" t="str" cm="1">
        <f t="array" ref="B14">INDEX(_xlfn.TEXTSPLIT(A14,"."),1) &amp; "/" &amp; INDEX(_xlfn.TEXTSPLIT(A14,"."),2)</f>
        <v>19/08</v>
      </c>
      <c r="C14" s="9">
        <f>DATE(D14, MONTH(B14),DAY(B14))</f>
        <v>38583</v>
      </c>
      <c r="D14" s="8">
        <v>2005</v>
      </c>
      <c r="E14" s="8" t="s">
        <v>35</v>
      </c>
      <c r="F14" s="8" t="str">
        <f>E14</f>
        <v>כפר ים</v>
      </c>
      <c r="G14" s="8" t="s">
        <v>29</v>
      </c>
      <c r="H14" s="8"/>
      <c r="I14" s="8">
        <v>4</v>
      </c>
      <c r="J14" s="8">
        <f>ROUND(IF(טבלה2[[#This Row],[נפשות שפונו חסר]]&gt;0,H14/K14,I14*K14),3)</f>
        <v>33.200000000000003</v>
      </c>
      <c r="K14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14" s="8" t="s">
        <v>42</v>
      </c>
      <c r="M14" s="11">
        <f>IF(טבלה2[[#This Row],[נפשות שפונו חסר]]&gt;0,333536*טבלה2[[#This Row],[נפשות שפונו חסר]],טבלה2[[#This Row],[הערכת נפשות שפונו/ משפחות שפונו]]*333536)</f>
        <v>11073395.200000001</v>
      </c>
      <c r="N14" s="8">
        <v>22</v>
      </c>
      <c r="O14" s="8">
        <f>2005-טבלה2[[#This Row],[זמן קיום יישוב]]</f>
        <v>1983</v>
      </c>
      <c r="P14" s="8" t="str">
        <f>TEXT(טבלה2[[#This Row],[תאריך מלא]],"dddd")</f>
        <v>יום שישי</v>
      </c>
      <c r="Q14" s="8" t="s">
        <v>46</v>
      </c>
      <c r="R14" s="8" t="str">
        <f>VLOOKUP(E14,נושא_מרכזי4[#All], 3, FALSE)</f>
        <v>"יישוב קהילתי על חוף הים, הוקם על ידי משפחות חלוציות."</v>
      </c>
      <c r="S14" s="8" t="str">
        <f>VLOOKUP(E14,נושא_מרכזי4[#All], 2, FALSE)</f>
        <v>חוף</v>
      </c>
      <c r="T14" s="12">
        <f>IF(טבלה2[[#This Row],[נפשות שפונו חסר]]&gt;0,טבלה2[[#This Row],[נפשות שפונו חסר]],טבלה2[[#This Row],[הערכת נפשות שפונו/ משפחות שפונו]])</f>
        <v>33.200000000000003</v>
      </c>
      <c r="U14" s="12">
        <f>IF(טבלה2[[#This Row],[משפחות שפונו חסר]]&gt;0,טבלה2[[#This Row],[משפחות שפונו חסר]],טבלה2[[#This Row],[הערכת נפשות שפונו/ משפחות שפונו]])</f>
        <v>4</v>
      </c>
    </row>
    <row r="15" spans="1:21" x14ac:dyDescent="0.2">
      <c r="A15" s="8">
        <v>20.079999999999998</v>
      </c>
      <c r="B15" s="9" t="str" cm="1">
        <f t="array" ref="B15">INDEX(_xlfn.TEXTSPLIT(A15,"."),1) &amp; "/" &amp; INDEX(_xlfn.TEXTSPLIT(A15,"."),2)</f>
        <v>20/08</v>
      </c>
      <c r="C15" s="9">
        <f>DATE(D15, MONTH(B15),DAY(B15))</f>
        <v>38584</v>
      </c>
      <c r="D15" s="8">
        <v>2005</v>
      </c>
      <c r="E15" s="8" t="s">
        <v>15</v>
      </c>
      <c r="F15" s="8" t="str">
        <f>E15</f>
        <v>כרם עצמונה</v>
      </c>
      <c r="G15" s="8" t="s">
        <v>29</v>
      </c>
      <c r="H15" s="8">
        <v>20</v>
      </c>
      <c r="I15" s="8"/>
      <c r="J15" s="8">
        <f>ROUND(IF(טבלה2[[#This Row],[נפשות שפונו חסר]]&gt;0,H15/K15,I15*K15),3)</f>
        <v>2.41</v>
      </c>
      <c r="K15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15" s="8" t="s">
        <v>42</v>
      </c>
      <c r="M15" s="11">
        <f>IF(טבלה2[[#This Row],[נפשות שפונו חסר]]&gt;0,333536*טבלה2[[#This Row],[נפשות שפונו חסר]],טבלה2[[#This Row],[הערכת נפשות שפונו/ משפחות שפונו]]*333536)</f>
        <v>6670720</v>
      </c>
      <c r="N15" s="8">
        <v>22</v>
      </c>
      <c r="O15" s="8">
        <f>2005-טבלה2[[#This Row],[זמן קיום יישוב]]</f>
        <v>1983</v>
      </c>
      <c r="P15" s="8" t="str">
        <f>TEXT(טבלה2[[#This Row],[תאריך מלא]],"dddd")</f>
        <v>יום שבת</v>
      </c>
      <c r="Q15" s="8" t="s">
        <v>52</v>
      </c>
      <c r="R15" s="8" t="str">
        <f>VLOOKUP(E15,נושא_מרכזי4[#All], 3, FALSE)</f>
        <v>"הוקם על ידי גרעין מתיישבים, חלק מהתנועה הדתית-לאומית."</v>
      </c>
      <c r="S15" s="8" t="str">
        <f>VLOOKUP(E15,נושא_מרכזי4[#All], 2, FALSE)</f>
        <v>התחדשות</v>
      </c>
      <c r="T15" s="12">
        <f>IF(טבלה2[[#This Row],[נפשות שפונו חסר]]&gt;0,טבלה2[[#This Row],[נפשות שפונו חסר]],טבלה2[[#This Row],[הערכת נפשות שפונו/ משפחות שפונו]])</f>
        <v>20</v>
      </c>
      <c r="U15" s="12">
        <f>IF(טבלה2[[#This Row],[משפחות שפונו חסר]]&gt;0,טבלה2[[#This Row],[משפחות שפונו חסר]],טבלה2[[#This Row],[הערכת נפשות שפונו/ משפחות שפונו]])</f>
        <v>2.41</v>
      </c>
    </row>
    <row r="16" spans="1:21" x14ac:dyDescent="0.2">
      <c r="A16" s="8">
        <v>20.079999999999998</v>
      </c>
      <c r="B16" s="9" t="str" cm="1">
        <f t="array" ref="B16">INDEX(_xlfn.TEXTSPLIT(A16,"."),1) &amp; "/" &amp; INDEX(_xlfn.TEXTSPLIT(A16,"."),2)</f>
        <v>20/08</v>
      </c>
      <c r="C16" s="9">
        <f>DATE(D16, MONTH(B16),DAY(B16))</f>
        <v>38584</v>
      </c>
      <c r="D16" s="8">
        <v>2005</v>
      </c>
      <c r="E16" s="8" t="s">
        <v>17</v>
      </c>
      <c r="F16" s="8" t="str">
        <f>E16</f>
        <v>מורג</v>
      </c>
      <c r="G16" s="8" t="s">
        <v>29</v>
      </c>
      <c r="H16" s="8"/>
      <c r="I16" s="8">
        <v>29</v>
      </c>
      <c r="J16" s="8">
        <f>ROUND(IF(טבלה2[[#This Row],[נפשות שפונו חסר]]&gt;0,H16/K16,I16*K16),3)</f>
        <v>240.7</v>
      </c>
      <c r="K16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16" s="8" t="s">
        <v>42</v>
      </c>
      <c r="M16" s="11">
        <f>IF(טבלה2[[#This Row],[נפשות שפונו חסר]]&gt;0,333536*טבלה2[[#This Row],[נפשות שפונו חסר]],טבלה2[[#This Row],[הערכת נפשות שפונו/ משפחות שפונו]]*333536)</f>
        <v>80282115.200000003</v>
      </c>
      <c r="N16" s="8">
        <v>22</v>
      </c>
      <c r="O16" s="8">
        <f>2005-טבלה2[[#This Row],[זמן קיום יישוב]]</f>
        <v>1983</v>
      </c>
      <c r="P16" s="8" t="str">
        <f>TEXT(טבלה2[[#This Row],[תאריך מלא]],"dddd")</f>
        <v>יום שבת</v>
      </c>
      <c r="Q16" s="8" t="s">
        <v>51</v>
      </c>
      <c r="R16" s="8" t="str">
        <f>VLOOKUP(E16,נושא_מרכזי4[#All], 3, FALSE)</f>
        <v>"אני כואב על מה שבנינו ועשינו, שזה לא יישאר... אני לא יודע לבכות, אבל כואב לי."</v>
      </c>
      <c r="S16" s="8" t="str">
        <f>VLOOKUP(E16,נושא_מרכזי4[#All], 2, FALSE)</f>
        <v>כאב</v>
      </c>
      <c r="T16" s="12">
        <f>IF(טבלה2[[#This Row],[נפשות שפונו חסר]]&gt;0,טבלה2[[#This Row],[נפשות שפונו חסר]],טבלה2[[#This Row],[הערכת נפשות שפונו/ משפחות שפונו]])</f>
        <v>240.7</v>
      </c>
      <c r="U16" s="12">
        <f>IF(טבלה2[[#This Row],[משפחות שפונו חסר]]&gt;0,טבלה2[[#This Row],[משפחות שפונו חסר]],טבלה2[[#This Row],[הערכת נפשות שפונו/ משפחות שפונו]])</f>
        <v>29</v>
      </c>
    </row>
    <row r="17" spans="1:21" x14ac:dyDescent="0.2">
      <c r="A17" s="8">
        <v>20.079999999999998</v>
      </c>
      <c r="B17" s="9" t="str" cm="1">
        <f t="array" ref="B17">INDEX(_xlfn.TEXTSPLIT(A17,"."),1) &amp; "/" &amp; INDEX(_xlfn.TEXTSPLIT(A17,"."),2)</f>
        <v>20/08</v>
      </c>
      <c r="C17" s="9">
        <f>DATE(D17, MONTH(B17),DAY(B17))</f>
        <v>38584</v>
      </c>
      <c r="D17" s="8">
        <v>2005</v>
      </c>
      <c r="E17" s="8" t="s">
        <v>18</v>
      </c>
      <c r="F17" s="8" t="str">
        <f>E17</f>
        <v>מעוז ים</v>
      </c>
      <c r="G17" s="8" t="s">
        <v>29</v>
      </c>
      <c r="H17" s="8">
        <v>150</v>
      </c>
      <c r="I17" s="8"/>
      <c r="J17" s="8">
        <f>ROUND(IF(טבלה2[[#This Row],[נפשות שפונו חסר]]&gt;0,H17/K17,I17*K17),3)</f>
        <v>18.071999999999999</v>
      </c>
      <c r="K17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17" s="8" t="s">
        <v>42</v>
      </c>
      <c r="M17" s="11">
        <f>IF(טבלה2[[#This Row],[נפשות שפונו חסר]]&gt;0,333536*טבלה2[[#This Row],[נפשות שפונו חסר]],טבלה2[[#This Row],[הערכת נפשות שפונו/ משפחות שפונו]]*333536)</f>
        <v>50030400</v>
      </c>
      <c r="N17" s="8">
        <v>22</v>
      </c>
      <c r="O17" s="8">
        <f>2005-טבלה2[[#This Row],[זמן קיום יישוב]]</f>
        <v>1983</v>
      </c>
      <c r="P17" s="8" t="str">
        <f>TEXT(טבלה2[[#This Row],[תאריך מלא]],"dddd")</f>
        <v>יום שבת</v>
      </c>
      <c r="Q17" s="8" t="s">
        <v>53</v>
      </c>
      <c r="R17" s="8" t="str">
        <f>VLOOKUP(E17,נושא_מרכזי4[#All], 3, FALSE)</f>
        <v>"יישוב דתי-חקלאי, חלק מגוש קטיף."</v>
      </c>
      <c r="S17" s="8" t="str">
        <f>VLOOKUP(E17,נושא_מרכזי4[#All], 2, FALSE)</f>
        <v>חקלאות</v>
      </c>
      <c r="T17" s="12">
        <f>IF(טבלה2[[#This Row],[נפשות שפונו חסר]]&gt;0,טבלה2[[#This Row],[נפשות שפונו חסר]],טבלה2[[#This Row],[הערכת נפשות שפונו/ משפחות שפונו]])</f>
        <v>150</v>
      </c>
      <c r="U17" s="12">
        <f>IF(טבלה2[[#This Row],[משפחות שפונו חסר]]&gt;0,טבלה2[[#This Row],[משפחות שפונו חסר]],טבלה2[[#This Row],[הערכת נפשות שפונו/ משפחות שפונו]])</f>
        <v>18.071999999999999</v>
      </c>
    </row>
    <row r="18" spans="1:21" x14ac:dyDescent="0.2">
      <c r="A18" s="8">
        <v>19.079999999999998</v>
      </c>
      <c r="B18" s="9" t="str" cm="1">
        <f t="array" ref="B18">INDEX(_xlfn.TEXTSPLIT(A18,"."),1) &amp; "/" &amp; INDEX(_xlfn.TEXTSPLIT(A18,"."),2)</f>
        <v>19/08</v>
      </c>
      <c r="C18" s="9">
        <f>DATE(D18, MONTH(B18),DAY(B18))</f>
        <v>38583</v>
      </c>
      <c r="D18" s="8">
        <v>2005</v>
      </c>
      <c r="E18" s="8" t="s">
        <v>13</v>
      </c>
      <c r="F18" s="8" t="str">
        <f>E18</f>
        <v>נווה דקלים</v>
      </c>
      <c r="G18" s="8" t="s">
        <v>29</v>
      </c>
      <c r="H18" s="8"/>
      <c r="I18" s="8">
        <v>500</v>
      </c>
      <c r="J18" s="8">
        <f>ROUND(IF(טבלה2[[#This Row],[נפשות שפונו חסר]]&gt;0,H18/K18,I18*K18),3)</f>
        <v>4150</v>
      </c>
      <c r="K18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18" s="8" t="s">
        <v>42</v>
      </c>
      <c r="M18" s="11">
        <f>IF(טבלה2[[#This Row],[נפשות שפונו חסר]]&gt;0,333536*טבלה2[[#This Row],[נפשות שפונו חסר]],טבלה2[[#This Row],[הערכת נפשות שפונו/ משפחות שפונו]]*333536)</f>
        <v>1384174400</v>
      </c>
      <c r="N18" s="8">
        <v>22</v>
      </c>
      <c r="O18" s="8">
        <f>2005-טבלה2[[#This Row],[זמן קיום יישוב]]</f>
        <v>1983</v>
      </c>
      <c r="P18" s="8" t="str">
        <f>TEXT(טבלה2[[#This Row],[תאריך מלא]],"dddd")</f>
        <v>יום שישי</v>
      </c>
      <c r="Q18" s="8" t="s">
        <v>53</v>
      </c>
      <c r="R18" s="8" t="str">
        <f>VLOOKUP(E18,נושא_מרכזי4[#All], 3, FALSE)</f>
        <v>"הדיבור על הוצאת הקברים מעצים אצל כל משפחה את הכאב... אנחנו לא רוצים להיות חלוצים שוב."</v>
      </c>
      <c r="S18" s="8" t="s">
        <v>102</v>
      </c>
      <c r="T18" s="12">
        <f>IF(טבלה2[[#This Row],[נפשות שפונו חסר]]&gt;0,טבלה2[[#This Row],[נפשות שפונו חסר]],טבלה2[[#This Row],[הערכת נפשות שפונו/ משפחות שפונו]])</f>
        <v>4150</v>
      </c>
      <c r="U18" s="12">
        <f>IF(טבלה2[[#This Row],[משפחות שפונו חסר]]&gt;0,טבלה2[[#This Row],[משפחות שפונו חסר]],טבלה2[[#This Row],[הערכת נפשות שפונו/ משפחות שפונו]])</f>
        <v>500</v>
      </c>
    </row>
    <row r="19" spans="1:21" x14ac:dyDescent="0.2">
      <c r="A19" s="8">
        <v>18.079999999999998</v>
      </c>
      <c r="B19" s="9" t="str" cm="1">
        <f t="array" ref="B19">INDEX(_xlfn.TEXTSPLIT(A19,"."),1) &amp; "/" &amp; INDEX(_xlfn.TEXTSPLIT(A19,"."),2)</f>
        <v>18/08</v>
      </c>
      <c r="C19" s="9">
        <f>DATE(D19, MONTH(B19),DAY(B19))</f>
        <v>38582</v>
      </c>
      <c r="D19" s="8">
        <v>2005</v>
      </c>
      <c r="E19" s="8" t="s">
        <v>7</v>
      </c>
      <c r="F19" s="8" t="s">
        <v>7</v>
      </c>
      <c r="G19" s="8" t="s">
        <v>32</v>
      </c>
      <c r="H19" s="8"/>
      <c r="I19" s="8">
        <v>300</v>
      </c>
      <c r="J19" s="8">
        <f>ROUND(IF(טבלה2[[#This Row],[נפשות שפונו חסר]]&gt;0,H19/K19,I19*K19),3)</f>
        <v>1680</v>
      </c>
      <c r="K19" s="8">
        <f>IF(טבלה2[[#This Row],[אזור]]="גוש קטיף",8.3,IF(טבלה2[[#This Row],[אזור]]="צפון השומרון",6.8,IF(טבלה2[[#This Row],[אזור]]="התוחמת הצפונית",5.6,"")))</f>
        <v>5.6</v>
      </c>
      <c r="L19" s="8" t="s">
        <v>42</v>
      </c>
      <c r="M19" s="11">
        <f>IF(טבלה2[[#This Row],[נפשות שפונו חסר]]&gt;0,333536*טבלה2[[#This Row],[נפשות שפונו חסר]],טבלה2[[#This Row],[הערכת נפשות שפונו/ משפחות שפונו]]*333536)</f>
        <v>560340480</v>
      </c>
      <c r="N19" s="8">
        <v>16</v>
      </c>
      <c r="O19" s="8">
        <f>2005-טבלה2[[#This Row],[זמן קיום יישוב]]</f>
        <v>1989</v>
      </c>
      <c r="P19" s="8" t="str">
        <f>TEXT(טבלה2[[#This Row],[תאריך מלא]],"dddd")</f>
        <v>יום חמישי</v>
      </c>
      <c r="Q19" s="8" t="s">
        <v>53</v>
      </c>
      <c r="R19" s="8" t="str">
        <f>VLOOKUP(E19,נושא_מרכזי4[#All], 3, FALSE)</f>
        <v>"אני לא מצליח להפעיל את עצמי כמו פעם... אין לי כוח לעבור, מי יהיו השכנים שלי."</v>
      </c>
      <c r="S19" s="8" t="str">
        <f>VLOOKUP(E19,נושא_מרכזי4[#All], 2, FALSE)</f>
        <v>דיכאון</v>
      </c>
      <c r="T19" s="12">
        <f>IF(טבלה2[[#This Row],[נפשות שפונו חסר]]&gt;0,טבלה2[[#This Row],[נפשות שפונו חסר]],טבלה2[[#This Row],[הערכת נפשות שפונו/ משפחות שפונו]])</f>
        <v>1680</v>
      </c>
      <c r="U19" s="12">
        <f>IF(טבלה2[[#This Row],[משפחות שפונו חסר]]&gt;0,טבלה2[[#This Row],[משפחות שפונו חסר]],טבלה2[[#This Row],[הערכת נפשות שפונו/ משפחות שפונו]])</f>
        <v>300</v>
      </c>
    </row>
    <row r="20" spans="1:21" x14ac:dyDescent="0.2">
      <c r="A20" s="8">
        <v>17.079999999999998</v>
      </c>
      <c r="B20" s="9" t="str" cm="1">
        <f t="array" ref="B20">INDEX(_xlfn.TEXTSPLIT(A20,"."),1) &amp; "/" &amp; INDEX(_xlfn.TEXTSPLIT(A20,"."),2)</f>
        <v>17/08</v>
      </c>
      <c r="C20" s="9">
        <f>DATE(D20, MONTH(B20),DAY(B20))</f>
        <v>38581</v>
      </c>
      <c r="D20" s="8">
        <v>2005</v>
      </c>
      <c r="E20" s="8" t="s">
        <v>10</v>
      </c>
      <c r="F20" s="8" t="s">
        <v>10</v>
      </c>
      <c r="G20" s="8" t="s">
        <v>29</v>
      </c>
      <c r="H20" s="8">
        <v>400</v>
      </c>
      <c r="I20" s="8"/>
      <c r="J20" s="8">
        <f>ROUND(IF(טבלה2[[#This Row],[נפשות שפונו חסר]]&gt;0,H20/K20,I20*K20),3)</f>
        <v>48.192999999999998</v>
      </c>
      <c r="K20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20" s="8" t="s">
        <v>42</v>
      </c>
      <c r="M20" s="11">
        <f>IF(טבלה2[[#This Row],[נפשות שפונו חסר]]&gt;0,333536*טבלה2[[#This Row],[נפשות שפונו חסר]],טבלה2[[#This Row],[הערכת נפשות שפונו/ משפחות שפונו]]*333536)</f>
        <v>133414400</v>
      </c>
      <c r="N20" s="8">
        <v>23</v>
      </c>
      <c r="O20" s="8">
        <f>2005-טבלה2[[#This Row],[זמן קיום יישוב]]</f>
        <v>1982</v>
      </c>
      <c r="P20" s="8" t="str">
        <f>TEXT(טבלה2[[#This Row],[תאריך מלא]],"dddd")</f>
        <v>יום רביעי</v>
      </c>
      <c r="Q20" s="8" t="s">
        <v>51</v>
      </c>
      <c r="R20" s="8" t="str">
        <f>VLOOKUP(E20,נושא_מרכזי4[#All], 3, FALSE)</f>
        <v>"הוקם כהיאחזות נח"ל בשם 'גדיש', שונה ל'נצר חזני' ב-1977."</v>
      </c>
      <c r="S20" s="8" t="str">
        <f>VLOOKUP(E20,נושא_מרכזי4[#All], 2, FALSE)</f>
        <v>היסטוריה</v>
      </c>
      <c r="T20" s="12">
        <f>IF(טבלה2[[#This Row],[נפשות שפונו חסר]]&gt;0,טבלה2[[#This Row],[נפשות שפונו חסר]],טבלה2[[#This Row],[הערכת נפשות שפונו/ משפחות שפונו]])</f>
        <v>400</v>
      </c>
      <c r="U20" s="12">
        <f>IF(טבלה2[[#This Row],[משפחות שפונו חסר]]&gt;0,טבלה2[[#This Row],[משפחות שפונו חסר]],טבלה2[[#This Row],[הערכת נפשות שפונו/ משפחות שפונו]])</f>
        <v>48.192999999999998</v>
      </c>
    </row>
    <row r="21" spans="1:21" x14ac:dyDescent="0.2">
      <c r="A21" s="8">
        <v>18.079999999999998</v>
      </c>
      <c r="B21" s="9" t="str" cm="1">
        <f t="array" ref="B21">INDEX(_xlfn.TEXTSPLIT(A21,"."),1) &amp; "/" &amp; INDEX(_xlfn.TEXTSPLIT(A21,"."),2)</f>
        <v>18/08</v>
      </c>
      <c r="C21" s="9">
        <f>DATE(D21, MONTH(B21),DAY(B21))</f>
        <v>38582</v>
      </c>
      <c r="D21" s="8">
        <v>2005</v>
      </c>
      <c r="E21" s="8" t="s">
        <v>11</v>
      </c>
      <c r="F21" s="8" t="s">
        <v>11</v>
      </c>
      <c r="G21" s="8" t="s">
        <v>39</v>
      </c>
      <c r="H21" s="8">
        <v>400</v>
      </c>
      <c r="I21" s="8"/>
      <c r="J21" s="8">
        <f>ROUND(IF(טבלה2[[#This Row],[נפשות שפונו חסר]]&gt;0,H21/K21,I21*K21),3)</f>
        <v>66.667000000000002</v>
      </c>
      <c r="K21" s="8">
        <v>6</v>
      </c>
      <c r="L21" s="8" t="s">
        <v>42</v>
      </c>
      <c r="M21" s="11">
        <f>IF(טבלה2[[#This Row],[נפשות שפונו חסר]]&gt;0,333536*טבלה2[[#This Row],[נפשות שפונו חסר]],טבלה2[[#This Row],[הערכת נפשות שפונו/ משפחות שפונו]]*333536)</f>
        <v>133414400</v>
      </c>
      <c r="N21" s="8">
        <v>22</v>
      </c>
      <c r="O21" s="8">
        <f>2005-טבלה2[[#This Row],[זמן קיום יישוב]]</f>
        <v>1983</v>
      </c>
      <c r="P21" s="8" t="str">
        <f>TEXT(טבלה2[[#This Row],[תאריך מלא]],"dddd")</f>
        <v>יום חמישי</v>
      </c>
      <c r="Q21" s="8" t="s">
        <v>51</v>
      </c>
      <c r="R21" s="8" t="str">
        <f>VLOOKUP(E21,נושא_מרכזי4[#All], 3, FALSE)</f>
        <v>"הוקם כהיאחזות נח"ל והתרחב ליישוב קהילתי דתי."</v>
      </c>
      <c r="S21" s="8" t="str">
        <f>VLOOKUP(E21,נושא_מרכזי4[#All], 2, FALSE)</f>
        <v>התחדשות</v>
      </c>
      <c r="T21" s="12">
        <f>IF(טבלה2[[#This Row],[נפשות שפונו חסר]]&gt;0,טבלה2[[#This Row],[נפשות שפונו חסר]],טבלה2[[#This Row],[הערכת נפשות שפונו/ משפחות שפונו]])</f>
        <v>400</v>
      </c>
      <c r="U21" s="12">
        <f>IF(טבלה2[[#This Row],[משפחות שפונו חסר]]&gt;0,טבלה2[[#This Row],[משפחות שפונו חסר]],טבלה2[[#This Row],[הערכת נפשות שפונו/ משפחות שפונו]])</f>
        <v>66.667000000000002</v>
      </c>
    </row>
    <row r="22" spans="1:21" x14ac:dyDescent="0.2">
      <c r="A22" s="8">
        <v>22.8</v>
      </c>
      <c r="B22" s="9" t="str" cm="1">
        <f t="array" ref="B22">INDEX(_xlfn.TEXTSPLIT(A22,"."),1) &amp; "/" &amp; INDEX(_xlfn.TEXTSPLIT(A22,"."),2)</f>
        <v>22/8</v>
      </c>
      <c r="C22" s="9">
        <f>DATE(D22, MONTH(B22),DAY(B22))</f>
        <v>38586</v>
      </c>
      <c r="D22" s="8">
        <v>2005</v>
      </c>
      <c r="E22" s="8" t="s">
        <v>24</v>
      </c>
      <c r="F22" s="8" t="str">
        <f>E22</f>
        <v>פאת שדה</v>
      </c>
      <c r="G22" s="8" t="s">
        <v>29</v>
      </c>
      <c r="H22" s="8">
        <v>110</v>
      </c>
      <c r="I22" s="8"/>
      <c r="J22" s="8">
        <f>ROUND(IF(טבלה2[[#This Row],[נפשות שפונו חסר]]&gt;0,H22/K22,I22*K22),3)</f>
        <v>13.253</v>
      </c>
      <c r="K22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22" s="8" t="s">
        <v>42</v>
      </c>
      <c r="M22" s="11">
        <f>IF(טבלה2[[#This Row],[נפשות שפונו חסר]]&gt;0,333536*טבלה2[[#This Row],[נפשות שפונו חסר]],טבלה2[[#This Row],[הערכת נפשות שפונו/ משפחות שפונו]]*333536)</f>
        <v>36688960</v>
      </c>
      <c r="N22" s="8">
        <v>22</v>
      </c>
      <c r="O22" s="8">
        <f>2005-טבלה2[[#This Row],[זמן קיום יישוב]]</f>
        <v>1983</v>
      </c>
      <c r="P22" s="8" t="str">
        <f>TEXT(טבלה2[[#This Row],[תאריך מלא]],"dddd")</f>
        <v>יום שני</v>
      </c>
      <c r="Q22" s="8" t="s">
        <v>53</v>
      </c>
      <c r="R22" s="8" t="str">
        <f>VLOOKUP(E22,נושא_מרכזי4[#All], 3, FALSE)</f>
        <v>"יישוב דתי בגוש קטיף, הוקם על ידי גרעין מתיישבים דתיים."</v>
      </c>
      <c r="S22" s="8" t="str">
        <f>VLOOKUP(E22,נושא_מרכזי4[#All], 2, FALSE)</f>
        <v>קהילתיות</v>
      </c>
      <c r="T22" s="12">
        <f>IF(טבלה2[[#This Row],[נפשות שפונו חסר]]&gt;0,טבלה2[[#This Row],[נפשות שפונו חסר]],טבלה2[[#This Row],[הערכת נפשות שפונו/ משפחות שפונו]])</f>
        <v>110</v>
      </c>
      <c r="U22" s="12">
        <f>IF(טבלה2[[#This Row],[משפחות שפונו חסר]]&gt;0,טבלה2[[#This Row],[משפחות שפונו חסר]],טבלה2[[#This Row],[הערכת נפשות שפונו/ משפחות שפונו]])</f>
        <v>13.253</v>
      </c>
    </row>
    <row r="23" spans="1:21" x14ac:dyDescent="0.2">
      <c r="A23" s="8">
        <v>22.8</v>
      </c>
      <c r="B23" s="9" t="str" cm="1">
        <f t="array" ref="B23">INDEX(_xlfn.TEXTSPLIT(A23,"."),1) &amp; "/" &amp; INDEX(_xlfn.TEXTSPLIT(A23,"."),2)</f>
        <v>22/8</v>
      </c>
      <c r="C23" s="9">
        <f>DATE(D23, MONTH(B23),DAY(B23))</f>
        <v>38586</v>
      </c>
      <c r="D23" s="8">
        <v>2005</v>
      </c>
      <c r="E23" s="8" t="s">
        <v>23</v>
      </c>
      <c r="F23" s="8" t="str">
        <f>E23</f>
        <v>קטיף</v>
      </c>
      <c r="G23" s="8" t="s">
        <v>29</v>
      </c>
      <c r="H23" s="8">
        <v>330</v>
      </c>
      <c r="I23" s="8"/>
      <c r="J23" s="8">
        <f>ROUND(IF(טבלה2[[#This Row],[נפשות שפונו חסר]]&gt;0,H23/K23,I23*K23),3)</f>
        <v>39.759</v>
      </c>
      <c r="K23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23" s="8" t="s">
        <v>42</v>
      </c>
      <c r="M23" s="11">
        <f>IF(טבלה2[[#This Row],[נפשות שפונו חסר]]&gt;0,333536*טבלה2[[#This Row],[נפשות שפונו חסר]],טבלה2[[#This Row],[הערכת נפשות שפונו/ משפחות שפונו]]*333536)</f>
        <v>110066880</v>
      </c>
      <c r="N23" s="8">
        <v>23</v>
      </c>
      <c r="O23" s="8">
        <f>2005-טבלה2[[#This Row],[זמן קיום יישוב]]</f>
        <v>1982</v>
      </c>
      <c r="P23" s="8" t="str">
        <f>TEXT(טבלה2[[#This Row],[תאריך מלא]],"dddd")</f>
        <v>יום שני</v>
      </c>
      <c r="Q23" s="8" t="s">
        <v>53</v>
      </c>
      <c r="R23" s="8" t="str">
        <f>VLOOKUP(E23,נושא_מרכזי4[#All], 3, FALSE)</f>
        <v>"היאחזות נח"ל, הוקם במסגרת תוכנית 'חמש האצבעות'."</v>
      </c>
      <c r="S23" s="8" t="str">
        <f>VLOOKUP(E23,נושא_מרכזי4[#All], 2, FALSE)</f>
        <v>היסטוריה</v>
      </c>
      <c r="T23" s="12">
        <f>IF(טבלה2[[#This Row],[נפשות שפונו חסר]]&gt;0,טבלה2[[#This Row],[נפשות שפונו חסר]],טבלה2[[#This Row],[הערכת נפשות שפונו/ משפחות שפונו]])</f>
        <v>330</v>
      </c>
      <c r="U23" s="12">
        <f>IF(טבלה2[[#This Row],[משפחות שפונו חסר]]&gt;0,טבלה2[[#This Row],[משפחות שפונו חסר]],טבלה2[[#This Row],[הערכת נפשות שפונו/ משפחות שפונו]])</f>
        <v>39.759</v>
      </c>
    </row>
    <row r="24" spans="1:21" x14ac:dyDescent="0.2">
      <c r="A24" s="8">
        <v>21.8</v>
      </c>
      <c r="B24" s="9" t="str" cm="1">
        <f t="array" ref="B24">INDEX(_xlfn.TEXTSPLIT(A24,"."),1) &amp; "/" &amp; INDEX(_xlfn.TEXTSPLIT(A24,"."),2)</f>
        <v>21/8</v>
      </c>
      <c r="C24" s="9">
        <f>DATE(D24, MONTH(B24),DAY(B24))</f>
        <v>38585</v>
      </c>
      <c r="D24" s="8">
        <v>2005</v>
      </c>
      <c r="E24" s="8" t="s">
        <v>20</v>
      </c>
      <c r="F24" s="8" t="s">
        <v>21</v>
      </c>
      <c r="G24" s="8" t="s">
        <v>29</v>
      </c>
      <c r="H24" s="8"/>
      <c r="I24" s="8">
        <v>25</v>
      </c>
      <c r="J24" s="8">
        <f>ROUND(IF(טבלה2[[#This Row],[נפשות שפונו חסר]]&gt;0,H24/K24,I24*K24),3)</f>
        <v>207.5</v>
      </c>
      <c r="K24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24" s="8" t="s">
        <v>42</v>
      </c>
      <c r="M24" s="11">
        <f>IF(טבלה2[[#This Row],[נפשות שפונו חסר]]&gt;0,333536*טבלה2[[#This Row],[נפשות שפונו חסר]],טבלה2[[#This Row],[הערכת נפשות שפונו/ משפחות שפונו]]*333536)</f>
        <v>69208720</v>
      </c>
      <c r="N24" s="8">
        <v>22</v>
      </c>
      <c r="O24" s="8">
        <f>2005-טבלה2[[#This Row],[זמן קיום יישוב]]</f>
        <v>1983</v>
      </c>
      <c r="P24" s="8" t="str">
        <f>TEXT(טבלה2[[#This Row],[תאריך מלא]],"dddd")</f>
        <v>יום ראשון</v>
      </c>
      <c r="Q24" s="8" t="s">
        <v>53</v>
      </c>
      <c r="R24" s="8" t="str">
        <f>VLOOKUP(E24,נושא_מרכזי4[#All], 3, FALSE)</f>
        <v>"אני חרד מזה שאני אלך לעיר אחרת ומוצא את עצמי בשכונה שלא מתאימה לי... חלמתי שהחיילים לוקחים אותי."</v>
      </c>
      <c r="S24" s="8" t="s">
        <v>97</v>
      </c>
      <c r="T24" s="12">
        <f>IF(טבלה2[[#This Row],[נפשות שפונו חסר]]&gt;0,טבלה2[[#This Row],[נפשות שפונו חסר]],טבלה2[[#This Row],[הערכת נפשות שפונו/ משפחות שפונו]])</f>
        <v>207.5</v>
      </c>
      <c r="U24" s="12">
        <f>IF(טבלה2[[#This Row],[משפחות שפונו חסר]]&gt;0,טבלה2[[#This Row],[משפחות שפונו חסר]],טבלה2[[#This Row],[הערכת נפשות שפונו/ משפחות שפונו]])</f>
        <v>25</v>
      </c>
    </row>
    <row r="25" spans="1:21" x14ac:dyDescent="0.2">
      <c r="A25" s="8">
        <v>23.8</v>
      </c>
      <c r="B25" s="9" t="str" cm="1">
        <f t="array" ref="B25">INDEX(_xlfn.TEXTSPLIT(A25,"."),1) &amp; "/" &amp; INDEX(_xlfn.TEXTSPLIT(A25,"."),2)</f>
        <v>23/8</v>
      </c>
      <c r="C25" s="9">
        <f>DATE(D25, MONTH(B25),DAY(B25))</f>
        <v>38587</v>
      </c>
      <c r="D25" s="8">
        <v>2005</v>
      </c>
      <c r="E25" s="8" t="s">
        <v>127</v>
      </c>
      <c r="F25" s="8" t="s">
        <v>127</v>
      </c>
      <c r="G25" s="8" t="s">
        <v>40</v>
      </c>
      <c r="H25" s="8"/>
      <c r="I25" s="8">
        <v>15</v>
      </c>
      <c r="J25" s="8">
        <f>ROUND(IF(טבלה2[[#This Row],[נפשות שפונו חסר]]&gt;0,H25/K25,I25*K25),3)</f>
        <v>102</v>
      </c>
      <c r="K25" s="8">
        <f>IF(טבלה2[[#This Row],[אזור]]="גוש קטיף",8.3,IF(טבלה2[[#This Row],[אזור]]="צפון השומרון",6.8,IF(טבלה2[[#This Row],[אזור]]="התוחמת הצפונית",5.6,"")))</f>
        <v>6.8</v>
      </c>
      <c r="L25" s="8" t="s">
        <v>42</v>
      </c>
      <c r="M25" s="11">
        <f>IF(טבלה2[[#This Row],[נפשות שפונו חסר]]&gt;0,333536*טבלה2[[#This Row],[נפשות שפונו חסר]],טבלה2[[#This Row],[הערכת נפשות שפונו/ משפחות שפונו]]*333536)</f>
        <v>34020672</v>
      </c>
      <c r="N25" s="8">
        <v>22</v>
      </c>
      <c r="O25" s="8">
        <f>2005-טבלה2[[#This Row],[זמן קיום יישוב]]</f>
        <v>1983</v>
      </c>
      <c r="P25" s="8" t="str">
        <f>TEXT(טבלה2[[#This Row],[תאריך מלא]],"dddd")</f>
        <v>יום שלישי</v>
      </c>
      <c r="Q25" s="8" t="s">
        <v>53</v>
      </c>
      <c r="R25" s="8" t="str">
        <f>VLOOKUP(E25,נושא_מרכזי4[#All], 3, FALSE)</f>
        <v>"יישוב דתי בצפון השומרון, הוקם על ידי גרעין בני עקיבא ותנועת אמנה."</v>
      </c>
      <c r="S25" s="8" t="str">
        <f>VLOOKUP(E25,נושא_מרכזי4[#All], 2, FALSE)</f>
        <v>קהילתיות</v>
      </c>
      <c r="T25" s="12">
        <f>IF(טבלה2[[#This Row],[נפשות שפונו חסר]]&gt;0,טבלה2[[#This Row],[נפשות שפונו חסר]],טבלה2[[#This Row],[הערכת נפשות שפונו/ משפחות שפונו]])</f>
        <v>102</v>
      </c>
      <c r="U25" s="12">
        <f>IF(טבלה2[[#This Row],[משפחות שפונו חסר]]&gt;0,טבלה2[[#This Row],[משפחות שפונו חסר]],טבלה2[[#This Row],[הערכת נפשות שפונו/ משפחות שפונו]])</f>
        <v>15</v>
      </c>
    </row>
    <row r="26" spans="1:21" x14ac:dyDescent="0.2">
      <c r="A26" s="8">
        <v>21.8</v>
      </c>
      <c r="B26" s="9" t="str" cm="1">
        <f t="array" ref="B26">INDEX(_xlfn.TEXTSPLIT(A26,"."),1) &amp; "/" &amp; INDEX(_xlfn.TEXTSPLIT(A26,"."),2)</f>
        <v>21/8</v>
      </c>
      <c r="C26" s="9">
        <f>DATE(D26, MONTH(B26),DAY(B26))</f>
        <v>38585</v>
      </c>
      <c r="D26" s="8">
        <v>2005</v>
      </c>
      <c r="E26" s="8" t="s">
        <v>110</v>
      </c>
      <c r="F26" s="8" t="s">
        <v>110</v>
      </c>
      <c r="G26" s="8" t="s">
        <v>29</v>
      </c>
      <c r="H26" s="8"/>
      <c r="I26" s="8">
        <v>16</v>
      </c>
      <c r="J26" s="8">
        <f>ROUND(IF(טבלה2[[#This Row],[נפשות שפונו חסר]]&gt;0,H26/K26,I26*K26),3)</f>
        <v>132.80000000000001</v>
      </c>
      <c r="K26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26" s="8" t="s">
        <v>42</v>
      </c>
      <c r="M26" s="11">
        <f>IF(טבלה2[[#This Row],[נפשות שפונו חסר]]&gt;0,333536*טבלה2[[#This Row],[נפשות שפונו חסר]],טבלה2[[#This Row],[הערכת נפשות שפונו/ משפחות שפונו]]*333536)</f>
        <v>44293580.800000004</v>
      </c>
      <c r="N26" s="8">
        <v>22</v>
      </c>
      <c r="O26" s="8">
        <f>2005-טבלה2[[#This Row],[זמן קיום יישוב]]</f>
        <v>1983</v>
      </c>
      <c r="P26" s="8" t="str">
        <f>TEXT(טבלה2[[#This Row],[תאריך מלא]],"dddd")</f>
        <v>יום ראשון</v>
      </c>
      <c r="Q26" s="8" t="s">
        <v>53</v>
      </c>
      <c r="R26" s="8" t="str">
        <f>VLOOKUP(E26,נושא_מרכזי4[#All], 3, FALSE)</f>
        <v>"יישוב דתי, הוקם במסגרת תנועת אמנה."</v>
      </c>
      <c r="S26" s="8" t="s">
        <v>58</v>
      </c>
      <c r="T26" s="12">
        <f>IF(טבלה2[[#This Row],[נפשות שפונו חסר]]&gt;0,טבלה2[[#This Row],[נפשות שפונו חסר]],טבלה2[[#This Row],[הערכת נפשות שפונו/ משפחות שפונו]])</f>
        <v>132.80000000000001</v>
      </c>
      <c r="U26" s="12">
        <f>IF(טבלה2[[#This Row],[משפחות שפונו חסר]]&gt;0,טבלה2[[#This Row],[משפחות שפונו חסר]],טבלה2[[#This Row],[הערכת נפשות שפונו/ משפחות שפונו]])</f>
        <v>16</v>
      </c>
    </row>
    <row r="27" spans="1:21" x14ac:dyDescent="0.2">
      <c r="A27" s="8">
        <v>21.8</v>
      </c>
      <c r="B27" s="9" t="str" cm="1">
        <f t="array" ref="B27">INDEX(_xlfn.TEXTSPLIT(A27,"."),1) &amp; "/" &amp; INDEX(_xlfn.TEXTSPLIT(A27,"."),2)</f>
        <v>21/8</v>
      </c>
      <c r="C27" s="9">
        <f>DATE(D27, MONTH(B27),DAY(B27))</f>
        <v>38585</v>
      </c>
      <c r="D27" s="8">
        <v>2005</v>
      </c>
      <c r="E27" s="8" t="s">
        <v>28</v>
      </c>
      <c r="F27" s="8" t="str">
        <f>E27</f>
        <v>שליו</v>
      </c>
      <c r="G27" s="8" t="s">
        <v>29</v>
      </c>
      <c r="H27" s="8"/>
      <c r="I27" s="8">
        <v>11</v>
      </c>
      <c r="J27" s="8">
        <f>ROUND(IF(טבלה2[[#This Row],[נפשות שפונו חסר]]&gt;0,H27/K27,I27*K27),3)</f>
        <v>91.3</v>
      </c>
      <c r="K27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27" s="8" t="s">
        <v>42</v>
      </c>
      <c r="M27" s="11">
        <f>IF(טבלה2[[#This Row],[נפשות שפונו חסר]]&gt;0,333536*טבלה2[[#This Row],[נפשות שפונו חסר]],טבלה2[[#This Row],[הערכת נפשות שפונו/ משפחות שפונו]]*333536)</f>
        <v>30451836.800000001</v>
      </c>
      <c r="N27" s="8">
        <v>22</v>
      </c>
      <c r="O27" s="8">
        <f>2005-טבלה2[[#This Row],[זמן קיום יישוב]]</f>
        <v>1983</v>
      </c>
      <c r="P27" s="8" t="str">
        <f>TEXT(טבלה2[[#This Row],[תאריך מלא]],"dddd")</f>
        <v>יום ראשון</v>
      </c>
      <c r="Q27" s="8" t="s">
        <v>53</v>
      </c>
      <c r="R27" s="8" t="str">
        <f>VLOOKUP(E27,נושא_מרכזי4[#All], 3, FALSE)</f>
        <v>"יישוב דתי בגוש קטיף, הוקם על ידי גרעין מתיישבים דתיים."</v>
      </c>
      <c r="S27" s="8" t="s">
        <v>58</v>
      </c>
      <c r="T27" s="12">
        <f>IF(טבלה2[[#This Row],[נפשות שפונו חסר]]&gt;0,טבלה2[[#This Row],[נפשות שפונו חסר]],טבלה2[[#This Row],[הערכת נפשות שפונו/ משפחות שפונו]])</f>
        <v>91.3</v>
      </c>
      <c r="U27" s="12">
        <f>IF(טבלה2[[#This Row],[משפחות שפונו חסר]]&gt;0,טבלה2[[#This Row],[משפחות שפונו חסר]],טבלה2[[#This Row],[הערכת נפשות שפונו/ משפחות שפונו]])</f>
        <v>11</v>
      </c>
    </row>
    <row r="28" spans="1:21" x14ac:dyDescent="0.2">
      <c r="A28" s="8">
        <v>21.8</v>
      </c>
      <c r="B28" s="9" t="str" cm="1">
        <f t="array" ref="B28">INDEX(_xlfn.TEXTSPLIT(A28,"."),1) &amp; "/" &amp; INDEX(_xlfn.TEXTSPLIT(A28,"."),2)</f>
        <v>21/8</v>
      </c>
      <c r="C28" s="9">
        <f>DATE(D28, MONTH(B28),DAY(B28))</f>
        <v>38585</v>
      </c>
      <c r="D28" s="8">
        <v>2005</v>
      </c>
      <c r="E28" s="8" t="s">
        <v>22</v>
      </c>
      <c r="F28" s="8" t="str">
        <f>E28</f>
        <v>תל קטיפא</v>
      </c>
      <c r="G28" s="8" t="s">
        <v>29</v>
      </c>
      <c r="H28" s="8"/>
      <c r="I28" s="8">
        <v>15</v>
      </c>
      <c r="J28" s="8">
        <f>ROUND(IF(טבלה2[[#This Row],[נפשות שפונו חסר]]&gt;0,H28/K28,I28*K28),3)</f>
        <v>124.5</v>
      </c>
      <c r="K28" s="8">
        <f>IF(טבלה2[[#This Row],[אזור]]="גוש קטיף",8.3,IF(טבלה2[[#This Row],[אזור]]="צפון השומרון",6.8,IF(טבלה2[[#This Row],[אזור]]="התוחמת הצפונית",5.6,"")))</f>
        <v>8.3000000000000007</v>
      </c>
      <c r="L28" s="8" t="s">
        <v>42</v>
      </c>
      <c r="M28" s="11">
        <f>IF(טבלה2[[#This Row],[נפשות שפונו חסר]]&gt;0,333536*טבלה2[[#This Row],[נפשות שפונו חסר]],טבלה2[[#This Row],[הערכת נפשות שפונו/ משפחות שפונו]]*333536)</f>
        <v>41525232</v>
      </c>
      <c r="N28" s="8">
        <v>22</v>
      </c>
      <c r="O28" s="8">
        <f>2005-טבלה2[[#This Row],[זמן קיום יישוב]]</f>
        <v>1983</v>
      </c>
      <c r="P28" s="8" t="str">
        <f>TEXT(טבלה2[[#This Row],[תאריך מלא]],"dddd")</f>
        <v>יום ראשון</v>
      </c>
      <c r="Q28" s="8" t="s">
        <v>53</v>
      </c>
      <c r="R28" s="8" t="str">
        <f>VLOOKUP(E28,נושא_מרכזי4[#All], 3, FALSE)</f>
        <v>"יישוב דתי-חקלאי, חלק מגוש קטיף."</v>
      </c>
      <c r="S28" s="8" t="s">
        <v>58</v>
      </c>
      <c r="T28" s="12">
        <f>IF(טבלה2[[#This Row],[נפשות שפונו חסר]]&gt;0,טבלה2[[#This Row],[נפשות שפונו חסר]],טבלה2[[#This Row],[הערכת נפשות שפונו/ משפחות שפונו]])</f>
        <v>124.5</v>
      </c>
      <c r="U28" s="12">
        <f>IF(טבלה2[[#This Row],[משפחות שפונו חסר]]&gt;0,טבלה2[[#This Row],[משפחות שפונו חסר]],טבלה2[[#This Row],[הערכת נפשות שפונו/ משפחות שפונו]])</f>
        <v>15</v>
      </c>
    </row>
    <row r="31" spans="1:21" x14ac:dyDescent="0.2">
      <c r="D31" s="2"/>
      <c r="E31" s="1"/>
    </row>
    <row r="32" spans="1:21" x14ac:dyDescent="0.2">
      <c r="H32" s="4"/>
      <c r="I32" s="3"/>
    </row>
    <row r="34" spans="9:39" x14ac:dyDescent="0.2">
      <c r="I34" s="6" t="s">
        <v>54</v>
      </c>
    </row>
    <row r="42" spans="9:39" x14ac:dyDescent="0.2">
      <c r="AJ42" s="7"/>
      <c r="AK42" s="7"/>
      <c r="AL42" s="7"/>
      <c r="AM42" s="7"/>
    </row>
    <row r="43" spans="9:39" x14ac:dyDescent="0.2">
      <c r="AJ43" s="7"/>
      <c r="AK43" s="7"/>
    </row>
    <row r="44" spans="9:39" x14ac:dyDescent="0.2">
      <c r="AJ44" s="7"/>
      <c r="AK44" s="7"/>
    </row>
    <row r="45" spans="9:39" x14ac:dyDescent="0.2">
      <c r="AJ45" s="7"/>
      <c r="AK45" s="7"/>
    </row>
    <row r="46" spans="9:39" x14ac:dyDescent="0.2">
      <c r="AJ46" s="7"/>
      <c r="AK46" s="7"/>
    </row>
    <row r="47" spans="9:39" x14ac:dyDescent="0.2">
      <c r="AJ47" s="7"/>
      <c r="AK47" s="7"/>
    </row>
    <row r="48" spans="9:39" x14ac:dyDescent="0.2">
      <c r="AJ48" s="7"/>
      <c r="AK48" s="7"/>
    </row>
    <row r="49" spans="36:37" x14ac:dyDescent="0.2">
      <c r="AJ49" s="7"/>
      <c r="AK49" s="7"/>
    </row>
    <row r="50" spans="36:37" x14ac:dyDescent="0.2">
      <c r="AJ50" s="7"/>
      <c r="AK50" s="7"/>
    </row>
    <row r="51" spans="36:37" x14ac:dyDescent="0.2">
      <c r="AJ51" s="7"/>
      <c r="AK51" s="7"/>
    </row>
    <row r="52" spans="36:37" x14ac:dyDescent="0.2">
      <c r="AJ52" s="7"/>
      <c r="AK52" s="7"/>
    </row>
    <row r="53" spans="36:37" x14ac:dyDescent="0.2">
      <c r="AJ53" s="7"/>
      <c r="AK53" s="7"/>
    </row>
    <row r="54" spans="36:37" x14ac:dyDescent="0.2">
      <c r="AJ54" s="7"/>
      <c r="AK54" s="7"/>
    </row>
    <row r="55" spans="36:37" x14ac:dyDescent="0.2">
      <c r="AJ55" s="7"/>
      <c r="AK55" s="7"/>
    </row>
    <row r="56" spans="36:37" x14ac:dyDescent="0.2">
      <c r="AJ56" s="7"/>
      <c r="AK56" s="7"/>
    </row>
    <row r="57" spans="36:37" x14ac:dyDescent="0.2">
      <c r="AJ57" s="7"/>
      <c r="AK57" s="7"/>
    </row>
    <row r="58" spans="36:37" x14ac:dyDescent="0.2">
      <c r="AJ58" s="7"/>
      <c r="AK58" s="7"/>
    </row>
    <row r="59" spans="36:37" x14ac:dyDescent="0.2">
      <c r="AJ59" s="7"/>
      <c r="AK59" s="7"/>
    </row>
    <row r="60" spans="36:37" x14ac:dyDescent="0.2">
      <c r="AJ60" s="7"/>
      <c r="AK60" s="7"/>
    </row>
    <row r="61" spans="36:37" x14ac:dyDescent="0.2">
      <c r="AJ61" s="7"/>
      <c r="AK61" s="7"/>
    </row>
    <row r="62" spans="36:37" x14ac:dyDescent="0.2">
      <c r="AJ62" s="7"/>
      <c r="AK62" s="7"/>
    </row>
    <row r="63" spans="36:37" x14ac:dyDescent="0.2">
      <c r="AJ63" s="7"/>
      <c r="AK63" s="7"/>
    </row>
    <row r="64" spans="36:37" x14ac:dyDescent="0.2">
      <c r="AJ64" s="7"/>
      <c r="AK64" s="7"/>
    </row>
    <row r="65" spans="36:37" x14ac:dyDescent="0.2">
      <c r="AJ65" s="7"/>
      <c r="AK65" s="7"/>
    </row>
    <row r="66" spans="36:37" x14ac:dyDescent="0.2">
      <c r="AJ66" s="7"/>
      <c r="AK66" s="7"/>
    </row>
    <row r="67" spans="36:37" x14ac:dyDescent="0.2">
      <c r="AJ67" s="7"/>
      <c r="AK67" s="7"/>
    </row>
    <row r="68" spans="36:37" x14ac:dyDescent="0.2">
      <c r="AJ68" s="7"/>
      <c r="AK68" s="7"/>
    </row>
    <row r="69" spans="36:37" x14ac:dyDescent="0.2">
      <c r="AJ69" s="7"/>
      <c r="AK69" s="7"/>
    </row>
  </sheetData>
  <sortState xmlns:xlrd2="http://schemas.microsoft.com/office/spreadsheetml/2017/richdata2" ref="A2:J28">
    <sortCondition ref="G1:G28"/>
  </sortState>
  <phoneticPr fontId="5" type="noConversion"/>
  <hyperlinks>
    <hyperlink ref="I34" r:id="rId1" xr:uid="{B3453F7F-7467-DD46-A799-C7A15B6FB9F6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2292-4D18-D640-9604-04429C727AA8}">
  <dimension ref="A1:D28"/>
  <sheetViews>
    <sheetView rightToLeft="1" workbookViewId="0">
      <selection sqref="A1:D28"/>
    </sheetView>
  </sheetViews>
  <sheetFormatPr baseColWidth="10" defaultRowHeight="16" x14ac:dyDescent="0.2"/>
  <sheetData>
    <row r="1" spans="1:4" x14ac:dyDescent="0.2">
      <c r="A1" s="7" t="s">
        <v>4</v>
      </c>
      <c r="B1" s="7" t="s">
        <v>60</v>
      </c>
      <c r="C1" s="7" t="s">
        <v>61</v>
      </c>
      <c r="D1" s="7" t="s">
        <v>62</v>
      </c>
    </row>
    <row r="2" spans="1:4" x14ac:dyDescent="0.2">
      <c r="A2" s="7" t="s">
        <v>10</v>
      </c>
      <c r="B2" s="7" t="s">
        <v>55</v>
      </c>
      <c r="C2" t="s">
        <v>56</v>
      </c>
      <c r="D2" t="s">
        <v>63</v>
      </c>
    </row>
    <row r="3" spans="1:4" x14ac:dyDescent="0.2">
      <c r="A3" s="7" t="s">
        <v>5</v>
      </c>
      <c r="B3" s="7" t="s">
        <v>57</v>
      </c>
      <c r="C3" t="s">
        <v>64</v>
      </c>
      <c r="D3" t="s">
        <v>65</v>
      </c>
    </row>
    <row r="4" spans="1:4" x14ac:dyDescent="0.2">
      <c r="A4" s="7" t="s">
        <v>8</v>
      </c>
      <c r="B4" s="7" t="s">
        <v>58</v>
      </c>
      <c r="C4" t="s">
        <v>59</v>
      </c>
      <c r="D4" t="s">
        <v>66</v>
      </c>
    </row>
    <row r="5" spans="1:4" x14ac:dyDescent="0.2">
      <c r="A5" s="7" t="s">
        <v>6</v>
      </c>
      <c r="B5" s="7" t="s">
        <v>67</v>
      </c>
      <c r="C5" t="s">
        <v>68</v>
      </c>
      <c r="D5" t="s">
        <v>69</v>
      </c>
    </row>
    <row r="6" spans="1:4" x14ac:dyDescent="0.2">
      <c r="A6" s="7" t="s">
        <v>7</v>
      </c>
      <c r="B6" s="7" t="s">
        <v>70</v>
      </c>
      <c r="C6" t="s">
        <v>71</v>
      </c>
      <c r="D6" t="s">
        <v>72</v>
      </c>
    </row>
    <row r="7" spans="1:4" x14ac:dyDescent="0.2">
      <c r="A7" s="7" t="s">
        <v>11</v>
      </c>
      <c r="B7" s="7" t="s">
        <v>73</v>
      </c>
      <c r="C7" t="s">
        <v>74</v>
      </c>
      <c r="D7" t="s">
        <v>75</v>
      </c>
    </row>
    <row r="8" spans="1:4" x14ac:dyDescent="0.2">
      <c r="A8" s="7" t="s">
        <v>34</v>
      </c>
      <c r="B8" s="7" t="s">
        <v>76</v>
      </c>
      <c r="C8" t="s">
        <v>77</v>
      </c>
      <c r="D8" t="s">
        <v>78</v>
      </c>
    </row>
    <row r="9" spans="1:4" x14ac:dyDescent="0.2">
      <c r="A9" s="7" t="s">
        <v>35</v>
      </c>
      <c r="B9" s="7" t="s">
        <v>79</v>
      </c>
      <c r="C9" t="s">
        <v>80</v>
      </c>
      <c r="D9" t="s">
        <v>81</v>
      </c>
    </row>
    <row r="10" spans="1:4" x14ac:dyDescent="0.2">
      <c r="A10" s="7" t="s">
        <v>13</v>
      </c>
      <c r="B10" s="7" t="s">
        <v>82</v>
      </c>
      <c r="C10" t="s">
        <v>83</v>
      </c>
      <c r="D10" t="s">
        <v>84</v>
      </c>
    </row>
    <row r="11" spans="1:4" x14ac:dyDescent="0.2">
      <c r="A11" s="7" t="s">
        <v>33</v>
      </c>
      <c r="B11" s="7" t="s">
        <v>85</v>
      </c>
      <c r="C11" t="s">
        <v>86</v>
      </c>
      <c r="D11" t="s">
        <v>87</v>
      </c>
    </row>
    <row r="12" spans="1:4" x14ac:dyDescent="0.2">
      <c r="A12" s="7" t="s">
        <v>37</v>
      </c>
      <c r="B12" s="7" t="s">
        <v>88</v>
      </c>
      <c r="C12" t="s">
        <v>89</v>
      </c>
      <c r="D12" t="s">
        <v>90</v>
      </c>
    </row>
    <row r="13" spans="1:4" x14ac:dyDescent="0.2">
      <c r="A13" s="7" t="s">
        <v>12</v>
      </c>
      <c r="B13" s="7" t="s">
        <v>91</v>
      </c>
      <c r="C13" t="s">
        <v>92</v>
      </c>
      <c r="D13" t="s">
        <v>93</v>
      </c>
    </row>
    <row r="14" spans="1:4" x14ac:dyDescent="0.2">
      <c r="A14" s="7" t="s">
        <v>19</v>
      </c>
      <c r="B14" s="7" t="s">
        <v>94</v>
      </c>
      <c r="C14" t="s">
        <v>95</v>
      </c>
      <c r="D14" t="s">
        <v>96</v>
      </c>
    </row>
    <row r="15" spans="1:4" x14ac:dyDescent="0.2">
      <c r="A15" s="7" t="s">
        <v>14</v>
      </c>
      <c r="B15" s="7" t="s">
        <v>97</v>
      </c>
      <c r="C15" t="s">
        <v>98</v>
      </c>
      <c r="D15" t="s">
        <v>99</v>
      </c>
    </row>
    <row r="16" spans="1:4" x14ac:dyDescent="0.2">
      <c r="A16" s="7" t="s">
        <v>15</v>
      </c>
      <c r="B16" s="7" t="s">
        <v>73</v>
      </c>
      <c r="C16" t="s">
        <v>100</v>
      </c>
      <c r="D16" t="s">
        <v>101</v>
      </c>
    </row>
    <row r="17" spans="1:4" x14ac:dyDescent="0.2">
      <c r="A17" s="7" t="s">
        <v>17</v>
      </c>
      <c r="B17" s="7" t="s">
        <v>102</v>
      </c>
      <c r="C17" t="s">
        <v>103</v>
      </c>
      <c r="D17" t="s">
        <v>104</v>
      </c>
    </row>
    <row r="18" spans="1:4" x14ac:dyDescent="0.2">
      <c r="A18" s="7" t="s">
        <v>18</v>
      </c>
      <c r="B18" s="7" t="s">
        <v>85</v>
      </c>
      <c r="C18" t="s">
        <v>105</v>
      </c>
      <c r="D18" t="s">
        <v>106</v>
      </c>
    </row>
    <row r="19" spans="1:4" x14ac:dyDescent="0.2">
      <c r="A19" s="7" t="s">
        <v>20</v>
      </c>
      <c r="B19" s="7" t="s">
        <v>107</v>
      </c>
      <c r="C19" t="s">
        <v>108</v>
      </c>
      <c r="D19" t="s">
        <v>109</v>
      </c>
    </row>
    <row r="20" spans="1:4" x14ac:dyDescent="0.2">
      <c r="A20" s="7" t="s">
        <v>110</v>
      </c>
      <c r="B20" s="7" t="s">
        <v>111</v>
      </c>
      <c r="C20" t="s">
        <v>112</v>
      </c>
      <c r="D20" t="s">
        <v>113</v>
      </c>
    </row>
    <row r="21" spans="1:4" x14ac:dyDescent="0.2">
      <c r="A21" s="7" t="s">
        <v>28</v>
      </c>
      <c r="B21" s="7" t="s">
        <v>114</v>
      </c>
      <c r="C21" t="s">
        <v>115</v>
      </c>
      <c r="D21" t="s">
        <v>116</v>
      </c>
    </row>
    <row r="22" spans="1:4" x14ac:dyDescent="0.2">
      <c r="A22" s="7" t="s">
        <v>22</v>
      </c>
      <c r="B22" s="7" t="s">
        <v>85</v>
      </c>
      <c r="C22" t="s">
        <v>105</v>
      </c>
      <c r="D22" t="s">
        <v>106</v>
      </c>
    </row>
    <row r="23" spans="1:4" x14ac:dyDescent="0.2">
      <c r="A23" s="7" t="s">
        <v>23</v>
      </c>
      <c r="B23" s="7" t="s">
        <v>55</v>
      </c>
      <c r="C23" t="s">
        <v>117</v>
      </c>
      <c r="D23" t="s">
        <v>118</v>
      </c>
    </row>
    <row r="24" spans="1:4" x14ac:dyDescent="0.2">
      <c r="A24" s="7" t="s">
        <v>24</v>
      </c>
      <c r="B24" s="7" t="s">
        <v>58</v>
      </c>
      <c r="C24" t="s">
        <v>115</v>
      </c>
      <c r="D24" t="s">
        <v>119</v>
      </c>
    </row>
    <row r="25" spans="1:4" x14ac:dyDescent="0.2">
      <c r="A25" s="7" t="s">
        <v>25</v>
      </c>
      <c r="B25" s="7" t="s">
        <v>76</v>
      </c>
      <c r="C25" t="s">
        <v>120</v>
      </c>
      <c r="D25" t="s">
        <v>78</v>
      </c>
    </row>
    <row r="26" spans="1:4" x14ac:dyDescent="0.2">
      <c r="A26" s="7" t="s">
        <v>27</v>
      </c>
      <c r="B26" s="7" t="s">
        <v>121</v>
      </c>
      <c r="C26" t="s">
        <v>122</v>
      </c>
      <c r="D26" t="s">
        <v>123</v>
      </c>
    </row>
    <row r="27" spans="1:4" x14ac:dyDescent="0.2">
      <c r="A27" s="7" t="s">
        <v>26</v>
      </c>
      <c r="B27" s="7" t="s">
        <v>124</v>
      </c>
      <c r="C27" t="s">
        <v>125</v>
      </c>
      <c r="D27" t="s">
        <v>126</v>
      </c>
    </row>
    <row r="28" spans="1:4" x14ac:dyDescent="0.2">
      <c r="A28" s="7" t="s">
        <v>127</v>
      </c>
      <c r="B28" s="7" t="s">
        <v>58</v>
      </c>
      <c r="C28" t="s">
        <v>128</v>
      </c>
      <c r="D28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סהר חיים יעקב</dc:creator>
  <cp:lastModifiedBy>סהר חיים יעקב</cp:lastModifiedBy>
  <dcterms:created xsi:type="dcterms:W3CDTF">2025-09-04T20:33:08Z</dcterms:created>
  <dcterms:modified xsi:type="dcterms:W3CDTF">2025-09-05T12:46:00Z</dcterms:modified>
</cp:coreProperties>
</file>