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PHARMA" sheetId="1" r:id="rId4"/>
    <sheet state="visible" name="PFIZER" sheetId="2" r:id="rId5"/>
    <sheet state="visible" name="DR REDDY" sheetId="3" r:id="rId6"/>
    <sheet state="visible" name="SUN DIV" sheetId="4" r:id="rId7"/>
    <sheet state="visible" name="PFIZER DIV" sheetId="5" r:id="rId8"/>
    <sheet state="visible" name="DR REDDY DIV" sheetId="6" r:id="rId9"/>
    <sheet state="visible" name="SUN FCFF" sheetId="7" r:id="rId10"/>
    <sheet state="visible" name="PFIZER FCFF" sheetId="8" r:id="rId11"/>
    <sheet state="visible" name="DR REDDY FCFF" sheetId="9" r:id="rId12"/>
    <sheet state="visible" name="Sun Pharma FCFE " sheetId="10" r:id="rId13"/>
    <sheet state="visible" name="PFIZER FCFE" sheetId="11" r:id="rId14"/>
    <sheet state="visible" name="DR REDDY FCFE" sheetId="12" r:id="rId15"/>
    <sheet state="visible" name="Industry Growth Rate calc" sheetId="13" r:id="rId16"/>
  </sheets>
  <externalReferences>
    <externalReference r:id="rId17"/>
    <externalReference r:id="rId18"/>
  </externalReferences>
  <definedNames>
    <definedName name="UPDATE">#REF!</definedName>
  </definedNames>
  <calcPr/>
  <extLst>
    <ext uri="GoogleSheetsCustomDataVersion1">
      <go:sheetsCustomData xmlns:go="http://customooxmlschemas.google.com/" r:id="rId19" roundtripDataSignature="AMtx7mjheI5LpLPb33k0t9LvwStjhM/BRA=="/>
    </ext>
  </extLst>
</workbook>
</file>

<file path=xl/sharedStrings.xml><?xml version="1.0" encoding="utf-8"?>
<sst xmlns="http://schemas.openxmlformats.org/spreadsheetml/2006/main" count="500" uniqueCount="128">
  <si>
    <t>SUN PHARMACEUTICALS INDUSTRIES LTD</t>
  </si>
  <si>
    <t>Narration</t>
  </si>
  <si>
    <t>Sales</t>
  </si>
  <si>
    <t>DATE</t>
  </si>
  <si>
    <t>Expenses</t>
  </si>
  <si>
    <t>EQUITY CAPITAL</t>
  </si>
  <si>
    <t>Operating Profit</t>
  </si>
  <si>
    <t>RESERVES &amp; SURPLUS</t>
  </si>
  <si>
    <t>Other Income</t>
  </si>
  <si>
    <t>ROE</t>
  </si>
  <si>
    <t>Depreciation</t>
  </si>
  <si>
    <t>Interest</t>
  </si>
  <si>
    <t>Profit before tax</t>
  </si>
  <si>
    <t>Tax</t>
  </si>
  <si>
    <t>FCFE Proxy</t>
  </si>
  <si>
    <t>Net profit</t>
  </si>
  <si>
    <t>EBITDA</t>
  </si>
  <si>
    <t xml:space="preserve">EBIT
</t>
  </si>
  <si>
    <t>Curret assets</t>
  </si>
  <si>
    <t>Curret Liabilities</t>
  </si>
  <si>
    <t>EPS</t>
  </si>
  <si>
    <t>WC = Current assets- Current liabilities</t>
  </si>
  <si>
    <t>Change in WC</t>
  </si>
  <si>
    <t>Gross Block</t>
  </si>
  <si>
    <t>Capex= Gross block - Prev yr gross block</t>
  </si>
  <si>
    <t>Tax rate (current)</t>
  </si>
  <si>
    <t>FCFF</t>
  </si>
  <si>
    <t>No of shares (Cr)</t>
  </si>
  <si>
    <t>FCFE</t>
  </si>
  <si>
    <t>Debt Equity Ratio (not in Cr)</t>
  </si>
  <si>
    <t>FCFF / Share (not in Cr)</t>
  </si>
  <si>
    <t>FCFE/ Share (not in Cr)</t>
  </si>
  <si>
    <t>Total assets</t>
  </si>
  <si>
    <t>Capital employed</t>
  </si>
  <si>
    <t>ROCE</t>
  </si>
  <si>
    <t>FCFF= ROCE*CE (in Cr)</t>
  </si>
  <si>
    <t>FCFF/Share</t>
  </si>
  <si>
    <t>growth rate of FCFF</t>
  </si>
  <si>
    <t>Average last 5 yr- FCFF</t>
  </si>
  <si>
    <t>growth rate of FCFE</t>
  </si>
  <si>
    <t>Average last 5 yr - FCFE</t>
  </si>
  <si>
    <t>EPS in Rs</t>
  </si>
  <si>
    <t>Dividend Payout %</t>
  </si>
  <si>
    <t>PFIZER</t>
  </si>
  <si>
    <t>EBIT</t>
  </si>
  <si>
    <t>Other Assets</t>
  </si>
  <si>
    <t>Other Liabilities</t>
  </si>
  <si>
    <t>No. of Equity Shares</t>
  </si>
  <si>
    <t>Total Assets</t>
  </si>
  <si>
    <t>Dr Reddy</t>
  </si>
  <si>
    <t>Total</t>
  </si>
  <si>
    <t>Data for Sun Pharma</t>
  </si>
  <si>
    <t>IERP</t>
  </si>
  <si>
    <t>Calculated in Assignment-3</t>
  </si>
  <si>
    <t xml:space="preserve">Return Risk free </t>
  </si>
  <si>
    <t xml:space="preserve">Beta </t>
  </si>
  <si>
    <t>Cost of equity</t>
  </si>
  <si>
    <t>Linear Decrease to g2</t>
  </si>
  <si>
    <t>Growth rate for earings period 1 - Supernormal growth</t>
  </si>
  <si>
    <t>Growth rate for earings period 3- Industry Growth</t>
  </si>
  <si>
    <t>Growth rate for FCFF period 3- basis- Economy Growth</t>
  </si>
  <si>
    <t>Dividend payout ratio (average)</t>
  </si>
  <si>
    <t>Retention Ratio(average)</t>
  </si>
  <si>
    <t>Values In Cr.</t>
  </si>
  <si>
    <t>Earnings 2022</t>
  </si>
  <si>
    <t>Cr</t>
  </si>
  <si>
    <t>No of shares outstanding</t>
  </si>
  <si>
    <t>Div payout ratio last 5 ys</t>
  </si>
  <si>
    <t>Return on Equity</t>
  </si>
  <si>
    <t>Average ROE</t>
  </si>
  <si>
    <t>Dividend Discount 2 stage model</t>
  </si>
  <si>
    <t>Stage 1</t>
  </si>
  <si>
    <t>Stage 2</t>
  </si>
  <si>
    <t>AVERAGE DIV PAYOUT</t>
  </si>
  <si>
    <t>Earnings projection in Cr</t>
  </si>
  <si>
    <t>Dividend Projection in Cr</t>
  </si>
  <si>
    <t>Cash Flows in Cr</t>
  </si>
  <si>
    <t>Net Present value in Cr</t>
  </si>
  <si>
    <t>Net present value / total no of shares</t>
  </si>
  <si>
    <t>Dividend Discount 3 stage model</t>
  </si>
  <si>
    <t>Stage 3</t>
  </si>
  <si>
    <t xml:space="preserve">Source of Data </t>
  </si>
  <si>
    <t>Annual report</t>
  </si>
  <si>
    <t>www.screener.in</t>
  </si>
  <si>
    <t>Data for Pfizer</t>
  </si>
  <si>
    <t>Cost of Equity</t>
  </si>
  <si>
    <t xml:space="preserve">Dividend Payout </t>
  </si>
  <si>
    <t>Data for Dr Reddy</t>
  </si>
  <si>
    <t>Annual report,</t>
  </si>
  <si>
    <t>Cost of Debt= Rf + Spread</t>
  </si>
  <si>
    <t>Cost of Debt</t>
  </si>
  <si>
    <t xml:space="preserve">Debt to equity ratio </t>
  </si>
  <si>
    <t>Weight of Debt</t>
  </si>
  <si>
    <t>Weight of Equity</t>
  </si>
  <si>
    <t xml:space="preserve">WACC </t>
  </si>
  <si>
    <t>Growth rate for FCFF period 1 - basis- Supernormal growth</t>
  </si>
  <si>
    <t>Growth rate for FCFF period 2- basis- Industry Growth</t>
  </si>
  <si>
    <t>FCFF 2022 , per share</t>
  </si>
  <si>
    <t>FCFF valuation 2 stage model</t>
  </si>
  <si>
    <t>FCFF projections/share</t>
  </si>
  <si>
    <t>Cash Flows /share</t>
  </si>
  <si>
    <t xml:space="preserve">Net Present value/share </t>
  </si>
  <si>
    <t>FCFF valuation 3 stage model</t>
  </si>
  <si>
    <t>WACC</t>
  </si>
  <si>
    <t>Growth rate for earnings period 1 - Supernormal growth</t>
  </si>
  <si>
    <t>Growth rate for earnings period 2- Industry Growth</t>
  </si>
  <si>
    <t>Growth rate for earnings period 3- Economy Growth</t>
  </si>
  <si>
    <t>(We will not omit 2019-20 year, eventhough covid skewed the growth rate which was around 5-6% to a mere 3-4% )</t>
  </si>
  <si>
    <t>Growth(g)=</t>
  </si>
  <si>
    <t>FCFE 2022 , per share</t>
  </si>
  <si>
    <t xml:space="preserve">Here as we are getting  a -ve FCFE value we will have to go with the ROE* Total Shareholder's Equity  as a proxy for FCFE. </t>
  </si>
  <si>
    <t>FCFE PROXY</t>
  </si>
  <si>
    <t>FCFE PROXY/share</t>
  </si>
  <si>
    <t>FCFE valuation 2 stage model</t>
  </si>
  <si>
    <t>FCFE projections/share</t>
  </si>
  <si>
    <t>FCFE valuation 3 stage model</t>
  </si>
  <si>
    <t>Growth rate for earings period 2- Industry Growth</t>
  </si>
  <si>
    <t>Growth rate for earings period 3- Economy Growth</t>
  </si>
  <si>
    <t>Method-1</t>
  </si>
  <si>
    <t>Method-2</t>
  </si>
  <si>
    <t>Date</t>
  </si>
  <si>
    <t>Price</t>
  </si>
  <si>
    <t>Chg%</t>
  </si>
  <si>
    <t>Returns</t>
  </si>
  <si>
    <t>Annualized Return =</t>
  </si>
  <si>
    <t>5-Year return=</t>
  </si>
  <si>
    <t>Annualized return</t>
  </si>
  <si>
    <t>We chose Method-1 as both have nearly the same values and the past 1 year daily returns will convey a better outlook for the future prospects of the industry rather han plainly the return from dividing the final and initial value for the past 5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</si>
</sst>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mmm-d"/>
    <numFmt numFmtId="165" formatCode="_ * #,##0.00_ ;_ * \-#,##0.00_ ;_ * &quot;-&quot;??_ ;_ @_ "/>
    <numFmt numFmtId="166" formatCode="[$-409]mmm\-yy"/>
    <numFmt numFmtId="167" formatCode="0.0000000%"/>
    <numFmt numFmtId="168" formatCode="_ * #,##0.00000000_ ;_ * \-#,##0.00000000_ ;_ * &quot;-&quot;??.000000_ ;_ @_ "/>
    <numFmt numFmtId="169" formatCode="0.000%"/>
    <numFmt numFmtId="170" formatCode="&quot;₹&quot;\ #,##0.00;[Red]&quot;₹&quot;\ \-#,##0.00"/>
    <numFmt numFmtId="171" formatCode="0.000"/>
    <numFmt numFmtId="172" formatCode="_ * #,##0.0000_ ;_ * \-#,##0.0000_ ;_ * &quot;-&quot;??.00_ ;_ @_ "/>
    <numFmt numFmtId="173" formatCode="0.0000"/>
    <numFmt numFmtId="174" formatCode="#,##0.000"/>
    <numFmt numFmtId="175" formatCode="0.00000000000000"/>
    <numFmt numFmtId="176" formatCode="0.00000"/>
    <numFmt numFmtId="177" formatCode="_ * #,##0.0000000_ ;_ * \-#,##0.0000000_ ;_ * &quot;-&quot;??.00000_ ;_ @_ "/>
    <numFmt numFmtId="178" formatCode="0.00000000000%"/>
    <numFmt numFmtId="179" formatCode="_ * #,##0.000000000_ ;_ * \-#,##0.000000000_ ;_ * &quot;-&quot;??.0000000_ ;_ @_ "/>
    <numFmt numFmtId="180" formatCode="#,##0.00000000"/>
    <numFmt numFmtId="181" formatCode="0.0000000000%"/>
    <numFmt numFmtId="182" formatCode="mmm d, yyyy"/>
    <numFmt numFmtId="183" formatCode="mmm dd, yyyy"/>
    <numFmt numFmtId="184" formatCode="mmmm d, yyyy"/>
    <numFmt numFmtId="185" formatCode="mmmm dd, yyyy"/>
  </numFmts>
  <fonts count="2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color rgb="FF22222F"/>
      <name val="&quot;Inter var&quot;"/>
    </font>
    <font>
      <color rgb="FF22222F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theme="0"/>
      <name val="Calibri"/>
    </font>
    <font>
      <sz val="11.0"/>
      <color rgb="FF11A9CC"/>
      <name val="Inconsolata"/>
    </font>
    <font>
      <sz val="11.0"/>
      <color rgb="FF22222F"/>
      <name val="&quot;Inter var&quot;"/>
    </font>
    <font>
      <sz val="11.0"/>
      <color rgb="FF22222F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color theme="1"/>
      <name val="Calibri"/>
      <scheme val="minor"/>
    </font>
    <font>
      <u/>
      <sz val="11.0"/>
      <color theme="10"/>
      <name val="Calibri"/>
    </font>
    <font>
      <i/>
      <u/>
      <sz val="11.0"/>
      <color theme="1"/>
      <name val="Calibri"/>
    </font>
    <font>
      <color rgb="FF66758A"/>
      <name val="&quot;Segoe UI&quot;"/>
    </font>
    <font>
      <color rgb="FF000000"/>
      <name val="&quot;Segoe UI&quot;"/>
    </font>
    <font>
      <color rgb="FFFF0000"/>
      <name val="&quot;Segoe UI&quot;"/>
    </font>
    <font>
      <color rgb="FF0EA600"/>
      <name val="&quot;Segoe UI&quot;"/>
    </font>
  </fonts>
  <fills count="12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AFBFD"/>
        <bgColor rgb="FFFAFBFD"/>
      </patternFill>
    </fill>
  </fills>
  <borders count="3">
    <border/>
    <border>
      <left/>
      <right/>
      <top/>
      <bottom/>
    </border>
    <border>
      <bottom style="thin">
        <color rgb="FFE3EAF2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3" numFmtId="4" xfId="0" applyAlignment="1" applyFont="1" applyNumberFormat="1">
      <alignment horizontal="center" readingOrder="0" shrinkToFit="0" vertical="bottom" wrapText="0"/>
    </xf>
    <xf borderId="0" fillId="2" fontId="3" numFmtId="164" xfId="0" applyAlignment="1" applyFont="1" applyNumberFormat="1">
      <alignment horizontal="center" readingOrder="0" shrinkToFit="0" vertical="bottom" wrapText="0"/>
    </xf>
    <xf borderId="0" fillId="2" fontId="1" numFmtId="0" xfId="0" applyFont="1"/>
    <xf borderId="0" fillId="0" fontId="2" numFmtId="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4" xfId="0" applyAlignment="1" applyFont="1" applyNumberFormat="1">
      <alignment readingOrder="0" shrinkToFit="0" vertical="bottom" wrapText="0"/>
    </xf>
    <xf borderId="0" fillId="0" fontId="5" numFmtId="165" xfId="0" applyAlignment="1" applyFont="1" applyNumberFormat="1">
      <alignment readingOrder="0" shrinkToFit="0" vertical="bottom" wrapText="0"/>
    </xf>
    <xf borderId="0" fillId="0" fontId="5" numFmtId="165" xfId="0" applyAlignment="1" applyFont="1" applyNumberFormat="1">
      <alignment horizontal="right" readingOrder="0" vertical="bottom"/>
    </xf>
    <xf borderId="0" fillId="3" fontId="6" numFmtId="165" xfId="0" applyAlignment="1" applyFill="1" applyFont="1" applyNumberFormat="1">
      <alignment horizontal="right" readingOrder="0"/>
    </xf>
    <xf borderId="0" fillId="0" fontId="2" numFmtId="165" xfId="0" applyAlignment="1" applyFont="1" applyNumberFormat="1">
      <alignment readingOrder="0" shrinkToFit="0" vertical="bottom" wrapText="0"/>
    </xf>
    <xf borderId="0" fillId="3" fontId="6" numFmtId="3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3" fontId="6" numFmtId="4" xfId="0" applyAlignment="1" applyFont="1" applyNumberFormat="1">
      <alignment horizontal="right" readingOrder="0"/>
    </xf>
    <xf borderId="0" fillId="0" fontId="7" numFmtId="0" xfId="0" applyAlignment="1" applyFont="1">
      <alignment horizontal="left" readingOrder="0" shrinkToFit="0" wrapText="0"/>
    </xf>
    <xf borderId="0" fillId="3" fontId="7" numFmtId="165" xfId="0" applyAlignment="1" applyFont="1" applyNumberFormat="1">
      <alignment horizontal="left" readingOrder="0"/>
    </xf>
    <xf borderId="0" fillId="0" fontId="5" numFmtId="4" xfId="0" applyAlignment="1" applyFont="1" applyNumberFormat="1">
      <alignment horizontal="center" readingOrder="0" shrinkToFit="0" vertical="bottom" wrapText="0"/>
    </xf>
    <xf borderId="0" fillId="0" fontId="5" numFmtId="165" xfId="0" applyAlignment="1" applyFont="1" applyNumberFormat="1">
      <alignment horizontal="center" readingOrder="0" shrinkToFit="0" vertical="bottom" wrapText="0"/>
    </xf>
    <xf borderId="0" fillId="3" fontId="6" numFmtId="4" xfId="0" applyFont="1" applyNumberFormat="1"/>
    <xf borderId="0" fillId="3" fontId="7" numFmtId="4" xfId="0" applyAlignment="1" applyFont="1" applyNumberFormat="1">
      <alignment horizontal="right" readingOrder="0"/>
    </xf>
    <xf borderId="0" fillId="3" fontId="7" numFmtId="4" xfId="0" applyAlignment="1" applyFont="1" applyNumberFormat="1">
      <alignment readingOrder="0"/>
    </xf>
    <xf borderId="0" fillId="0" fontId="5" numFmtId="4" xfId="0" applyAlignment="1" applyFont="1" applyNumberFormat="1">
      <alignment horizontal="righ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4" xfId="0" applyAlignment="1" applyFont="1" applyNumberFormat="1">
      <alignment horizontal="left" readingOrder="0" shrinkToFit="0" wrapText="0"/>
    </xf>
    <xf borderId="0" fillId="3" fontId="6" numFmtId="10" xfId="0" applyAlignment="1" applyFont="1" applyNumberFormat="1">
      <alignment horizontal="right" readingOrder="0"/>
    </xf>
    <xf borderId="0" fillId="4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3" fontId="6" numFmtId="9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1" fillId="2" fontId="10" numFmtId="0" xfId="0" applyAlignment="1" applyBorder="1" applyFont="1">
      <alignment readingOrder="0"/>
    </xf>
    <xf borderId="1" fillId="2" fontId="3" numFmtId="166" xfId="0" applyAlignment="1" applyBorder="1" applyFont="1" applyNumberFormat="1">
      <alignment horizontal="center" readingOrder="0"/>
    </xf>
    <xf borderId="1" fillId="2" fontId="10" numFmtId="166" xfId="0" applyAlignment="1" applyBorder="1" applyFont="1" applyNumberFormat="1">
      <alignment horizontal="center" readingOrder="0"/>
    </xf>
    <xf borderId="0" fillId="2" fontId="4" numFmtId="0" xfId="0" applyFont="1"/>
    <xf borderId="0" fillId="2" fontId="8" numFmtId="0" xfId="0" applyFont="1"/>
    <xf borderId="0" fillId="0" fontId="8" numFmtId="0" xfId="0" applyAlignment="1" applyFont="1">
      <alignment readingOrder="0"/>
    </xf>
    <xf borderId="0" fillId="0" fontId="8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165" xfId="0" applyFont="1" applyNumberFormat="1"/>
    <xf borderId="0" fillId="0" fontId="1" numFmtId="165" xfId="0" applyFont="1" applyNumberFormat="1"/>
    <xf borderId="0" fillId="3" fontId="11" numFmtId="165" xfId="0" applyFont="1" applyNumberFormat="1"/>
    <xf borderId="0" fillId="0" fontId="1" numFmtId="165" xfId="0" applyAlignment="1" applyFont="1" applyNumberFormat="1">
      <alignment horizontal="center" readingOrder="0"/>
    </xf>
    <xf borderId="0" fillId="3" fontId="6" numFmtId="165" xfId="0" applyFont="1" applyNumberFormat="1"/>
    <xf borderId="0" fillId="0" fontId="4" numFmtId="0" xfId="0" applyFont="1"/>
    <xf borderId="0" fillId="3" fontId="6" numFmtId="167" xfId="0" applyAlignment="1" applyFont="1" applyNumberFormat="1">
      <alignment horizontal="right" readingOrder="0"/>
    </xf>
    <xf borderId="0" fillId="3" fontId="6" numFmtId="168" xfId="0" applyAlignment="1" applyFont="1" applyNumberFormat="1">
      <alignment horizontal="right" readingOrder="0"/>
    </xf>
    <xf borderId="0" fillId="4" fontId="2" numFmtId="168" xfId="0" applyAlignment="1" applyFont="1" applyNumberFormat="1">
      <alignment readingOrder="0" shrinkToFit="0" vertical="bottom" wrapText="0"/>
    </xf>
    <xf borderId="0" fillId="0" fontId="1" numFmtId="168" xfId="0" applyFont="1" applyNumberFormat="1"/>
    <xf borderId="0" fillId="0" fontId="0" numFmtId="0" xfId="0" applyFont="1"/>
    <xf borderId="0" fillId="2" fontId="0" numFmtId="0" xfId="0" applyFont="1"/>
    <xf borderId="0" fillId="0" fontId="2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165" xfId="0" applyAlignment="1" applyFont="1" applyNumberFormat="1">
      <alignment horizontal="center" readingOrder="0" vertical="bottom"/>
    </xf>
    <xf borderId="0" fillId="3" fontId="12" numFmtId="165" xfId="0" applyAlignment="1" applyFont="1" applyNumberFormat="1">
      <alignment horizontal="right" readingOrder="0"/>
    </xf>
    <xf borderId="0" fillId="3" fontId="12" numFmtId="0" xfId="0" applyAlignment="1" applyFont="1">
      <alignment horizontal="right" readingOrder="0"/>
    </xf>
    <xf borderId="0" fillId="0" fontId="12" numFmtId="0" xfId="0" applyAlignment="1" applyFont="1">
      <alignment horizontal="left" readingOrder="0" shrinkToFit="0" wrapText="0"/>
    </xf>
    <xf borderId="0" fillId="3" fontId="12" numFmtId="4" xfId="0" applyAlignment="1" applyFont="1" applyNumberFormat="1">
      <alignment horizontal="right" readingOrder="0"/>
    </xf>
    <xf borderId="0" fillId="3" fontId="12" numFmtId="165" xfId="0" applyFont="1" applyNumberFormat="1"/>
    <xf borderId="0" fillId="0" fontId="13" numFmtId="0" xfId="0" applyAlignment="1" applyFont="1">
      <alignment horizontal="left" readingOrder="0" shrinkToFit="0" wrapText="0"/>
    </xf>
    <xf borderId="0" fillId="3" fontId="12" numFmtId="10" xfId="0" applyAlignment="1" applyFont="1" applyNumberFormat="1">
      <alignment horizontal="right" readingOrder="0"/>
    </xf>
    <xf borderId="0" fillId="3" fontId="12" numFmtId="167" xfId="0" applyAlignment="1" applyFont="1" applyNumberFormat="1">
      <alignment horizontal="right" readingOrder="0"/>
    </xf>
    <xf borderId="0" fillId="3" fontId="12" numFmtId="168" xfId="0" applyAlignment="1" applyFont="1" applyNumberFormat="1">
      <alignment horizontal="right" readingOrder="0"/>
    </xf>
    <xf borderId="0" fillId="3" fontId="6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5" fontId="4" numFmtId="10" xfId="0" applyAlignment="1" applyFill="1" applyFont="1" applyNumberFormat="1">
      <alignment readingOrder="0"/>
    </xf>
    <xf borderId="0" fillId="6" fontId="4" numFmtId="0" xfId="0" applyAlignment="1" applyFill="1" applyFont="1">
      <alignment readingOrder="0"/>
    </xf>
    <xf borderId="0" fillId="0" fontId="15" numFmtId="0" xfId="0" applyFont="1"/>
    <xf borderId="1" fillId="5" fontId="1" numFmtId="10" xfId="0" applyAlignment="1" applyBorder="1" applyFont="1" applyNumberFormat="1">
      <alignment readingOrder="0"/>
    </xf>
    <xf borderId="1" fillId="5" fontId="1" numFmtId="2" xfId="0" applyAlignment="1" applyBorder="1" applyFont="1" applyNumberFormat="1">
      <alignment readingOrder="0"/>
    </xf>
    <xf borderId="0" fillId="5" fontId="1" numFmtId="10" xfId="0" applyFont="1" applyNumberFormat="1"/>
    <xf borderId="0" fillId="4" fontId="4" numFmtId="0" xfId="0" applyAlignment="1" applyFont="1">
      <alignment readingOrder="0"/>
    </xf>
    <xf borderId="0" fillId="4" fontId="4" numFmtId="0" xfId="0" applyFont="1"/>
    <xf borderId="0" fillId="0" fontId="4" numFmtId="10" xfId="0" applyFont="1" applyNumberFormat="1"/>
    <xf borderId="0" fillId="0" fontId="1" numFmtId="10" xfId="0" applyFont="1" applyNumberFormat="1"/>
    <xf borderId="0" fillId="7" fontId="4" numFmtId="0" xfId="0" applyAlignment="1" applyFill="1" applyFont="1">
      <alignment readingOrder="0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4" numFmtId="169" xfId="0" applyFont="1" applyNumberFormat="1"/>
    <xf borderId="0" fillId="0" fontId="14" numFmtId="0" xfId="0" applyFont="1"/>
    <xf borderId="0" fillId="8" fontId="16" numFmtId="0" xfId="0" applyAlignment="1" applyFill="1" applyFont="1">
      <alignment readingOrder="0"/>
    </xf>
    <xf borderId="0" fillId="0" fontId="1" numFmtId="17" xfId="0" applyFont="1" applyNumberFormat="1"/>
    <xf borderId="0" fillId="0" fontId="1" numFmtId="170" xfId="0" applyFont="1" applyNumberFormat="1"/>
    <xf borderId="0" fillId="0" fontId="4" numFmtId="4" xfId="0" applyFont="1" applyNumberFormat="1"/>
    <xf borderId="0" fillId="0" fontId="17" numFmtId="0" xfId="0" applyFont="1"/>
    <xf borderId="1" fillId="5" fontId="1" numFmtId="171" xfId="0" applyAlignment="1" applyBorder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5" numFmtId="172" xfId="0" applyAlignment="1" applyFont="1" applyNumberFormat="1">
      <alignment horizontal="right" readingOrder="0" vertical="bottom"/>
    </xf>
    <xf borderId="0" fillId="9" fontId="4" numFmtId="0" xfId="0" applyAlignment="1" applyFill="1" applyFont="1">
      <alignment readingOrder="0"/>
    </xf>
    <xf borderId="0" fillId="9" fontId="4" numFmtId="10" xfId="0" applyAlignment="1" applyFont="1" applyNumberFormat="1">
      <alignment readingOrder="0"/>
    </xf>
    <xf borderId="1" fillId="5" fontId="1" numFmtId="173" xfId="0" applyAlignment="1" applyBorder="1" applyFont="1" applyNumberFormat="1">
      <alignment readingOrder="0"/>
    </xf>
    <xf borderId="0" fillId="4" fontId="4" numFmtId="0" xfId="0" applyAlignment="1" applyFont="1">
      <alignment readingOrder="0" shrinkToFit="0" vertical="top" wrapText="1"/>
    </xf>
    <xf borderId="0" fillId="0" fontId="4" numFmtId="165" xfId="0" applyFont="1" applyNumberFormat="1"/>
    <xf borderId="1" fillId="5" fontId="1" numFmtId="10" xfId="0" applyBorder="1" applyFont="1" applyNumberFormat="1"/>
    <xf borderId="0" fillId="0" fontId="4" numFmtId="174" xfId="0" applyFont="1" applyNumberFormat="1"/>
    <xf borderId="0" fillId="0" fontId="4" numFmtId="175" xfId="0" applyAlignment="1" applyFont="1" applyNumberFormat="1">
      <alignment readingOrder="0"/>
    </xf>
    <xf borderId="1" fillId="5" fontId="1" numFmtId="176" xfId="0" applyAlignment="1" applyBorder="1" applyFont="1" applyNumberFormat="1">
      <alignment readingOrder="0"/>
    </xf>
    <xf borderId="0" fillId="0" fontId="8" numFmtId="177" xfId="0" applyFont="1" applyNumberFormat="1"/>
    <xf borderId="0" fillId="5" fontId="1" numFmtId="169" xfId="0" applyFont="1" applyNumberFormat="1"/>
    <xf borderId="1" fillId="5" fontId="1" numFmtId="169" xfId="0" applyAlignment="1" applyBorder="1" applyFont="1" applyNumberFormat="1">
      <alignment readingOrder="0"/>
    </xf>
    <xf borderId="0" fillId="0" fontId="5" numFmtId="169" xfId="0" applyAlignment="1" applyFont="1" applyNumberFormat="1">
      <alignment horizontal="right" readingOrder="0" shrinkToFit="0" vertical="bottom" wrapText="0"/>
    </xf>
    <xf borderId="0" fillId="0" fontId="18" numFmtId="165" xfId="0" applyFont="1" applyNumberFormat="1"/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horizontal="right" readingOrder="0" shrinkToFit="0" vertical="bottom" wrapText="0"/>
    </xf>
    <xf borderId="0" fillId="10" fontId="4" numFmtId="0" xfId="0" applyAlignment="1" applyFill="1" applyFont="1">
      <alignment readingOrder="0"/>
    </xf>
    <xf borderId="0" fillId="0" fontId="16" numFmtId="0" xfId="0" applyFont="1"/>
    <xf borderId="0" fillId="0" fontId="8" numFmtId="17" xfId="0" applyFont="1" applyNumberFormat="1"/>
    <xf borderId="0" fillId="0" fontId="1" numFmtId="178" xfId="0" applyFont="1" applyNumberFormat="1"/>
    <xf borderId="0" fillId="0" fontId="8" numFmtId="168" xfId="0" applyAlignment="1" applyFont="1" applyNumberFormat="1">
      <alignment readingOrder="0"/>
    </xf>
    <xf borderId="0" fillId="0" fontId="4" numFmtId="179" xfId="0" applyFont="1" applyNumberFormat="1"/>
    <xf borderId="0" fillId="0" fontId="14" numFmtId="179" xfId="0" applyFont="1" applyNumberFormat="1"/>
    <xf borderId="0" fillId="0" fontId="4" numFmtId="168" xfId="0" applyFont="1" applyNumberFormat="1"/>
    <xf borderId="0" fillId="0" fontId="4" numFmtId="180" xfId="0" applyFont="1" applyNumberFormat="1"/>
    <xf borderId="0" fillId="0" fontId="1" numFmtId="180" xfId="0" applyFont="1" applyNumberFormat="1"/>
    <xf borderId="0" fillId="0" fontId="1" numFmtId="181" xfId="0" applyFont="1" applyNumberFormat="1"/>
    <xf borderId="0" fillId="0" fontId="4" numFmtId="9" xfId="0" applyFont="1" applyNumberFormat="1"/>
    <xf borderId="0" fillId="0" fontId="2" numFmtId="0" xfId="0" applyAlignment="1" applyFont="1">
      <alignment horizontal="center" readingOrder="0" shrinkToFit="0" vertical="bottom" wrapText="0"/>
    </xf>
    <xf borderId="2" fillId="11" fontId="19" numFmtId="0" xfId="0" applyAlignment="1" applyBorder="1" applyFill="1" applyFont="1">
      <alignment horizontal="left" readingOrder="0" shrinkToFit="0" wrapText="0"/>
    </xf>
    <xf borderId="2" fillId="0" fontId="19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 shrinkToFit="0" vertical="bottom" wrapText="0"/>
    </xf>
    <xf borderId="2" fillId="11" fontId="20" numFmtId="182" xfId="0" applyAlignment="1" applyBorder="1" applyFont="1" applyNumberFormat="1">
      <alignment horizontal="left" readingOrder="0" shrinkToFit="0" wrapText="0"/>
    </xf>
    <xf borderId="2" fillId="0" fontId="21" numFmtId="4" xfId="0" applyAlignment="1" applyBorder="1" applyFont="1" applyNumberFormat="1">
      <alignment horizontal="right" readingOrder="0" shrinkToFit="0" wrapText="0"/>
    </xf>
    <xf borderId="2" fillId="0" fontId="21" numFmtId="10" xfId="0" applyAlignment="1" applyBorder="1" applyFont="1" applyNumberFormat="1">
      <alignment horizontal="right" readingOrder="0" shrinkToFit="0" wrapText="0"/>
    </xf>
    <xf borderId="2" fillId="0" fontId="22" numFmtId="4" xfId="0" applyAlignment="1" applyBorder="1" applyFont="1" applyNumberFormat="1">
      <alignment horizontal="right" readingOrder="0" shrinkToFit="0" wrapText="0"/>
    </xf>
    <xf borderId="2" fillId="0" fontId="22" numFmtId="10" xfId="0" applyAlignment="1" applyBorder="1" applyFont="1" applyNumberFormat="1">
      <alignment horizontal="right" readingOrder="0" shrinkToFit="0" wrapText="0"/>
    </xf>
    <xf borderId="2" fillId="11" fontId="20" numFmtId="183" xfId="0" applyAlignment="1" applyBorder="1" applyFont="1" applyNumberFormat="1">
      <alignment horizontal="left" readingOrder="0" shrinkToFit="0" wrapText="0"/>
    </xf>
    <xf borderId="0" fillId="0" fontId="5" numFmtId="0" xfId="0" applyAlignment="1" applyFont="1">
      <alignment horizontal="center" readingOrder="0" shrinkToFit="0" vertical="bottom" wrapText="1"/>
    </xf>
    <xf borderId="2" fillId="11" fontId="20" numFmtId="184" xfId="0" applyAlignment="1" applyBorder="1" applyFont="1" applyNumberFormat="1">
      <alignment horizontal="left" readingOrder="0" shrinkToFit="0" wrapText="0"/>
    </xf>
    <xf borderId="2" fillId="11" fontId="20" numFmtId="185" xfId="0" applyAlignment="1" applyBorder="1" applyFont="1" applyNumberFormat="1">
      <alignment horizontal="left" readingOrder="0" shrinkToFit="0" wrapText="0"/>
    </xf>
    <xf borderId="0" fillId="11" fontId="20" numFmtId="182" xfId="0" applyAlignment="1" applyFont="1" applyNumberFormat="1">
      <alignment horizontal="left" readingOrder="0" shrinkToFit="0" wrapText="0"/>
    </xf>
    <xf borderId="0" fillId="0" fontId="22" numFmtId="4" xfId="0" applyAlignment="1" applyFont="1" applyNumberFormat="1">
      <alignment horizontal="right" readingOrder="0" shrinkToFit="0" wrapText="0"/>
    </xf>
    <xf borderId="0" fillId="0" fontId="22" numFmtId="10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externalLink" Target="externalLinks/externalLink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504825</xdr:colOff>
      <xdr:row>0</xdr:row>
      <xdr:rowOff>0</xdr:rowOff>
    </xdr:from>
    <xdr:ext cx="3181350" cy="2266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457200</xdr:colOff>
      <xdr:row>0</xdr:row>
      <xdr:rowOff>76200</xdr:rowOff>
    </xdr:from>
    <xdr:ext cx="3181350" cy="2266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304800</xdr:colOff>
      <xdr:row>0</xdr:row>
      <xdr:rowOff>0</xdr:rowOff>
    </xdr:from>
    <xdr:ext cx="3181350" cy="2266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409575</xdr:colOff>
      <xdr:row>16</xdr:row>
      <xdr:rowOff>38100</xdr:rowOff>
    </xdr:from>
    <xdr:ext cx="5562600" cy="40957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885825</xdr:colOff>
      <xdr:row>1</xdr:row>
      <xdr:rowOff>161925</xdr:rowOff>
    </xdr:from>
    <xdr:ext cx="4953000" cy="27432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hinmay/Downloads/HDFC%20Bank%20(1)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hinmay/Downloads/Axis%20Bank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7.0"/>
    <col customWidth="1" min="2" max="2" width="12.29"/>
    <col customWidth="1" min="3" max="5" width="10.71"/>
    <col customWidth="1" min="6" max="8" width="11.29"/>
    <col customWidth="1" min="9" max="9" width="12.86"/>
    <col customWidth="1" min="10" max="10" width="11.29"/>
    <col customWidth="1" min="11" max="11" width="15.29"/>
    <col customWidth="1" min="12" max="12" width="12.86"/>
    <col customWidth="1" min="13" max="13" width="10.0"/>
    <col customWidth="1" min="14" max="14" width="15.57"/>
    <col customWidth="1" min="15" max="15" width="14.0"/>
    <col customWidth="1" min="16" max="26" width="8.71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" t="s">
        <v>1</v>
      </c>
      <c r="B3" s="5">
        <v>44633.0</v>
      </c>
      <c r="C3" s="6">
        <v>44634.0</v>
      </c>
      <c r="D3" s="6">
        <v>44635.0</v>
      </c>
      <c r="E3" s="6">
        <v>44636.0</v>
      </c>
      <c r="F3" s="6">
        <v>44637.0</v>
      </c>
      <c r="G3" s="6">
        <v>44638.0</v>
      </c>
      <c r="H3" s="6">
        <v>44639.0</v>
      </c>
      <c r="I3" s="6">
        <v>44640.0</v>
      </c>
      <c r="J3" s="6">
        <v>44641.0</v>
      </c>
      <c r="K3" s="6">
        <v>44642.0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3" t="s">
        <v>2</v>
      </c>
      <c r="B4" s="8">
        <v>11130.57</v>
      </c>
      <c r="C4" s="8">
        <v>16080.36</v>
      </c>
      <c r="D4" s="8">
        <v>27392.01</v>
      </c>
      <c r="E4" s="8">
        <v>28487.03</v>
      </c>
      <c r="F4" s="8">
        <v>31578.44</v>
      </c>
      <c r="G4" s="8">
        <v>26489.46</v>
      </c>
      <c r="H4" s="8">
        <v>29065.91</v>
      </c>
      <c r="I4" s="8">
        <v>32837.5</v>
      </c>
      <c r="J4" s="8">
        <v>33498.14</v>
      </c>
      <c r="K4" s="8">
        <v>38654.49</v>
      </c>
      <c r="L4" s="9"/>
      <c r="M4" s="9" t="s">
        <v>3</v>
      </c>
      <c r="N4" s="10">
        <v>2018.0</v>
      </c>
      <c r="O4" s="10">
        <v>2019.0</v>
      </c>
      <c r="P4" s="10">
        <v>2020.0</v>
      </c>
      <c r="Q4" s="10">
        <v>2021.0</v>
      </c>
      <c r="R4" s="10">
        <v>2022.0</v>
      </c>
      <c r="S4" s="1"/>
      <c r="T4" s="1"/>
      <c r="U4" s="1"/>
      <c r="V4" s="1"/>
      <c r="W4" s="1"/>
      <c r="X4" s="1"/>
      <c r="Y4" s="1"/>
      <c r="Z4" s="1"/>
    </row>
    <row r="5" ht="14.25" customHeight="1">
      <c r="A5" s="11" t="s">
        <v>4</v>
      </c>
      <c r="B5" s="12">
        <v>6346.38</v>
      </c>
      <c r="C5" s="13">
        <v>9077.81</v>
      </c>
      <c r="D5" s="12">
        <v>19498.19</v>
      </c>
      <c r="E5" s="13">
        <v>20313.13</v>
      </c>
      <c r="F5" s="13">
        <v>21476.42</v>
      </c>
      <c r="G5" s="13">
        <v>20858.04</v>
      </c>
      <c r="H5" s="13">
        <v>22688.93</v>
      </c>
      <c r="I5" s="13">
        <v>25854.66</v>
      </c>
      <c r="J5" s="13">
        <v>25028.18</v>
      </c>
      <c r="K5" s="13">
        <v>28396.92</v>
      </c>
      <c r="L5" s="14"/>
      <c r="M5" s="14" t="s">
        <v>5</v>
      </c>
      <c r="N5" s="15">
        <v>240.0</v>
      </c>
      <c r="O5" s="15">
        <v>240.0</v>
      </c>
      <c r="P5" s="15">
        <v>240.0</v>
      </c>
      <c r="Q5" s="15">
        <v>240.0</v>
      </c>
      <c r="R5" s="15">
        <v>240.0</v>
      </c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6</v>
      </c>
      <c r="B6" s="8">
        <v>4784.19</v>
      </c>
      <c r="C6" s="16">
        <v>7002.55</v>
      </c>
      <c r="D6" s="8">
        <v>7893.82</v>
      </c>
      <c r="E6" s="16">
        <v>8173.9</v>
      </c>
      <c r="F6" s="16">
        <v>10102.02</v>
      </c>
      <c r="G6" s="16">
        <v>5631.42</v>
      </c>
      <c r="H6" s="16">
        <v>6376.98</v>
      </c>
      <c r="I6" s="16">
        <v>6982.84</v>
      </c>
      <c r="J6" s="16">
        <v>8469.96</v>
      </c>
      <c r="K6" s="16">
        <v>10257.57</v>
      </c>
      <c r="L6" s="9"/>
      <c r="M6" s="9" t="s">
        <v>7</v>
      </c>
      <c r="N6" s="15">
        <v>38074.0</v>
      </c>
      <c r="O6" s="17">
        <v>41169.0</v>
      </c>
      <c r="P6" s="17">
        <v>45025.0</v>
      </c>
      <c r="Q6" s="17">
        <v>46223.0</v>
      </c>
      <c r="R6" s="17">
        <v>47771.0</v>
      </c>
      <c r="S6" s="1"/>
      <c r="T6" s="1"/>
      <c r="U6" s="1"/>
      <c r="V6" s="1"/>
      <c r="W6" s="1"/>
      <c r="X6" s="1"/>
      <c r="Y6" s="1"/>
      <c r="Z6" s="1"/>
    </row>
    <row r="7" ht="14.25" customHeight="1">
      <c r="A7" s="11" t="s">
        <v>8</v>
      </c>
      <c r="B7" s="12">
        <v>-89.97</v>
      </c>
      <c r="C7" s="13">
        <v>-1967.96</v>
      </c>
      <c r="D7" s="12">
        <v>282.79</v>
      </c>
      <c r="E7" s="13">
        <v>-42.5</v>
      </c>
      <c r="F7" s="13">
        <v>610.4</v>
      </c>
      <c r="G7" s="13">
        <v>-135.03</v>
      </c>
      <c r="H7" s="13">
        <v>-258.28</v>
      </c>
      <c r="I7" s="13">
        <v>382.26</v>
      </c>
      <c r="J7" s="13">
        <v>-3449.21</v>
      </c>
      <c r="K7" s="13">
        <v>-3505.16</v>
      </c>
      <c r="L7" s="14"/>
      <c r="M7" s="14" t="s">
        <v>9</v>
      </c>
      <c r="N7" s="14">
        <f t="shared" ref="N7:R7" si="1">G12/(N5+N6)</f>
        <v>0.05469802161</v>
      </c>
      <c r="O7" s="14">
        <f t="shared" si="1"/>
        <v>0.06436813253</v>
      </c>
      <c r="P7" s="14">
        <f t="shared" si="1"/>
        <v>0.08317530101</v>
      </c>
      <c r="Q7" s="14">
        <f t="shared" si="1"/>
        <v>0.06249747111</v>
      </c>
      <c r="R7" s="14">
        <f t="shared" si="1"/>
        <v>0.06816625357</v>
      </c>
      <c r="S7" s="1"/>
      <c r="T7" s="1"/>
      <c r="U7" s="1"/>
      <c r="V7" s="1"/>
      <c r="W7" s="1"/>
      <c r="X7" s="1"/>
      <c r="Y7" s="1"/>
      <c r="Z7" s="1"/>
    </row>
    <row r="8" ht="14.25" customHeight="1">
      <c r="A8" s="11" t="s">
        <v>10</v>
      </c>
      <c r="B8" s="12">
        <v>336.17</v>
      </c>
      <c r="C8" s="13">
        <v>409.23</v>
      </c>
      <c r="D8" s="12">
        <v>1194.72</v>
      </c>
      <c r="E8" s="13">
        <v>1037.53</v>
      </c>
      <c r="F8" s="13">
        <v>1264.75</v>
      </c>
      <c r="G8" s="13">
        <v>1499.84</v>
      </c>
      <c r="H8" s="13">
        <v>1753.25</v>
      </c>
      <c r="I8" s="13">
        <v>2052.78</v>
      </c>
      <c r="J8" s="13">
        <v>2079.95</v>
      </c>
      <c r="K8" s="13">
        <v>2143.74</v>
      </c>
      <c r="L8" s="17"/>
      <c r="M8" s="17"/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1" t="s">
        <v>11</v>
      </c>
      <c r="B9" s="12">
        <v>43.16</v>
      </c>
      <c r="C9" s="13">
        <v>44.19</v>
      </c>
      <c r="D9" s="12">
        <v>578.99</v>
      </c>
      <c r="E9" s="13">
        <v>523.24</v>
      </c>
      <c r="F9" s="13">
        <v>399.8</v>
      </c>
      <c r="G9" s="13">
        <v>517.57</v>
      </c>
      <c r="H9" s="13">
        <v>555.25</v>
      </c>
      <c r="I9" s="13">
        <v>302.73</v>
      </c>
      <c r="J9" s="13">
        <v>141.43</v>
      </c>
      <c r="K9" s="13">
        <v>127.35</v>
      </c>
      <c r="L9" s="17"/>
      <c r="M9" s="17"/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1" t="s">
        <v>12</v>
      </c>
      <c r="B10" s="12">
        <v>4314.89</v>
      </c>
      <c r="C10" s="13">
        <v>4581.17</v>
      </c>
      <c r="D10" s="12">
        <v>6402.9</v>
      </c>
      <c r="E10" s="13">
        <v>6570.63</v>
      </c>
      <c r="F10" s="13">
        <v>9047.87</v>
      </c>
      <c r="G10" s="13">
        <v>3478.98</v>
      </c>
      <c r="H10" s="13">
        <v>3810.2</v>
      </c>
      <c r="I10" s="13">
        <v>5009.59</v>
      </c>
      <c r="J10" s="13">
        <v>2799.37</v>
      </c>
      <c r="K10" s="13">
        <v>4481.32</v>
      </c>
      <c r="L10" s="18"/>
      <c r="M10" s="18"/>
      <c r="N10" s="1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1" t="s">
        <v>13</v>
      </c>
      <c r="B11" s="12">
        <v>845.55</v>
      </c>
      <c r="C11" s="13">
        <v>702.17</v>
      </c>
      <c r="D11" s="12">
        <v>914.69</v>
      </c>
      <c r="E11" s="13">
        <v>913.77</v>
      </c>
      <c r="F11" s="13">
        <v>1211.57</v>
      </c>
      <c r="G11" s="13">
        <v>911.04</v>
      </c>
      <c r="H11" s="13">
        <v>600.88</v>
      </c>
      <c r="I11" s="13">
        <v>822.8</v>
      </c>
      <c r="J11" s="13">
        <v>514.69</v>
      </c>
      <c r="K11" s="13">
        <v>1075.5</v>
      </c>
      <c r="L11" s="17"/>
      <c r="M11" s="19" t="s">
        <v>14</v>
      </c>
      <c r="N11" s="2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" t="s">
        <v>15</v>
      </c>
      <c r="B12" s="8">
        <v>2983.06</v>
      </c>
      <c r="C12" s="8">
        <v>3141.47</v>
      </c>
      <c r="D12" s="8">
        <v>4539.38</v>
      </c>
      <c r="E12" s="8">
        <v>4545.71</v>
      </c>
      <c r="F12" s="8">
        <v>6964.37</v>
      </c>
      <c r="G12" s="8">
        <v>2095.7</v>
      </c>
      <c r="H12" s="8">
        <v>2665.42</v>
      </c>
      <c r="I12" s="8">
        <v>3764.93</v>
      </c>
      <c r="J12" s="8">
        <v>2903.82</v>
      </c>
      <c r="K12" s="8">
        <v>3272.73</v>
      </c>
      <c r="L12" s="21"/>
      <c r="M12" s="21"/>
      <c r="N12" s="2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2" t="s">
        <v>16</v>
      </c>
      <c r="B13" s="21">
        <f t="shared" ref="B13:K13" si="2">B14+B8</f>
        <v>4694.22</v>
      </c>
      <c r="C13" s="17">
        <f t="shared" si="2"/>
        <v>5034.59</v>
      </c>
      <c r="D13" s="21">
        <f t="shared" si="2"/>
        <v>8176.61</v>
      </c>
      <c r="E13" s="17">
        <f t="shared" si="2"/>
        <v>8131.4</v>
      </c>
      <c r="F13" s="17">
        <f t="shared" si="2"/>
        <v>10712.42</v>
      </c>
      <c r="G13" s="17">
        <f t="shared" si="2"/>
        <v>5496.39</v>
      </c>
      <c r="H13" s="17">
        <f t="shared" si="2"/>
        <v>6118.7</v>
      </c>
      <c r="I13" s="17">
        <f t="shared" si="2"/>
        <v>7365.1</v>
      </c>
      <c r="J13" s="17">
        <f t="shared" si="2"/>
        <v>5020.75</v>
      </c>
      <c r="K13" s="17">
        <f t="shared" si="2"/>
        <v>6752.41</v>
      </c>
      <c r="L13" s="17"/>
      <c r="M13" s="17"/>
      <c r="N13" s="1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2" t="s">
        <v>17</v>
      </c>
      <c r="B14" s="21">
        <f t="shared" ref="B14:K14" si="3">B6+B7-B8</f>
        <v>4358.05</v>
      </c>
      <c r="C14" s="15">
        <f t="shared" si="3"/>
        <v>4625.36</v>
      </c>
      <c r="D14" s="21">
        <f t="shared" si="3"/>
        <v>6981.89</v>
      </c>
      <c r="E14" s="15">
        <f t="shared" si="3"/>
        <v>7093.87</v>
      </c>
      <c r="F14" s="15">
        <f t="shared" si="3"/>
        <v>9447.67</v>
      </c>
      <c r="G14" s="15">
        <f t="shared" si="3"/>
        <v>3996.55</v>
      </c>
      <c r="H14" s="15">
        <f t="shared" si="3"/>
        <v>4365.45</v>
      </c>
      <c r="I14" s="15">
        <f t="shared" si="3"/>
        <v>5312.32</v>
      </c>
      <c r="J14" s="15">
        <f t="shared" si="3"/>
        <v>2940.8</v>
      </c>
      <c r="K14" s="15">
        <f t="shared" si="3"/>
        <v>4608.67</v>
      </c>
      <c r="L14" s="15"/>
      <c r="M14" s="23"/>
      <c r="N14" s="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1" t="s">
        <v>18</v>
      </c>
      <c r="B15" s="24">
        <v>11755.67</v>
      </c>
      <c r="C15" s="25">
        <v>18650.31</v>
      </c>
      <c r="D15" s="24">
        <v>31285.81</v>
      </c>
      <c r="E15" s="25">
        <v>35549.92</v>
      </c>
      <c r="F15" s="25">
        <v>39427.02</v>
      </c>
      <c r="G15" s="25">
        <v>35836.71</v>
      </c>
      <c r="H15" s="25">
        <v>33439.31</v>
      </c>
      <c r="I15" s="25">
        <v>33983.96</v>
      </c>
      <c r="J15" s="25">
        <v>34889.96</v>
      </c>
      <c r="K15" s="25">
        <v>33172.88</v>
      </c>
      <c r="L15" s="18"/>
      <c r="M15" s="1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 t="s">
        <v>19</v>
      </c>
      <c r="B16" s="24">
        <v>5127.88</v>
      </c>
      <c r="C16" s="24">
        <v>8009.34</v>
      </c>
      <c r="D16" s="24">
        <v>14137.37</v>
      </c>
      <c r="E16" s="24">
        <v>13948.93</v>
      </c>
      <c r="F16" s="24">
        <v>14624.01</v>
      </c>
      <c r="G16" s="24">
        <v>15598.01</v>
      </c>
      <c r="H16" s="24">
        <v>12666.11</v>
      </c>
      <c r="I16" s="24">
        <v>14614.99</v>
      </c>
      <c r="J16" s="24">
        <v>17290.86</v>
      </c>
      <c r="K16" s="24">
        <v>20466.49</v>
      </c>
    </row>
    <row r="17" ht="14.25" customHeight="1">
      <c r="A17" s="22" t="s">
        <v>20</v>
      </c>
      <c r="B17" s="21">
        <v>14.4</v>
      </c>
      <c r="C17" s="15">
        <v>15.17</v>
      </c>
      <c r="D17" s="21">
        <v>21.92</v>
      </c>
      <c r="E17" s="15">
        <v>18.89</v>
      </c>
      <c r="F17" s="15">
        <v>29.03</v>
      </c>
      <c r="G17" s="15">
        <v>8.73</v>
      </c>
      <c r="H17" s="15">
        <v>11.11</v>
      </c>
      <c r="I17" s="15">
        <v>15.69</v>
      </c>
      <c r="J17" s="15">
        <v>12.1</v>
      </c>
      <c r="K17" s="15">
        <v>13.64</v>
      </c>
      <c r="L17" s="18"/>
      <c r="M17" s="18"/>
      <c r="N17" s="1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 t="s">
        <v>21</v>
      </c>
      <c r="B18" s="26">
        <f t="shared" ref="B18:K18" si="4">B15-B16</f>
        <v>6627.79</v>
      </c>
      <c r="C18" s="15">
        <f t="shared" si="4"/>
        <v>10640.97</v>
      </c>
      <c r="D18" s="21">
        <f t="shared" si="4"/>
        <v>17148.44</v>
      </c>
      <c r="E18" s="15">
        <f t="shared" si="4"/>
        <v>21600.99</v>
      </c>
      <c r="F18" s="15">
        <f t="shared" si="4"/>
        <v>24803.01</v>
      </c>
      <c r="G18" s="15">
        <f t="shared" si="4"/>
        <v>20238.7</v>
      </c>
      <c r="H18" s="15">
        <f t="shared" si="4"/>
        <v>20773.2</v>
      </c>
      <c r="I18" s="15">
        <f t="shared" si="4"/>
        <v>19368.97</v>
      </c>
      <c r="J18" s="15">
        <f t="shared" si="4"/>
        <v>17599.1</v>
      </c>
      <c r="K18" s="15">
        <f t="shared" si="4"/>
        <v>12706.39</v>
      </c>
      <c r="L18" s="18"/>
      <c r="M18" s="18"/>
      <c r="N18" s="1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1" t="s">
        <v>22</v>
      </c>
      <c r="B19" s="27">
        <v>0.0</v>
      </c>
      <c r="C19" s="15">
        <f t="shared" ref="C19:K19" si="5">C18-B18</f>
        <v>4013.18</v>
      </c>
      <c r="D19" s="21">
        <f t="shared" si="5"/>
        <v>6507.47</v>
      </c>
      <c r="E19" s="15">
        <f t="shared" si="5"/>
        <v>4452.55</v>
      </c>
      <c r="F19" s="15">
        <f t="shared" si="5"/>
        <v>3202.02</v>
      </c>
      <c r="G19" s="15">
        <f t="shared" si="5"/>
        <v>-4564.31</v>
      </c>
      <c r="H19" s="15">
        <f t="shared" si="5"/>
        <v>534.5</v>
      </c>
      <c r="I19" s="15">
        <f t="shared" si="5"/>
        <v>-1404.23</v>
      </c>
      <c r="J19" s="15">
        <f t="shared" si="5"/>
        <v>-1769.87</v>
      </c>
      <c r="K19" s="15">
        <f t="shared" si="5"/>
        <v>-4892.71</v>
      </c>
      <c r="L19" s="18"/>
      <c r="M19" s="18"/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2"/>
      <c r="B20" s="21"/>
      <c r="C20" s="15"/>
      <c r="D20" s="21"/>
      <c r="E20" s="15"/>
      <c r="F20" s="15"/>
      <c r="G20" s="15"/>
      <c r="H20" s="15"/>
      <c r="I20" s="15"/>
      <c r="J20" s="15"/>
      <c r="K20" s="15"/>
      <c r="L20" s="18"/>
      <c r="M20" s="18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" t="s">
        <v>23</v>
      </c>
      <c r="B21" s="21">
        <v>8709.0</v>
      </c>
      <c r="C21" s="15">
        <v>10485.0</v>
      </c>
      <c r="D21" s="21">
        <v>20407.0</v>
      </c>
      <c r="E21" s="15">
        <v>22180.0</v>
      </c>
      <c r="F21" s="15">
        <v>24466.0</v>
      </c>
      <c r="G21" s="15">
        <v>26949.0</v>
      </c>
      <c r="H21" s="15">
        <v>31687.0</v>
      </c>
      <c r="I21" s="15">
        <v>35116.0</v>
      </c>
      <c r="J21" s="15">
        <v>35579.0</v>
      </c>
      <c r="K21" s="15">
        <v>38502.0</v>
      </c>
      <c r="L21" s="18"/>
      <c r="M21" s="18"/>
      <c r="N21" s="1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 t="s">
        <v>24</v>
      </c>
      <c r="B22" s="28">
        <v>0.0</v>
      </c>
      <c r="C22" s="15">
        <f t="shared" ref="C22:K22" si="6">C21-B21</f>
        <v>1776</v>
      </c>
      <c r="D22" s="21">
        <f t="shared" si="6"/>
        <v>9922</v>
      </c>
      <c r="E22" s="15">
        <f t="shared" si="6"/>
        <v>1773</v>
      </c>
      <c r="F22" s="15">
        <f t="shared" si="6"/>
        <v>2286</v>
      </c>
      <c r="G22" s="15">
        <f t="shared" si="6"/>
        <v>2483</v>
      </c>
      <c r="H22" s="15">
        <f t="shared" si="6"/>
        <v>4738</v>
      </c>
      <c r="I22" s="15">
        <f t="shared" si="6"/>
        <v>3429</v>
      </c>
      <c r="J22" s="15">
        <f t="shared" si="6"/>
        <v>463</v>
      </c>
      <c r="K22" s="15">
        <f t="shared" si="6"/>
        <v>2923</v>
      </c>
      <c r="L22" s="18"/>
      <c r="M22" s="18"/>
      <c r="N22" s="1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2"/>
      <c r="B23" s="21"/>
      <c r="C23" s="15"/>
      <c r="D23" s="21"/>
      <c r="E23" s="15"/>
      <c r="F23" s="15"/>
      <c r="G23" s="15"/>
      <c r="H23" s="15"/>
      <c r="I23" s="15"/>
      <c r="J23" s="15"/>
      <c r="K23" s="15"/>
      <c r="L23" s="18"/>
      <c r="M23" s="18"/>
      <c r="N23" s="1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2" t="s">
        <v>25</v>
      </c>
      <c r="B24" s="21">
        <f>K11/K10</f>
        <v>0.2399962511</v>
      </c>
      <c r="C24" s="15"/>
      <c r="D24" s="21"/>
      <c r="E24" s="15"/>
      <c r="F24" s="15"/>
      <c r="G24" s="15"/>
      <c r="H24" s="15"/>
      <c r="I24" s="15"/>
      <c r="J24" s="15"/>
      <c r="K24" s="15"/>
      <c r="L24" s="18"/>
      <c r="M24" s="18"/>
      <c r="N24" s="1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 t="s">
        <v>26</v>
      </c>
      <c r="B25" s="21">
        <f t="shared" ref="B25:K25" si="7">B14*(1-B24)+B8-B22-B19</f>
        <v>3648.304338</v>
      </c>
      <c r="C25" s="15">
        <f t="shared" si="7"/>
        <v>-754.59</v>
      </c>
      <c r="D25" s="21">
        <f t="shared" si="7"/>
        <v>-8252.86</v>
      </c>
      <c r="E25" s="15">
        <f t="shared" si="7"/>
        <v>1905.85</v>
      </c>
      <c r="F25" s="15">
        <f t="shared" si="7"/>
        <v>5224.4</v>
      </c>
      <c r="G25" s="15">
        <f t="shared" si="7"/>
        <v>7577.7</v>
      </c>
      <c r="H25" s="15">
        <f t="shared" si="7"/>
        <v>846.2</v>
      </c>
      <c r="I25" s="15">
        <f t="shared" si="7"/>
        <v>5340.33</v>
      </c>
      <c r="J25" s="15">
        <f t="shared" si="7"/>
        <v>6327.62</v>
      </c>
      <c r="K25" s="15">
        <f t="shared" si="7"/>
        <v>8722.12</v>
      </c>
      <c r="L25" s="18"/>
      <c r="M25" s="18"/>
      <c r="N25" s="1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" t="s">
        <v>27</v>
      </c>
      <c r="B26" s="29">
        <f>2399334970/10^7</f>
        <v>239.933497</v>
      </c>
      <c r="C26" s="15"/>
      <c r="D26" s="21"/>
      <c r="E26" s="15"/>
      <c r="F26" s="15"/>
      <c r="G26" s="15"/>
      <c r="H26" s="15"/>
      <c r="I26" s="15"/>
      <c r="J26" s="15"/>
      <c r="K26" s="15"/>
      <c r="L26" s="18"/>
      <c r="M26" s="18"/>
      <c r="N26" s="1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 t="s">
        <v>28</v>
      </c>
      <c r="B27" s="27">
        <f>B12-(B22-B8+B19)*(1-$B$28)</f>
        <v>3263.201667</v>
      </c>
      <c r="C27" s="15">
        <f t="shared" ref="C27:K27" si="8">C12-(C22-C8+C19)*(1-$B$27)</f>
        <v>17553623.33</v>
      </c>
      <c r="D27" s="21">
        <f t="shared" si="8"/>
        <v>49703366.22</v>
      </c>
      <c r="E27" s="15">
        <f t="shared" si="8"/>
        <v>16928913.2</v>
      </c>
      <c r="F27" s="15">
        <f t="shared" si="8"/>
        <v>13784122.8</v>
      </c>
      <c r="G27" s="15">
        <f t="shared" si="8"/>
        <v>-11680337.8</v>
      </c>
      <c r="H27" s="15">
        <f t="shared" si="8"/>
        <v>11483168.64</v>
      </c>
      <c r="I27" s="15">
        <f t="shared" si="8"/>
        <v>-87609.33868</v>
      </c>
      <c r="J27" s="15">
        <f t="shared" si="8"/>
        <v>-11045586.03</v>
      </c>
      <c r="K27" s="15">
        <f t="shared" si="8"/>
        <v>-13415630.72</v>
      </c>
      <c r="L27" s="18"/>
      <c r="M27" s="18"/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3" t="s">
        <v>29</v>
      </c>
      <c r="B28" s="10">
        <f>2/12</f>
        <v>0.1666666667</v>
      </c>
      <c r="C28" s="15"/>
      <c r="D28" s="21"/>
      <c r="E28" s="15"/>
      <c r="F28" s="15"/>
      <c r="G28" s="15"/>
      <c r="H28" s="15"/>
      <c r="I28" s="15"/>
      <c r="J28" s="15"/>
      <c r="K28" s="15"/>
      <c r="L28" s="18"/>
      <c r="M28" s="18"/>
      <c r="N28" s="1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30</v>
      </c>
      <c r="B29" s="21">
        <f t="shared" ref="B29:K29" si="9">B25/$B$26</f>
        <v>15.20548145</v>
      </c>
      <c r="C29" s="15">
        <f t="shared" si="9"/>
        <v>-3.144996465</v>
      </c>
      <c r="D29" s="21">
        <f t="shared" si="9"/>
        <v>-34.39644778</v>
      </c>
      <c r="E29" s="15">
        <f t="shared" si="9"/>
        <v>7.943242706</v>
      </c>
      <c r="F29" s="15">
        <f t="shared" si="9"/>
        <v>21.77436692</v>
      </c>
      <c r="G29" s="15">
        <f t="shared" si="9"/>
        <v>31.58250138</v>
      </c>
      <c r="H29" s="15">
        <f t="shared" si="9"/>
        <v>3.526810598</v>
      </c>
      <c r="I29" s="15">
        <f t="shared" si="9"/>
        <v>22.25754247</v>
      </c>
      <c r="J29" s="15">
        <f t="shared" si="9"/>
        <v>26.37239101</v>
      </c>
      <c r="K29" s="15">
        <f t="shared" si="9"/>
        <v>36.35223972</v>
      </c>
      <c r="L29" s="18"/>
      <c r="M29" s="18"/>
      <c r="N29" s="1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0" t="s">
        <v>31</v>
      </c>
      <c r="B30" s="21">
        <f t="shared" ref="B30:K30" si="10">B27/$B$26</f>
        <v>13.60044224</v>
      </c>
      <c r="C30" s="15">
        <f t="shared" si="10"/>
        <v>73160.36963</v>
      </c>
      <c r="D30" s="21">
        <f t="shared" si="10"/>
        <v>207154.761</v>
      </c>
      <c r="E30" s="15">
        <f t="shared" si="10"/>
        <v>70556.6893</v>
      </c>
      <c r="F30" s="15">
        <f t="shared" si="10"/>
        <v>57449.7641</v>
      </c>
      <c r="G30" s="15">
        <f t="shared" si="10"/>
        <v>-48681.56362</v>
      </c>
      <c r="H30" s="15">
        <f t="shared" si="10"/>
        <v>47859.79773</v>
      </c>
      <c r="I30" s="15">
        <f t="shared" si="10"/>
        <v>-365.14009</v>
      </c>
      <c r="J30" s="15">
        <f t="shared" si="10"/>
        <v>-46036.03151</v>
      </c>
      <c r="K30" s="15">
        <f t="shared" si="10"/>
        <v>-55913.95484</v>
      </c>
      <c r="L30" s="18"/>
      <c r="M30" s="18"/>
      <c r="N30" s="1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31"/>
      <c r="B31" s="21"/>
      <c r="C31" s="15"/>
      <c r="D31" s="21"/>
      <c r="E31" s="15"/>
      <c r="F31" s="15"/>
      <c r="G31" s="15"/>
      <c r="H31" s="15"/>
      <c r="I31" s="15"/>
      <c r="J31" s="15"/>
      <c r="K31" s="15"/>
      <c r="L31" s="18"/>
      <c r="M31" s="18"/>
      <c r="N31" s="1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" t="s">
        <v>32</v>
      </c>
      <c r="B32" s="24">
        <v>20377.32</v>
      </c>
      <c r="C32" s="25">
        <v>29095.15</v>
      </c>
      <c r="D32" s="24">
        <v>48723.19</v>
      </c>
      <c r="E32" s="25">
        <v>55427.5</v>
      </c>
      <c r="F32" s="25">
        <v>61095.45</v>
      </c>
      <c r="G32" s="25">
        <v>64297.39</v>
      </c>
      <c r="H32" s="25">
        <v>64589.53</v>
      </c>
      <c r="I32" s="25">
        <v>68194.32</v>
      </c>
      <c r="J32" s="25">
        <v>67622.22</v>
      </c>
      <c r="K32" s="25">
        <v>69768.01</v>
      </c>
      <c r="L32" s="18"/>
      <c r="M32" s="18"/>
      <c r="N32" s="1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3" t="s">
        <v>33</v>
      </c>
      <c r="B33" s="21">
        <f t="shared" ref="B33:K33" si="11">B32-B16</f>
        <v>15249.44</v>
      </c>
      <c r="C33" s="15">
        <f t="shared" si="11"/>
        <v>21085.81</v>
      </c>
      <c r="D33" s="21">
        <f t="shared" si="11"/>
        <v>34585.82</v>
      </c>
      <c r="E33" s="15">
        <f t="shared" si="11"/>
        <v>41478.57</v>
      </c>
      <c r="F33" s="15">
        <f t="shared" si="11"/>
        <v>46471.44</v>
      </c>
      <c r="G33" s="15">
        <f t="shared" si="11"/>
        <v>48699.38</v>
      </c>
      <c r="H33" s="15">
        <f t="shared" si="11"/>
        <v>51923.42</v>
      </c>
      <c r="I33" s="15">
        <f t="shared" si="11"/>
        <v>53579.33</v>
      </c>
      <c r="J33" s="15">
        <f t="shared" si="11"/>
        <v>50331.36</v>
      </c>
      <c r="K33" s="15">
        <f t="shared" si="11"/>
        <v>49301.52</v>
      </c>
      <c r="L33" s="18"/>
      <c r="M33" s="18"/>
      <c r="N33" s="1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31"/>
      <c r="B34" s="21"/>
      <c r="C34" s="15"/>
      <c r="D34" s="21"/>
      <c r="E34" s="15"/>
      <c r="F34" s="15"/>
      <c r="G34" s="15"/>
      <c r="H34" s="15"/>
      <c r="I34" s="15"/>
      <c r="J34" s="15"/>
      <c r="K34" s="15"/>
      <c r="L34" s="18"/>
      <c r="M34" s="18"/>
      <c r="N34" s="1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3" t="s">
        <v>34</v>
      </c>
      <c r="B35" s="21">
        <f t="shared" ref="B35:K35" si="12">B14/B33</f>
        <v>0.2857842649</v>
      </c>
      <c r="C35" s="15">
        <f t="shared" si="12"/>
        <v>0.2193588959</v>
      </c>
      <c r="D35" s="21">
        <f t="shared" si="12"/>
        <v>0.2018714606</v>
      </c>
      <c r="E35" s="15">
        <f t="shared" si="12"/>
        <v>0.1710249413</v>
      </c>
      <c r="F35" s="15">
        <f t="shared" si="12"/>
        <v>0.2033005648</v>
      </c>
      <c r="G35" s="15">
        <f t="shared" si="12"/>
        <v>0.0820657265</v>
      </c>
      <c r="H35" s="15">
        <f t="shared" si="12"/>
        <v>0.08407477782</v>
      </c>
      <c r="I35" s="15">
        <f t="shared" si="12"/>
        <v>0.0991486829</v>
      </c>
      <c r="J35" s="15">
        <f t="shared" si="12"/>
        <v>0.05842878078</v>
      </c>
      <c r="K35" s="15">
        <f t="shared" si="12"/>
        <v>0.09347926798</v>
      </c>
      <c r="L35" s="18"/>
      <c r="M35" s="18"/>
      <c r="N35" s="1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3" t="s">
        <v>35</v>
      </c>
      <c r="B36" s="21">
        <f t="shared" ref="B36:K36" si="13">B35*B33</f>
        <v>4358.05</v>
      </c>
      <c r="C36" s="15">
        <f t="shared" si="13"/>
        <v>4625.36</v>
      </c>
      <c r="D36" s="21">
        <f t="shared" si="13"/>
        <v>6981.89</v>
      </c>
      <c r="E36" s="15">
        <f t="shared" si="13"/>
        <v>7093.87</v>
      </c>
      <c r="F36" s="15">
        <f t="shared" si="13"/>
        <v>9447.67</v>
      </c>
      <c r="G36" s="15">
        <f t="shared" si="13"/>
        <v>3996.55</v>
      </c>
      <c r="H36" s="15">
        <f t="shared" si="13"/>
        <v>4365.45</v>
      </c>
      <c r="I36" s="15">
        <f t="shared" si="13"/>
        <v>5312.32</v>
      </c>
      <c r="J36" s="15">
        <f t="shared" si="13"/>
        <v>2940.8</v>
      </c>
      <c r="K36" s="15">
        <f t="shared" si="13"/>
        <v>4608.67</v>
      </c>
      <c r="L36" s="18"/>
      <c r="M36" s="18"/>
      <c r="N36" s="1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30" t="s">
        <v>36</v>
      </c>
      <c r="B37" s="21">
        <f t="shared" ref="B37:K37" si="14">B36/$B$26</f>
        <v>18.16357472</v>
      </c>
      <c r="C37" s="15">
        <f t="shared" si="14"/>
        <v>19.2776751</v>
      </c>
      <c r="D37" s="21">
        <f t="shared" si="14"/>
        <v>29.09927162</v>
      </c>
      <c r="E37" s="15">
        <f t="shared" si="14"/>
        <v>29.56598428</v>
      </c>
      <c r="F37" s="15">
        <f t="shared" si="14"/>
        <v>39.37620265</v>
      </c>
      <c r="G37" s="15">
        <f t="shared" si="14"/>
        <v>16.65690723</v>
      </c>
      <c r="H37" s="15">
        <f t="shared" si="14"/>
        <v>18.1944166</v>
      </c>
      <c r="I37" s="15">
        <f t="shared" si="14"/>
        <v>22.14080179</v>
      </c>
      <c r="J37" s="15">
        <f t="shared" si="14"/>
        <v>12.25672962</v>
      </c>
      <c r="K37" s="15">
        <f t="shared" si="14"/>
        <v>19.20811416</v>
      </c>
      <c r="L37" s="18"/>
      <c r="M37" s="18"/>
      <c r="N37" s="1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32"/>
      <c r="B38" s="33"/>
      <c r="C38" s="15"/>
      <c r="D38" s="21"/>
      <c r="E38" s="15"/>
      <c r="F38" s="15"/>
      <c r="G38" s="15"/>
      <c r="H38" s="15"/>
      <c r="I38" s="15"/>
      <c r="J38" s="15"/>
      <c r="K38" s="15"/>
      <c r="L38" s="18"/>
      <c r="M38" s="18"/>
      <c r="N38" s="1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1" t="s">
        <v>37</v>
      </c>
      <c r="B39" s="21"/>
      <c r="C39" s="34">
        <f t="shared" ref="C39:K39" si="15">(C37-B37)/B37</f>
        <v>0.06133706589</v>
      </c>
      <c r="D39" s="21">
        <f t="shared" si="15"/>
        <v>0.5094803432</v>
      </c>
      <c r="E39" s="34">
        <f t="shared" si="15"/>
        <v>0.0160386371</v>
      </c>
      <c r="F39" s="34">
        <f t="shared" si="15"/>
        <v>0.3318076029</v>
      </c>
      <c r="G39" s="34">
        <f t="shared" si="15"/>
        <v>-0.576980356</v>
      </c>
      <c r="H39" s="34">
        <f t="shared" si="15"/>
        <v>0.09230461273</v>
      </c>
      <c r="I39" s="34">
        <f t="shared" si="15"/>
        <v>0.2169008922</v>
      </c>
      <c r="J39" s="34">
        <f t="shared" si="15"/>
        <v>-0.4464188904</v>
      </c>
      <c r="K39" s="34">
        <f t="shared" si="15"/>
        <v>0.567148395</v>
      </c>
      <c r="L39" s="18"/>
      <c r="M39" s="18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35" t="s">
        <v>38</v>
      </c>
      <c r="B40" s="21">
        <f>(K37-G37)/(5*G37)</f>
        <v>0.03063242046</v>
      </c>
      <c r="C40" s="15"/>
      <c r="D40" s="21"/>
      <c r="E40" s="15"/>
      <c r="F40" s="15"/>
      <c r="G40" s="15"/>
      <c r="H40" s="15"/>
      <c r="I40" s="15"/>
      <c r="J40" s="15"/>
      <c r="K40" s="15"/>
      <c r="L40" s="18"/>
      <c r="M40" s="18"/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1" t="s">
        <v>39</v>
      </c>
      <c r="B41" s="21"/>
      <c r="C41" s="15">
        <f t="shared" ref="C41:K41" si="16">(C30-B30)/B30</f>
        <v>5378.264023</v>
      </c>
      <c r="D41" s="21">
        <f t="shared" si="16"/>
        <v>1.831516052</v>
      </c>
      <c r="E41" s="15">
        <f t="shared" si="16"/>
        <v>-0.6594010731</v>
      </c>
      <c r="F41" s="15">
        <f t="shared" si="16"/>
        <v>-0.1857644587</v>
      </c>
      <c r="G41" s="15">
        <f t="shared" si="16"/>
        <v>-1.847376214</v>
      </c>
      <c r="H41" s="15">
        <f t="shared" si="16"/>
        <v>-1.983119567</v>
      </c>
      <c r="I41" s="15">
        <f t="shared" si="16"/>
        <v>-1.00762937</v>
      </c>
      <c r="J41" s="15">
        <f t="shared" si="16"/>
        <v>125.0777241</v>
      </c>
      <c r="K41" s="15">
        <f t="shared" si="16"/>
        <v>0.2145693928</v>
      </c>
      <c r="L41" s="18"/>
      <c r="M41" s="18"/>
      <c r="N41" s="1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5" t="s">
        <v>40</v>
      </c>
      <c r="B42" s="21">
        <f>(K30-G30)/(5*G30)</f>
        <v>0.02971306048</v>
      </c>
      <c r="C42" s="15"/>
      <c r="D42" s="21"/>
      <c r="E42" s="15"/>
      <c r="F42" s="15"/>
      <c r="G42" s="15"/>
      <c r="H42" s="15"/>
      <c r="I42" s="15"/>
      <c r="J42" s="15"/>
      <c r="K42" s="15"/>
      <c r="L42" s="18"/>
      <c r="M42" s="18"/>
      <c r="N42" s="1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36" t="s">
        <v>41</v>
      </c>
      <c r="B43" s="21">
        <v>8.77</v>
      </c>
      <c r="C43" s="15">
        <v>12.83</v>
      </c>
      <c r="D43" s="21">
        <v>14.4</v>
      </c>
      <c r="E43" s="15">
        <v>15.17</v>
      </c>
      <c r="F43" s="15">
        <v>18.89</v>
      </c>
      <c r="G43" s="15">
        <v>21.92</v>
      </c>
      <c r="H43" s="15">
        <v>29.03</v>
      </c>
      <c r="I43" s="15">
        <v>8.73</v>
      </c>
      <c r="J43" s="15">
        <v>11.11</v>
      </c>
      <c r="K43" s="15">
        <v>15.69</v>
      </c>
      <c r="L43" s="18"/>
      <c r="M43" s="18"/>
      <c r="N43" s="1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36" t="s">
        <v>42</v>
      </c>
      <c r="B44" s="21">
        <v>0.2</v>
      </c>
      <c r="C44" s="37">
        <v>0.17</v>
      </c>
      <c r="D44" s="21">
        <v>0.09</v>
      </c>
      <c r="E44" s="37">
        <v>0.1</v>
      </c>
      <c r="F44" s="37">
        <v>0.05</v>
      </c>
      <c r="G44" s="37">
        <v>0.14</v>
      </c>
      <c r="H44" s="37">
        <v>0.12</v>
      </c>
      <c r="I44" s="37">
        <v>0.23</v>
      </c>
      <c r="J44" s="37">
        <v>0.25</v>
      </c>
      <c r="K44" s="37">
        <v>0.25</v>
      </c>
      <c r="L44" s="37"/>
      <c r="M44" s="3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19</v>
      </c>
      <c r="B45" s="2">
        <v>35491.89</v>
      </c>
      <c r="C45" s="1">
        <v>42776.29</v>
      </c>
      <c r="D45" s="2">
        <v>34180.55</v>
      </c>
      <c r="E45" s="1">
        <v>38320.95</v>
      </c>
      <c r="F45" s="1">
        <v>48769.82</v>
      </c>
      <c r="G45" s="1">
        <v>59000.32</v>
      </c>
      <c r="H45" s="1">
        <v>58897.59</v>
      </c>
      <c r="I45" s="1">
        <v>71430.27</v>
      </c>
      <c r="J45" s="1">
        <v>78278.83</v>
      </c>
      <c r="K45" s="1">
        <v>90638.6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0.71"/>
    <col customWidth="1" min="2" max="6" width="13.43"/>
    <col customWidth="1" min="7" max="7" width="14.86"/>
    <col customWidth="1" min="8" max="11" width="13.43"/>
    <col customWidth="1" min="12" max="12" width="13.29"/>
    <col customWidth="1" min="13" max="13" width="30.57"/>
    <col customWidth="1" min="14" max="14" width="12.14"/>
    <col customWidth="1" min="15" max="15" width="9.57"/>
    <col customWidth="1" min="16" max="26" width="8.86"/>
  </cols>
  <sheetData>
    <row r="1">
      <c r="A1" s="38" t="s">
        <v>43</v>
      </c>
      <c r="B1" s="39"/>
      <c r="C1" s="39"/>
      <c r="D1" s="39"/>
      <c r="E1" s="39"/>
      <c r="F1" s="39"/>
      <c r="G1" s="39"/>
      <c r="I1" s="39"/>
      <c r="J1" s="40"/>
      <c r="K1" s="40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1" t="s">
        <v>1</v>
      </c>
      <c r="B3" s="42">
        <v>41346.0</v>
      </c>
      <c r="C3" s="42">
        <v>41712.0</v>
      </c>
      <c r="D3" s="42">
        <v>42078.0</v>
      </c>
      <c r="E3" s="42">
        <v>42445.0</v>
      </c>
      <c r="F3" s="42">
        <v>42811.0</v>
      </c>
      <c r="G3" s="42">
        <v>43177.0</v>
      </c>
      <c r="H3" s="42">
        <v>43543.0</v>
      </c>
      <c r="I3" s="42">
        <v>43910.0</v>
      </c>
      <c r="J3" s="42">
        <v>44276.0</v>
      </c>
      <c r="K3" s="43">
        <v>44642.0</v>
      </c>
      <c r="L3" s="44"/>
      <c r="M3" s="44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46" t="s">
        <v>2</v>
      </c>
      <c r="B4" s="47">
        <v>1048.8</v>
      </c>
      <c r="C4" s="47">
        <v>1111.59</v>
      </c>
      <c r="D4" s="47">
        <v>1852.54</v>
      </c>
      <c r="E4" s="47">
        <v>2012.34</v>
      </c>
      <c r="F4" s="47">
        <v>1966.26</v>
      </c>
      <c r="G4" s="47">
        <v>1968.51</v>
      </c>
      <c r="H4" s="47">
        <v>2081.5</v>
      </c>
      <c r="I4" s="47">
        <v>2151.65</v>
      </c>
      <c r="J4" s="47">
        <v>2238.55</v>
      </c>
      <c r="K4" s="47">
        <v>2610.99</v>
      </c>
      <c r="L4" s="9"/>
      <c r="M4" s="9" t="s">
        <v>3</v>
      </c>
      <c r="N4" s="10">
        <v>2018.0</v>
      </c>
      <c r="O4" s="10">
        <v>2019.0</v>
      </c>
      <c r="P4" s="10">
        <v>2020.0</v>
      </c>
      <c r="Q4" s="10">
        <v>2021.0</v>
      </c>
      <c r="R4" s="10">
        <v>2022.0</v>
      </c>
      <c r="S4" s="39"/>
      <c r="T4" s="39"/>
      <c r="U4" s="39"/>
      <c r="V4" s="39"/>
      <c r="W4" s="39"/>
      <c r="X4" s="39"/>
      <c r="Y4" s="39"/>
      <c r="Z4" s="39"/>
    </row>
    <row r="5">
      <c r="A5" s="19" t="s">
        <v>4</v>
      </c>
      <c r="B5" s="48">
        <v>864.65</v>
      </c>
      <c r="C5" s="48">
        <v>872.32</v>
      </c>
      <c r="D5" s="48">
        <v>1438.45</v>
      </c>
      <c r="E5" s="48">
        <v>1579.26</v>
      </c>
      <c r="F5" s="48">
        <v>1616.13</v>
      </c>
      <c r="G5" s="48">
        <v>1467.87</v>
      </c>
      <c r="H5" s="48">
        <v>1515.87</v>
      </c>
      <c r="I5" s="48">
        <v>1577.82</v>
      </c>
      <c r="J5" s="48">
        <v>1526.15</v>
      </c>
      <c r="K5" s="48">
        <v>1775.05</v>
      </c>
      <c r="L5" s="14"/>
      <c r="M5" s="14" t="s">
        <v>5</v>
      </c>
      <c r="N5" s="15">
        <v>46.0</v>
      </c>
      <c r="O5" s="15">
        <v>46.0</v>
      </c>
      <c r="P5" s="15">
        <v>46.0</v>
      </c>
      <c r="Q5" s="15">
        <v>46.0</v>
      </c>
      <c r="R5" s="15">
        <v>46.0</v>
      </c>
      <c r="S5" s="1"/>
      <c r="T5" s="1"/>
      <c r="U5" s="1"/>
      <c r="V5" s="1"/>
      <c r="W5" s="1"/>
      <c r="X5" s="1"/>
      <c r="Y5" s="1"/>
      <c r="Z5" s="1"/>
    </row>
    <row r="6">
      <c r="A6" s="39" t="s">
        <v>6</v>
      </c>
      <c r="B6" s="49">
        <f t="shared" ref="B6:K6" si="1">B4-B5</f>
        <v>184.15</v>
      </c>
      <c r="C6" s="49">
        <f t="shared" si="1"/>
        <v>239.27</v>
      </c>
      <c r="D6" s="49">
        <f t="shared" si="1"/>
        <v>414.09</v>
      </c>
      <c r="E6" s="49">
        <f t="shared" si="1"/>
        <v>433.08</v>
      </c>
      <c r="F6" s="49">
        <f t="shared" si="1"/>
        <v>350.13</v>
      </c>
      <c r="G6" s="49">
        <f t="shared" si="1"/>
        <v>500.64</v>
      </c>
      <c r="H6" s="49">
        <f t="shared" si="1"/>
        <v>565.63</v>
      </c>
      <c r="I6" s="49">
        <f t="shared" si="1"/>
        <v>573.83</v>
      </c>
      <c r="J6" s="49">
        <f t="shared" si="1"/>
        <v>712.4</v>
      </c>
      <c r="K6" s="49">
        <f t="shared" si="1"/>
        <v>835.94</v>
      </c>
      <c r="L6" s="9"/>
      <c r="M6" s="9" t="s">
        <v>7</v>
      </c>
      <c r="N6" s="15">
        <v>2637.0</v>
      </c>
      <c r="O6" s="17">
        <v>2966.0</v>
      </c>
      <c r="P6" s="17">
        <v>3350.0</v>
      </c>
      <c r="Q6" s="17">
        <v>2347.0</v>
      </c>
      <c r="R6" s="17">
        <v>2819.0</v>
      </c>
      <c r="S6" s="39"/>
      <c r="T6" s="39"/>
      <c r="U6" s="39"/>
      <c r="V6" s="39"/>
      <c r="W6" s="39"/>
      <c r="X6" s="39"/>
      <c r="Y6" s="39"/>
      <c r="Z6" s="39"/>
    </row>
    <row r="7">
      <c r="A7" s="19" t="s">
        <v>8</v>
      </c>
      <c r="B7" s="48">
        <v>519.36</v>
      </c>
      <c r="C7" s="48">
        <v>109.38</v>
      </c>
      <c r="D7" s="48">
        <v>44.43</v>
      </c>
      <c r="E7" s="48">
        <v>96.68</v>
      </c>
      <c r="F7" s="48">
        <v>231.59</v>
      </c>
      <c r="G7" s="48">
        <v>114.29</v>
      </c>
      <c r="H7" s="48">
        <v>167.39</v>
      </c>
      <c r="I7" s="48">
        <v>182.91</v>
      </c>
      <c r="J7" s="48">
        <v>81.12</v>
      </c>
      <c r="K7" s="48">
        <v>62.65</v>
      </c>
      <c r="L7" s="14"/>
      <c r="M7" s="14" t="s">
        <v>9</v>
      </c>
      <c r="N7" s="14">
        <f t="shared" ref="N7:R7" si="2">G12/(N5+N6)</f>
        <v>0.134204249</v>
      </c>
      <c r="O7" s="14">
        <f t="shared" si="2"/>
        <v>0.1424468792</v>
      </c>
      <c r="P7" s="14">
        <f t="shared" si="2"/>
        <v>0.1499204947</v>
      </c>
      <c r="Q7" s="14">
        <f t="shared" si="2"/>
        <v>0.2079440033</v>
      </c>
      <c r="R7" s="14">
        <f t="shared" si="2"/>
        <v>0.2138080279</v>
      </c>
      <c r="S7" s="1"/>
      <c r="T7" s="1"/>
      <c r="U7" s="1"/>
      <c r="V7" s="1"/>
      <c r="W7" s="1"/>
      <c r="X7" s="1"/>
      <c r="Y7" s="1"/>
      <c r="Z7" s="1"/>
    </row>
    <row r="8">
      <c r="A8" s="19" t="s">
        <v>10</v>
      </c>
      <c r="B8" s="48">
        <v>8.02</v>
      </c>
      <c r="C8" s="48">
        <v>7.97</v>
      </c>
      <c r="D8" s="48">
        <v>249.52</v>
      </c>
      <c r="E8" s="48">
        <v>57.93</v>
      </c>
      <c r="F8" s="48">
        <v>62.93</v>
      </c>
      <c r="G8" s="48">
        <v>66.25</v>
      </c>
      <c r="H8" s="48">
        <v>71.39</v>
      </c>
      <c r="I8" s="48">
        <v>103.24</v>
      </c>
      <c r="J8" s="48">
        <v>109.41</v>
      </c>
      <c r="K8" s="48">
        <v>115.0</v>
      </c>
      <c r="L8" s="48"/>
      <c r="M8" s="36" t="s">
        <v>42</v>
      </c>
      <c r="N8" s="21">
        <v>0.25</v>
      </c>
      <c r="O8" s="21">
        <v>0.24</v>
      </c>
      <c r="P8" s="27">
        <v>0.297</v>
      </c>
      <c r="Q8" s="21">
        <v>0.32</v>
      </c>
      <c r="R8" s="21">
        <v>0.26</v>
      </c>
      <c r="S8" s="37"/>
      <c r="T8" s="37"/>
      <c r="U8" s="37"/>
      <c r="V8" s="37"/>
      <c r="W8" s="37"/>
      <c r="X8" s="1"/>
      <c r="Y8" s="1"/>
      <c r="Z8" s="1"/>
    </row>
    <row r="9">
      <c r="A9" s="19" t="s">
        <v>11</v>
      </c>
      <c r="B9" s="48">
        <v>1.73</v>
      </c>
      <c r="C9" s="48">
        <v>1.1</v>
      </c>
      <c r="D9" s="48">
        <v>1.51</v>
      </c>
      <c r="E9" s="48">
        <v>1.4</v>
      </c>
      <c r="F9" s="48">
        <v>1.96</v>
      </c>
      <c r="G9" s="48">
        <v>0.77</v>
      </c>
      <c r="H9" s="48">
        <v>1.72</v>
      </c>
      <c r="I9" s="48">
        <v>11.01</v>
      </c>
      <c r="J9" s="48">
        <v>15.39</v>
      </c>
      <c r="K9" s="48">
        <v>10.7</v>
      </c>
      <c r="L9" s="48"/>
      <c r="M9" s="48"/>
      <c r="N9" s="4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9" t="s">
        <v>12</v>
      </c>
      <c r="B10" s="48">
        <v>693.76</v>
      </c>
      <c r="C10" s="48">
        <v>339.58</v>
      </c>
      <c r="D10" s="48">
        <v>207.49</v>
      </c>
      <c r="E10" s="48">
        <v>470.43</v>
      </c>
      <c r="F10" s="48">
        <v>516.83</v>
      </c>
      <c r="G10" s="48">
        <v>547.91</v>
      </c>
      <c r="H10" s="48">
        <v>659.91</v>
      </c>
      <c r="I10" s="48">
        <v>642.49</v>
      </c>
      <c r="J10" s="48">
        <v>668.72</v>
      </c>
      <c r="K10" s="48">
        <v>772.89</v>
      </c>
      <c r="L10" s="48"/>
      <c r="M10" s="48"/>
      <c r="N10" s="4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9" t="s">
        <v>13</v>
      </c>
      <c r="B11" s="48">
        <v>190.57</v>
      </c>
      <c r="C11" s="48">
        <v>118.72</v>
      </c>
      <c r="D11" s="48">
        <v>137.68</v>
      </c>
      <c r="E11" s="48">
        <v>165.44</v>
      </c>
      <c r="F11" s="48">
        <v>180.05</v>
      </c>
      <c r="G11" s="48">
        <v>187.84</v>
      </c>
      <c r="H11" s="48">
        <v>230.86</v>
      </c>
      <c r="I11" s="48">
        <v>133.36</v>
      </c>
      <c r="J11" s="48">
        <v>171.11</v>
      </c>
      <c r="K11" s="48">
        <v>160.33</v>
      </c>
      <c r="L11" s="48"/>
      <c r="M11" s="19"/>
      <c r="N11" s="2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6" t="s">
        <v>15</v>
      </c>
      <c r="B12" s="47">
        <v>503.2</v>
      </c>
      <c r="C12" s="47">
        <v>220.86</v>
      </c>
      <c r="D12" s="47">
        <v>69.82</v>
      </c>
      <c r="E12" s="47">
        <v>304.98</v>
      </c>
      <c r="F12" s="47">
        <v>336.78</v>
      </c>
      <c r="G12" s="47">
        <v>360.07</v>
      </c>
      <c r="H12" s="47">
        <v>429.05</v>
      </c>
      <c r="I12" s="47">
        <v>509.13</v>
      </c>
      <c r="J12" s="47">
        <v>497.61</v>
      </c>
      <c r="K12" s="47">
        <v>612.56</v>
      </c>
      <c r="L12" s="47"/>
      <c r="M12" s="47"/>
      <c r="N12" s="47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8.75" customHeight="1">
      <c r="A13" s="19" t="s">
        <v>16</v>
      </c>
      <c r="B13" s="50">
        <f t="shared" ref="B13:K13" si="3">B14+B8</f>
        <v>703.51</v>
      </c>
      <c r="C13" s="50">
        <f t="shared" si="3"/>
        <v>348.65</v>
      </c>
      <c r="D13" s="50">
        <f t="shared" si="3"/>
        <v>458.52</v>
      </c>
      <c r="E13" s="50">
        <f t="shared" si="3"/>
        <v>529.76</v>
      </c>
      <c r="F13" s="50">
        <f t="shared" si="3"/>
        <v>581.72</v>
      </c>
      <c r="G13" s="50">
        <f t="shared" si="3"/>
        <v>614.93</v>
      </c>
      <c r="H13" s="50">
        <f t="shared" si="3"/>
        <v>733.02</v>
      </c>
      <c r="I13" s="50">
        <f t="shared" si="3"/>
        <v>756.74</v>
      </c>
      <c r="J13" s="50">
        <f t="shared" si="3"/>
        <v>793.52</v>
      </c>
      <c r="K13" s="50">
        <f t="shared" si="3"/>
        <v>898.59</v>
      </c>
      <c r="L13" s="50"/>
      <c r="M13" s="50"/>
      <c r="N13" s="5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9" t="s">
        <v>44</v>
      </c>
      <c r="B14" s="51">
        <f t="shared" ref="B14:K14" si="4">B6+B7-B8</f>
        <v>695.49</v>
      </c>
      <c r="C14" s="51">
        <f t="shared" si="4"/>
        <v>340.68</v>
      </c>
      <c r="D14" s="51">
        <f t="shared" si="4"/>
        <v>209</v>
      </c>
      <c r="E14" s="51">
        <f t="shared" si="4"/>
        <v>471.83</v>
      </c>
      <c r="F14" s="51">
        <f t="shared" si="4"/>
        <v>518.79</v>
      </c>
      <c r="G14" s="51">
        <f t="shared" si="4"/>
        <v>548.68</v>
      </c>
      <c r="H14" s="51">
        <f t="shared" si="4"/>
        <v>661.63</v>
      </c>
      <c r="I14" s="51">
        <f t="shared" si="4"/>
        <v>653.5</v>
      </c>
      <c r="J14" s="51">
        <f t="shared" si="4"/>
        <v>684.11</v>
      </c>
      <c r="K14" s="51">
        <f t="shared" si="4"/>
        <v>783.59</v>
      </c>
      <c r="L14" s="50"/>
      <c r="M14" s="23"/>
      <c r="N14" s="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9" t="s">
        <v>45</v>
      </c>
      <c r="B15" s="52">
        <v>1987.57</v>
      </c>
      <c r="C15" s="52">
        <v>909.01</v>
      </c>
      <c r="D15" s="52">
        <v>1614.13</v>
      </c>
      <c r="E15" s="52">
        <v>1923.42</v>
      </c>
      <c r="F15" s="52">
        <v>2343.42</v>
      </c>
      <c r="G15" s="52">
        <v>2738.6</v>
      </c>
      <c r="H15" s="52">
        <v>3053.8</v>
      </c>
      <c r="I15" s="52">
        <v>3431.78</v>
      </c>
      <c r="J15" s="52">
        <v>2368.84</v>
      </c>
      <c r="K15" s="52">
        <v>3030.23</v>
      </c>
      <c r="L15" s="1"/>
      <c r="M15" s="1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9" t="s">
        <v>46</v>
      </c>
      <c r="B16" s="52">
        <v>365.08</v>
      </c>
      <c r="C16" s="52">
        <v>318.27</v>
      </c>
      <c r="D16" s="52">
        <v>638.18</v>
      </c>
      <c r="E16" s="52">
        <v>722.06</v>
      </c>
      <c r="F16" s="52">
        <v>839.58</v>
      </c>
      <c r="G16" s="52">
        <v>1004.26</v>
      </c>
      <c r="H16" s="52">
        <v>926.15</v>
      </c>
      <c r="I16" s="52">
        <v>1007.41</v>
      </c>
      <c r="J16" s="52">
        <v>809.63</v>
      </c>
      <c r="K16" s="52">
        <v>996.85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9" t="s">
        <v>20</v>
      </c>
      <c r="B17" s="15">
        <v>168.62</v>
      </c>
      <c r="C17" s="15">
        <v>74.01</v>
      </c>
      <c r="D17" s="15">
        <v>15.26</v>
      </c>
      <c r="E17" s="15">
        <v>66.67</v>
      </c>
      <c r="F17" s="15">
        <v>73.62</v>
      </c>
      <c r="G17" s="15">
        <v>78.71</v>
      </c>
      <c r="H17" s="15">
        <v>93.79</v>
      </c>
      <c r="I17" s="15">
        <v>111.29</v>
      </c>
      <c r="J17" s="15">
        <v>108.77</v>
      </c>
      <c r="K17" s="15">
        <v>133.9</v>
      </c>
      <c r="L17" s="50"/>
      <c r="M17" s="50"/>
      <c r="N17" s="5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 t="s">
        <v>21</v>
      </c>
      <c r="B18" s="15">
        <f t="shared" ref="B18:K18" si="5">B15-B16</f>
        <v>1622.49</v>
      </c>
      <c r="C18" s="15">
        <f t="shared" si="5"/>
        <v>590.74</v>
      </c>
      <c r="D18" s="15">
        <f t="shared" si="5"/>
        <v>975.95</v>
      </c>
      <c r="E18" s="15">
        <f t="shared" si="5"/>
        <v>1201.36</v>
      </c>
      <c r="F18" s="15">
        <f t="shared" si="5"/>
        <v>1503.84</v>
      </c>
      <c r="G18" s="15">
        <f t="shared" si="5"/>
        <v>1734.34</v>
      </c>
      <c r="H18" s="15">
        <f t="shared" si="5"/>
        <v>2127.65</v>
      </c>
      <c r="I18" s="15">
        <f t="shared" si="5"/>
        <v>2424.37</v>
      </c>
      <c r="J18" s="15">
        <f t="shared" si="5"/>
        <v>1559.21</v>
      </c>
      <c r="K18" s="15">
        <f t="shared" si="5"/>
        <v>2033.38</v>
      </c>
      <c r="L18" s="18"/>
      <c r="M18" s="18"/>
      <c r="N18" s="1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1" t="s">
        <v>22</v>
      </c>
      <c r="B19" s="15"/>
      <c r="C19" s="15">
        <f t="shared" ref="C19:K19" si="6">C18-B18</f>
        <v>-1031.75</v>
      </c>
      <c r="D19" s="15">
        <f t="shared" si="6"/>
        <v>385.21</v>
      </c>
      <c r="E19" s="15">
        <f t="shared" si="6"/>
        <v>225.41</v>
      </c>
      <c r="F19" s="15">
        <f t="shared" si="6"/>
        <v>302.48</v>
      </c>
      <c r="G19" s="15">
        <f t="shared" si="6"/>
        <v>230.5</v>
      </c>
      <c r="H19" s="15">
        <f t="shared" si="6"/>
        <v>393.31</v>
      </c>
      <c r="I19" s="15">
        <f t="shared" si="6"/>
        <v>296.72</v>
      </c>
      <c r="J19" s="15">
        <f t="shared" si="6"/>
        <v>-865.16</v>
      </c>
      <c r="K19" s="15">
        <f t="shared" si="6"/>
        <v>474.17</v>
      </c>
      <c r="L19" s="18"/>
      <c r="M19" s="18"/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6" t="s">
        <v>23</v>
      </c>
      <c r="B21" s="15">
        <v>116.0</v>
      </c>
      <c r="C21" s="15">
        <v>115.0</v>
      </c>
      <c r="D21" s="15">
        <v>1289.0</v>
      </c>
      <c r="E21" s="15">
        <v>981.0</v>
      </c>
      <c r="F21" s="15">
        <v>1021.0</v>
      </c>
      <c r="G21" s="15">
        <v>1133.0</v>
      </c>
      <c r="H21" s="15">
        <v>1138.0</v>
      </c>
      <c r="I21" s="15">
        <v>1315.0</v>
      </c>
      <c r="J21" s="21">
        <v>1316.0</v>
      </c>
      <c r="K21" s="21">
        <v>1383.0</v>
      </c>
      <c r="N21" s="1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 t="s">
        <v>24</v>
      </c>
      <c r="B22" s="53"/>
      <c r="C22" s="15">
        <f t="shared" ref="C22:K22" si="7">C21-B21</f>
        <v>-1</v>
      </c>
      <c r="D22" s="15">
        <f t="shared" si="7"/>
        <v>1174</v>
      </c>
      <c r="E22" s="15">
        <f t="shared" si="7"/>
        <v>-308</v>
      </c>
      <c r="F22" s="15">
        <f t="shared" si="7"/>
        <v>40</v>
      </c>
      <c r="G22" s="15">
        <f t="shared" si="7"/>
        <v>112</v>
      </c>
      <c r="H22" s="15">
        <f t="shared" si="7"/>
        <v>5</v>
      </c>
      <c r="I22" s="15">
        <f t="shared" si="7"/>
        <v>177</v>
      </c>
      <c r="J22" s="15">
        <f t="shared" si="7"/>
        <v>1</v>
      </c>
      <c r="K22" s="15">
        <f t="shared" si="7"/>
        <v>67</v>
      </c>
      <c r="L22" s="18"/>
      <c r="M22" s="18"/>
      <c r="N22" s="1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2" t="s">
        <v>25</v>
      </c>
      <c r="B24" s="34">
        <f>K11/K10</f>
        <v>0.2074421975</v>
      </c>
      <c r="C24" s="15"/>
      <c r="D24" s="15"/>
      <c r="E24" s="15"/>
      <c r="F24" s="15"/>
      <c r="G24" s="15"/>
      <c r="H24" s="15"/>
      <c r="I24" s="15"/>
      <c r="J24" s="15"/>
      <c r="K24" s="15"/>
      <c r="L24" s="18"/>
      <c r="M24" s="18"/>
      <c r="N24" s="1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 t="s">
        <v>26</v>
      </c>
      <c r="B25" s="15">
        <f t="shared" ref="B25:K25" si="8">B14*(1-B24)+B8-B22-B19</f>
        <v>559.2360261</v>
      </c>
      <c r="C25" s="15">
        <f t="shared" si="8"/>
        <v>1381.4</v>
      </c>
      <c r="D25" s="15">
        <f t="shared" si="8"/>
        <v>-1100.69</v>
      </c>
      <c r="E25" s="15">
        <f t="shared" si="8"/>
        <v>612.35</v>
      </c>
      <c r="F25" s="15">
        <f t="shared" si="8"/>
        <v>239.24</v>
      </c>
      <c r="G25" s="15">
        <f t="shared" si="8"/>
        <v>272.43</v>
      </c>
      <c r="H25" s="15">
        <f t="shared" si="8"/>
        <v>334.71</v>
      </c>
      <c r="I25" s="15">
        <f t="shared" si="8"/>
        <v>283.02</v>
      </c>
      <c r="J25" s="15">
        <f t="shared" si="8"/>
        <v>1657.68</v>
      </c>
      <c r="K25" s="15">
        <f t="shared" si="8"/>
        <v>357.42</v>
      </c>
      <c r="L25" s="18"/>
      <c r="M25" s="18"/>
      <c r="N25" s="1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9" t="s">
        <v>47</v>
      </c>
      <c r="B26" s="54">
        <v>4.5750372E7</v>
      </c>
      <c r="C26" s="54">
        <v>4.5750372E7</v>
      </c>
      <c r="D26" s="54">
        <v>4.5750372E7</v>
      </c>
      <c r="E26" s="54">
        <v>4.5750372E7</v>
      </c>
      <c r="F26" s="54">
        <v>4.5750372E7</v>
      </c>
      <c r="G26" s="54">
        <v>4.5750372E7</v>
      </c>
      <c r="H26" s="54">
        <v>4.5750372E7</v>
      </c>
      <c r="I26" s="54">
        <v>4.5750372E7</v>
      </c>
      <c r="J26" s="54">
        <v>4.5750372E7</v>
      </c>
      <c r="K26" s="54">
        <v>4.5750372E7</v>
      </c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4.25" customHeight="1">
      <c r="A27" s="3" t="s">
        <v>28</v>
      </c>
      <c r="B27" s="15">
        <f t="shared" ref="B27:K27" si="9">B12-(B22-B8+B19)*(1-$B$28)</f>
        <v>506.6661895</v>
      </c>
      <c r="C27" s="15">
        <f t="shared" si="9"/>
        <v>670.6521151</v>
      </c>
      <c r="D27" s="15">
        <f t="shared" si="9"/>
        <v>-496.2191221</v>
      </c>
      <c r="E27" s="15">
        <f t="shared" si="9"/>
        <v>365.7117895</v>
      </c>
      <c r="F27" s="15">
        <f t="shared" si="9"/>
        <v>215.9603888</v>
      </c>
      <c r="G27" s="15">
        <f t="shared" si="9"/>
        <v>240.6766264</v>
      </c>
      <c r="H27" s="15">
        <f t="shared" si="9"/>
        <v>287.7573966</v>
      </c>
      <c r="I27" s="15">
        <f t="shared" si="9"/>
        <v>349.0110604</v>
      </c>
      <c r="J27" s="15">
        <f t="shared" si="9"/>
        <v>918.3803412</v>
      </c>
      <c r="K27" s="15">
        <f t="shared" si="9"/>
        <v>428.3722207</v>
      </c>
      <c r="L27" s="18"/>
      <c r="M27" s="18"/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3" t="s">
        <v>29</v>
      </c>
      <c r="B28" s="48">
        <f>1.31378/2.31378</f>
        <v>0.5678067923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30</v>
      </c>
      <c r="B29" s="55">
        <f>(B25/$B$26)*10^7</f>
        <v>122.2363888</v>
      </c>
      <c r="C29" s="55">
        <f t="shared" ref="C29:K29" si="10">(C25/$B$26)*10^6</f>
        <v>30.19429</v>
      </c>
      <c r="D29" s="55">
        <f t="shared" si="10"/>
        <v>-24.05860219</v>
      </c>
      <c r="E29" s="55">
        <f t="shared" si="10"/>
        <v>13.38459062</v>
      </c>
      <c r="F29" s="55">
        <f t="shared" si="10"/>
        <v>5.229247098</v>
      </c>
      <c r="G29" s="55">
        <f t="shared" si="10"/>
        <v>5.95470568</v>
      </c>
      <c r="H29" s="55">
        <f t="shared" si="10"/>
        <v>7.316006086</v>
      </c>
      <c r="I29" s="55">
        <f t="shared" si="10"/>
        <v>6.186179207</v>
      </c>
      <c r="J29" s="55">
        <f t="shared" si="10"/>
        <v>36.23314801</v>
      </c>
      <c r="K29" s="55">
        <f t="shared" si="10"/>
        <v>7.812395493</v>
      </c>
      <c r="L29" s="18"/>
      <c r="M29" s="18"/>
      <c r="N29" s="1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0" t="s">
        <v>31</v>
      </c>
      <c r="B30" s="56">
        <f t="shared" ref="B30:K30" si="11">(B27/$B$26)*10^7</f>
        <v>110.7458076</v>
      </c>
      <c r="C30" s="56">
        <f t="shared" si="11"/>
        <v>146.5894343</v>
      </c>
      <c r="D30" s="56">
        <f t="shared" si="11"/>
        <v>-108.4623142</v>
      </c>
      <c r="E30" s="56">
        <f t="shared" si="11"/>
        <v>79.9363532</v>
      </c>
      <c r="F30" s="56">
        <f t="shared" si="11"/>
        <v>47.20407275</v>
      </c>
      <c r="G30" s="56">
        <f t="shared" si="11"/>
        <v>52.60648512</v>
      </c>
      <c r="H30" s="56">
        <f t="shared" si="11"/>
        <v>62.89728017</v>
      </c>
      <c r="I30" s="56">
        <f t="shared" si="11"/>
        <v>76.28595029</v>
      </c>
      <c r="J30" s="56">
        <f t="shared" si="11"/>
        <v>200.7372402</v>
      </c>
      <c r="K30" s="56">
        <f t="shared" si="11"/>
        <v>93.63251094</v>
      </c>
      <c r="L30" s="18"/>
      <c r="M30" s="18"/>
      <c r="N30" s="1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31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3" t="s">
        <v>48</v>
      </c>
      <c r="B32" s="48">
        <v>2059.5</v>
      </c>
      <c r="C32" s="48">
        <v>976.68</v>
      </c>
      <c r="D32" s="48">
        <v>2613.69</v>
      </c>
      <c r="E32" s="48">
        <v>2888.06</v>
      </c>
      <c r="F32" s="48">
        <v>3260.96</v>
      </c>
      <c r="G32" s="48">
        <v>3689.96</v>
      </c>
      <c r="H32" s="48">
        <v>3939.99</v>
      </c>
      <c r="I32" s="48">
        <v>4405.4</v>
      </c>
      <c r="J32" s="48">
        <v>3265.9</v>
      </c>
      <c r="K32" s="48">
        <v>3900.51</v>
      </c>
      <c r="L32" s="50"/>
      <c r="M32" s="50"/>
      <c r="N32" s="5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3" t="s">
        <v>33</v>
      </c>
      <c r="B33" s="15">
        <f t="shared" ref="B33:K33" si="12">B32-B16</f>
        <v>1694.42</v>
      </c>
      <c r="C33" s="15">
        <f t="shared" si="12"/>
        <v>658.41</v>
      </c>
      <c r="D33" s="15">
        <f t="shared" si="12"/>
        <v>1975.51</v>
      </c>
      <c r="E33" s="15">
        <f t="shared" si="12"/>
        <v>2166</v>
      </c>
      <c r="F33" s="15">
        <f t="shared" si="12"/>
        <v>2421.38</v>
      </c>
      <c r="G33" s="15">
        <f t="shared" si="12"/>
        <v>2685.7</v>
      </c>
      <c r="H33" s="15">
        <f t="shared" si="12"/>
        <v>3013.84</v>
      </c>
      <c r="I33" s="15">
        <f t="shared" si="12"/>
        <v>3397.99</v>
      </c>
      <c r="J33" s="15">
        <f t="shared" si="12"/>
        <v>2456.27</v>
      </c>
      <c r="K33" s="15">
        <f t="shared" si="12"/>
        <v>2903.66</v>
      </c>
      <c r="L33" s="18"/>
      <c r="M33" s="18"/>
      <c r="N33" s="1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31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3" t="s">
        <v>34</v>
      </c>
      <c r="B35" s="15">
        <f t="shared" ref="B35:K35" si="13">B14/B33</f>
        <v>0.4104590361</v>
      </c>
      <c r="C35" s="15">
        <f t="shared" si="13"/>
        <v>0.5174283501</v>
      </c>
      <c r="D35" s="15">
        <f t="shared" si="13"/>
        <v>0.1057954655</v>
      </c>
      <c r="E35" s="15">
        <f t="shared" si="13"/>
        <v>0.2178347184</v>
      </c>
      <c r="F35" s="15">
        <f t="shared" si="13"/>
        <v>0.2142538552</v>
      </c>
      <c r="G35" s="15">
        <f t="shared" si="13"/>
        <v>0.2042968314</v>
      </c>
      <c r="H35" s="15">
        <f t="shared" si="13"/>
        <v>0.2195305657</v>
      </c>
      <c r="I35" s="15">
        <f t="shared" si="13"/>
        <v>0.1923195772</v>
      </c>
      <c r="J35" s="15">
        <f t="shared" si="13"/>
        <v>0.2785157983</v>
      </c>
      <c r="K35" s="15">
        <f t="shared" si="13"/>
        <v>0.2698628627</v>
      </c>
      <c r="L35" s="18"/>
      <c r="M35" s="18"/>
      <c r="N35" s="1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3" t="s">
        <v>35</v>
      </c>
      <c r="B36" s="15">
        <f t="shared" ref="B36:K36" si="14">B35*B33</f>
        <v>695.49</v>
      </c>
      <c r="C36" s="15">
        <f t="shared" si="14"/>
        <v>340.68</v>
      </c>
      <c r="D36" s="15">
        <f t="shared" si="14"/>
        <v>209</v>
      </c>
      <c r="E36" s="15">
        <f t="shared" si="14"/>
        <v>471.83</v>
      </c>
      <c r="F36" s="15">
        <f t="shared" si="14"/>
        <v>518.79</v>
      </c>
      <c r="G36" s="15">
        <f t="shared" si="14"/>
        <v>548.68</v>
      </c>
      <c r="H36" s="15">
        <f t="shared" si="14"/>
        <v>661.63</v>
      </c>
      <c r="I36" s="15">
        <f t="shared" si="14"/>
        <v>653.5</v>
      </c>
      <c r="J36" s="15">
        <f t="shared" si="14"/>
        <v>684.11</v>
      </c>
      <c r="K36" s="15">
        <f t="shared" si="14"/>
        <v>783.59</v>
      </c>
      <c r="L36" s="18"/>
      <c r="M36" s="18"/>
      <c r="N36" s="1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57" t="s">
        <v>36</v>
      </c>
      <c r="B37" s="56">
        <f t="shared" ref="B37:K37" si="15">(B36/$B$26)*10^7</f>
        <v>152.018436</v>
      </c>
      <c r="C37" s="56">
        <f t="shared" si="15"/>
        <v>74.46496828</v>
      </c>
      <c r="D37" s="56">
        <f t="shared" si="15"/>
        <v>45.68268866</v>
      </c>
      <c r="E37" s="56">
        <f t="shared" si="15"/>
        <v>103.1314019</v>
      </c>
      <c r="F37" s="56">
        <f t="shared" si="15"/>
        <v>113.3957993</v>
      </c>
      <c r="G37" s="56">
        <f t="shared" si="15"/>
        <v>119.9290795</v>
      </c>
      <c r="H37" s="56">
        <f t="shared" si="15"/>
        <v>144.6174033</v>
      </c>
      <c r="I37" s="56">
        <f t="shared" si="15"/>
        <v>142.8403686</v>
      </c>
      <c r="J37" s="56">
        <f t="shared" si="15"/>
        <v>149.5310246</v>
      </c>
      <c r="K37" s="56">
        <f t="shared" si="15"/>
        <v>171.2751101</v>
      </c>
      <c r="L37" s="56"/>
      <c r="M37" s="56"/>
      <c r="N37" s="56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8.75" customHeight="1">
      <c r="A38" s="32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1" t="s">
        <v>37</v>
      </c>
      <c r="B39" s="15"/>
      <c r="C39" s="34">
        <f t="shared" ref="C39:K39" si="16">(C37-B37)/B37</f>
        <v>-0.5101583057</v>
      </c>
      <c r="D39" s="34">
        <f t="shared" si="16"/>
        <v>-0.3865210755</v>
      </c>
      <c r="E39" s="34">
        <f t="shared" si="16"/>
        <v>1.257559809</v>
      </c>
      <c r="F39" s="34">
        <f t="shared" si="16"/>
        <v>0.09952737215</v>
      </c>
      <c r="G39" s="34">
        <f t="shared" si="16"/>
        <v>0.05761483452</v>
      </c>
      <c r="H39" s="34">
        <f t="shared" si="16"/>
        <v>0.2058576948</v>
      </c>
      <c r="I39" s="34">
        <f t="shared" si="16"/>
        <v>-0.01228783459</v>
      </c>
      <c r="J39" s="34">
        <f t="shared" si="16"/>
        <v>0.04684009181</v>
      </c>
      <c r="K39" s="34">
        <f t="shared" si="16"/>
        <v>0.145415211</v>
      </c>
      <c r="L39" s="18"/>
      <c r="M39" s="18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35" t="s">
        <v>38</v>
      </c>
      <c r="B40" s="34">
        <f>(K37-G37)/(5*G37)</f>
        <v>0.08562732376</v>
      </c>
      <c r="C40" s="15"/>
      <c r="D40" s="15"/>
      <c r="E40" s="15"/>
      <c r="F40" s="15"/>
      <c r="G40" s="15"/>
      <c r="H40" s="15"/>
      <c r="I40" s="15"/>
      <c r="J40" s="15"/>
      <c r="K40" s="15"/>
      <c r="L40" s="18"/>
      <c r="M40" s="18"/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1" t="s">
        <v>39</v>
      </c>
      <c r="B41" s="15"/>
      <c r="C41" s="15">
        <f t="shared" ref="C41:K41" si="17">(C30-B30)/B30</f>
        <v>0.3236567368</v>
      </c>
      <c r="D41" s="15">
        <f t="shared" si="17"/>
        <v>-1.739905401</v>
      </c>
      <c r="E41" s="15">
        <f t="shared" si="17"/>
        <v>-1.736996567</v>
      </c>
      <c r="F41" s="15">
        <f t="shared" si="17"/>
        <v>-0.4094792813</v>
      </c>
      <c r="G41" s="15">
        <f t="shared" si="17"/>
        <v>0.1144480139</v>
      </c>
      <c r="H41" s="15">
        <f t="shared" si="17"/>
        <v>0.1956183734</v>
      </c>
      <c r="I41" s="15">
        <f t="shared" si="17"/>
        <v>0.2128656452</v>
      </c>
      <c r="J41" s="15">
        <f t="shared" si="17"/>
        <v>1.631378903</v>
      </c>
      <c r="K41" s="15">
        <f t="shared" si="17"/>
        <v>-0.5335568484</v>
      </c>
      <c r="L41" s="18"/>
      <c r="M41" s="18"/>
      <c r="N41" s="1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5" t="s">
        <v>40</v>
      </c>
      <c r="B42" s="34">
        <f>(K30-G30)/(5*G30)</f>
        <v>0.1559732635</v>
      </c>
      <c r="C42" s="15"/>
      <c r="D42" s="15"/>
      <c r="E42" s="15"/>
      <c r="F42" s="15"/>
      <c r="G42" s="15"/>
      <c r="H42" s="15"/>
      <c r="I42" s="15"/>
      <c r="J42" s="15"/>
      <c r="K42" s="15"/>
      <c r="L42" s="18"/>
      <c r="M42" s="18"/>
      <c r="N42" s="1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36" t="s">
        <v>41</v>
      </c>
      <c r="B44" s="15">
        <v>75.85</v>
      </c>
      <c r="C44" s="15">
        <v>74.01</v>
      </c>
      <c r="D44" s="15">
        <v>15.26</v>
      </c>
      <c r="E44" s="15">
        <v>66.67</v>
      </c>
      <c r="F44" s="15">
        <v>73.62</v>
      </c>
      <c r="G44" s="15">
        <v>78.71</v>
      </c>
      <c r="H44" s="15">
        <v>93.79</v>
      </c>
      <c r="I44" s="15">
        <v>111.29</v>
      </c>
      <c r="J44" s="15">
        <v>108.77</v>
      </c>
      <c r="K44" s="15">
        <v>133.9</v>
      </c>
      <c r="L44" s="1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8.75" customHeight="1">
      <c r="A45" s="36" t="s">
        <v>42</v>
      </c>
      <c r="B45" s="37">
        <v>0.22</v>
      </c>
      <c r="C45" s="37">
        <v>4.86</v>
      </c>
      <c r="D45" s="37">
        <v>0.82</v>
      </c>
      <c r="E45" s="37">
        <v>0.22</v>
      </c>
      <c r="F45" s="37">
        <v>0.27</v>
      </c>
      <c r="G45" s="37">
        <v>0.25</v>
      </c>
      <c r="H45" s="37">
        <v>0.24</v>
      </c>
      <c r="I45" s="37">
        <v>2.97</v>
      </c>
      <c r="J45" s="37">
        <v>0.32</v>
      </c>
      <c r="K45" s="37">
        <v>0.26</v>
      </c>
      <c r="L45" s="5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rintOptions gridLines="1"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0.71"/>
    <col customWidth="1" min="2" max="6" width="13.43"/>
    <col customWidth="1" min="7" max="7" width="14.86"/>
    <col customWidth="1" min="8" max="11" width="13.43"/>
    <col customWidth="1" min="12" max="12" width="13.29"/>
    <col customWidth="1" min="13" max="14" width="12.14"/>
    <col customWidth="1" min="15" max="26" width="8.86"/>
  </cols>
  <sheetData>
    <row r="1">
      <c r="A1" s="38" t="s">
        <v>49</v>
      </c>
      <c r="B1" s="39"/>
      <c r="C1" s="39"/>
      <c r="D1" s="39"/>
      <c r="E1" s="39"/>
      <c r="F1" s="39"/>
      <c r="G1" s="39"/>
      <c r="H1" s="59"/>
      <c r="I1" s="39"/>
      <c r="J1" s="40"/>
      <c r="K1" s="40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1" t="s">
        <v>1</v>
      </c>
      <c r="B3" s="42">
        <v>41346.0</v>
      </c>
      <c r="C3" s="42">
        <v>41712.0</v>
      </c>
      <c r="D3" s="42">
        <v>42078.0</v>
      </c>
      <c r="E3" s="42">
        <v>42445.0</v>
      </c>
      <c r="F3" s="42">
        <v>42811.0</v>
      </c>
      <c r="G3" s="42">
        <v>43177.0</v>
      </c>
      <c r="H3" s="42">
        <v>43543.0</v>
      </c>
      <c r="I3" s="42">
        <v>43910.0</v>
      </c>
      <c r="J3" s="42">
        <v>44276.0</v>
      </c>
      <c r="K3" s="43">
        <v>44642.0</v>
      </c>
      <c r="L3" s="60"/>
      <c r="M3" s="60"/>
      <c r="N3" s="60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61" t="s">
        <v>2</v>
      </c>
      <c r="B4" s="9">
        <v>11832.6</v>
      </c>
      <c r="C4" s="9">
        <v>13415.3</v>
      </c>
      <c r="D4" s="9">
        <v>15023.3</v>
      </c>
      <c r="E4" s="9">
        <v>15568.3</v>
      </c>
      <c r="F4" s="9">
        <v>14196.1</v>
      </c>
      <c r="G4" s="9">
        <v>14281.0</v>
      </c>
      <c r="H4" s="9">
        <v>15448.2</v>
      </c>
      <c r="I4" s="9">
        <v>17517.0</v>
      </c>
      <c r="J4" s="9">
        <v>19047.5</v>
      </c>
      <c r="K4" s="9">
        <v>21545.2</v>
      </c>
      <c r="L4" s="9"/>
      <c r="M4" s="9" t="s">
        <v>3</v>
      </c>
      <c r="N4" s="10">
        <v>2018.0</v>
      </c>
      <c r="O4" s="10">
        <v>2019.0</v>
      </c>
      <c r="P4" s="10">
        <v>2020.0</v>
      </c>
      <c r="Q4" s="10">
        <v>2021.0</v>
      </c>
      <c r="R4" s="10">
        <v>2022.0</v>
      </c>
      <c r="S4" s="39"/>
      <c r="T4" s="39"/>
      <c r="U4" s="39"/>
      <c r="V4" s="39"/>
      <c r="W4" s="39"/>
      <c r="X4" s="39"/>
      <c r="Y4" s="39"/>
      <c r="Z4" s="39"/>
    </row>
    <row r="5">
      <c r="A5" s="62" t="s">
        <v>4</v>
      </c>
      <c r="B5" s="14">
        <v>9163.9</v>
      </c>
      <c r="C5" s="14">
        <v>10164.5</v>
      </c>
      <c r="D5" s="14">
        <v>11515.3</v>
      </c>
      <c r="E5" s="14">
        <v>11983.0</v>
      </c>
      <c r="F5" s="14">
        <v>11723.9</v>
      </c>
      <c r="G5" s="14">
        <v>11929.8</v>
      </c>
      <c r="H5" s="14">
        <v>12270.0</v>
      </c>
      <c r="I5" s="14">
        <v>15039.9</v>
      </c>
      <c r="J5" s="14">
        <v>15173.4</v>
      </c>
      <c r="K5" s="14">
        <v>17777.5</v>
      </c>
      <c r="L5" s="14"/>
      <c r="M5" s="14" t="s">
        <v>5</v>
      </c>
      <c r="N5" s="14">
        <v>83.0</v>
      </c>
      <c r="O5" s="14">
        <v>83.0</v>
      </c>
      <c r="P5" s="14">
        <v>83.0</v>
      </c>
      <c r="Q5" s="14">
        <v>83.0</v>
      </c>
      <c r="R5" s="14">
        <v>83.0</v>
      </c>
      <c r="S5" s="1"/>
      <c r="T5" s="1"/>
      <c r="U5" s="1"/>
      <c r="V5" s="1"/>
      <c r="W5" s="1"/>
      <c r="X5" s="1"/>
      <c r="Y5" s="1"/>
      <c r="Z5" s="1"/>
    </row>
    <row r="6">
      <c r="A6" s="61" t="s">
        <v>6</v>
      </c>
      <c r="B6" s="9">
        <v>2668.7</v>
      </c>
      <c r="C6" s="9">
        <v>3250.8</v>
      </c>
      <c r="D6" s="9">
        <v>3508.0</v>
      </c>
      <c r="E6" s="9">
        <v>3585.3</v>
      </c>
      <c r="F6" s="9">
        <v>2472.2</v>
      </c>
      <c r="G6" s="9">
        <v>2351.2</v>
      </c>
      <c r="H6" s="9">
        <v>3178.2</v>
      </c>
      <c r="I6" s="9">
        <v>2477.1</v>
      </c>
      <c r="J6" s="9">
        <v>3874.1</v>
      </c>
      <c r="K6" s="9">
        <v>3767.7</v>
      </c>
      <c r="L6" s="9"/>
      <c r="M6" s="9" t="s">
        <v>7</v>
      </c>
      <c r="N6" s="15">
        <v>12489.0</v>
      </c>
      <c r="O6" s="17">
        <v>13994.0</v>
      </c>
      <c r="P6" s="17">
        <v>15616.0</v>
      </c>
      <c r="Q6" s="17">
        <v>17755.0</v>
      </c>
      <c r="R6" s="17">
        <v>19289.0</v>
      </c>
      <c r="S6" s="39"/>
      <c r="T6" s="39"/>
      <c r="U6" s="39"/>
      <c r="V6" s="39"/>
      <c r="W6" s="39"/>
      <c r="X6" s="39"/>
      <c r="Y6" s="39"/>
      <c r="Z6" s="39"/>
    </row>
    <row r="7">
      <c r="A7" s="62" t="s">
        <v>8</v>
      </c>
      <c r="B7" s="14">
        <v>146.5</v>
      </c>
      <c r="C7" s="14">
        <v>169.7</v>
      </c>
      <c r="D7" s="14">
        <v>259.7</v>
      </c>
      <c r="E7" s="14">
        <v>295.0</v>
      </c>
      <c r="F7" s="14">
        <v>171.5</v>
      </c>
      <c r="G7" s="14">
        <v>155.2</v>
      </c>
      <c r="H7" s="14">
        <v>381.3</v>
      </c>
      <c r="I7" s="14">
        <v>670.0</v>
      </c>
      <c r="J7" s="14">
        <v>335.2</v>
      </c>
      <c r="K7" s="14">
        <v>554.7</v>
      </c>
      <c r="L7" s="14"/>
      <c r="M7" s="14" t="s">
        <v>9</v>
      </c>
      <c r="N7" s="14">
        <f t="shared" ref="N7:R7" si="1">G12/(N5+N6)</f>
        <v>0.07531021317</v>
      </c>
      <c r="O7" s="14">
        <f t="shared" si="1"/>
        <v>0.1385238332</v>
      </c>
      <c r="P7" s="14">
        <f t="shared" si="1"/>
        <v>0.1290528059</v>
      </c>
      <c r="Q7" s="14">
        <f t="shared" si="1"/>
        <v>0.1094068842</v>
      </c>
      <c r="R7" s="14">
        <f t="shared" si="1"/>
        <v>0.1126626058</v>
      </c>
      <c r="S7" s="1"/>
      <c r="T7" s="1"/>
      <c r="U7" s="1"/>
      <c r="V7" s="1"/>
      <c r="W7" s="1"/>
      <c r="X7" s="1"/>
      <c r="Y7" s="1"/>
      <c r="Z7" s="1"/>
    </row>
    <row r="8">
      <c r="A8" s="62" t="s">
        <v>10</v>
      </c>
      <c r="B8" s="14">
        <v>550.2</v>
      </c>
      <c r="C8" s="14">
        <v>647.5</v>
      </c>
      <c r="D8" s="14">
        <v>759.9</v>
      </c>
      <c r="E8" s="14">
        <v>938.9</v>
      </c>
      <c r="F8" s="14">
        <v>1026.6</v>
      </c>
      <c r="G8" s="14">
        <v>1077.2</v>
      </c>
      <c r="H8" s="14">
        <v>1134.8</v>
      </c>
      <c r="I8" s="14">
        <v>1163.1</v>
      </c>
      <c r="J8" s="14">
        <v>1228.8</v>
      </c>
      <c r="K8" s="14">
        <v>1165.2</v>
      </c>
      <c r="L8" s="14"/>
      <c r="R8" s="1"/>
      <c r="S8" s="1"/>
      <c r="T8" s="1"/>
      <c r="U8" s="1"/>
      <c r="V8" s="1"/>
      <c r="W8" s="1"/>
      <c r="X8" s="1"/>
      <c r="Y8" s="1"/>
      <c r="Z8" s="1"/>
    </row>
    <row r="9">
      <c r="A9" s="62" t="s">
        <v>11</v>
      </c>
      <c r="B9" s="14">
        <v>100.3</v>
      </c>
      <c r="C9" s="14">
        <v>126.7</v>
      </c>
      <c r="D9" s="14">
        <v>108.2</v>
      </c>
      <c r="E9" s="14">
        <v>82.6</v>
      </c>
      <c r="F9" s="14">
        <v>63.4</v>
      </c>
      <c r="G9" s="14">
        <v>78.8</v>
      </c>
      <c r="H9" s="14">
        <v>88.9</v>
      </c>
      <c r="I9" s="14">
        <v>98.3</v>
      </c>
      <c r="J9" s="14">
        <v>97.0</v>
      </c>
      <c r="K9" s="14">
        <v>95.8</v>
      </c>
      <c r="L9" s="14"/>
      <c r="M9" s="14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2" t="s">
        <v>12</v>
      </c>
      <c r="B10" s="14">
        <v>2164.7</v>
      </c>
      <c r="C10" s="14">
        <v>2646.3</v>
      </c>
      <c r="D10" s="14">
        <v>2899.6</v>
      </c>
      <c r="E10" s="14">
        <v>2858.8</v>
      </c>
      <c r="F10" s="14">
        <v>1553.7</v>
      </c>
      <c r="G10" s="14">
        <v>1350.4</v>
      </c>
      <c r="H10" s="14">
        <v>2335.8</v>
      </c>
      <c r="I10" s="14">
        <v>1885.7</v>
      </c>
      <c r="J10" s="14">
        <v>2883.5</v>
      </c>
      <c r="K10" s="14">
        <v>3061.4</v>
      </c>
      <c r="L10" s="14"/>
      <c r="M10" s="14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2" t="s">
        <v>13</v>
      </c>
      <c r="B11" s="14">
        <v>637.9</v>
      </c>
      <c r="C11" s="14">
        <v>683.1</v>
      </c>
      <c r="D11" s="14">
        <v>563.2</v>
      </c>
      <c r="E11" s="14">
        <v>751.1</v>
      </c>
      <c r="F11" s="14">
        <v>296.5</v>
      </c>
      <c r="G11" s="14">
        <v>438.0</v>
      </c>
      <c r="H11" s="14">
        <v>385.8</v>
      </c>
      <c r="I11" s="14">
        <v>-140.3</v>
      </c>
      <c r="J11" s="14">
        <v>931.9</v>
      </c>
      <c r="K11" s="14">
        <v>878.9</v>
      </c>
      <c r="L11" s="14"/>
      <c r="M11" s="19"/>
      <c r="N11" s="2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1" t="s">
        <v>15</v>
      </c>
      <c r="B12" s="9">
        <v>1526.8</v>
      </c>
      <c r="C12" s="9">
        <v>1963.2</v>
      </c>
      <c r="D12" s="9">
        <v>2336.4</v>
      </c>
      <c r="E12" s="9">
        <v>2130.6</v>
      </c>
      <c r="F12" s="9">
        <v>1292.1</v>
      </c>
      <c r="G12" s="9">
        <v>946.8</v>
      </c>
      <c r="H12" s="9">
        <v>1950.0</v>
      </c>
      <c r="I12" s="9">
        <v>2026.0</v>
      </c>
      <c r="J12" s="9">
        <v>1951.6</v>
      </c>
      <c r="K12" s="9">
        <v>2182.5</v>
      </c>
      <c r="L12" s="9"/>
      <c r="M12" s="9"/>
      <c r="N12" s="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8.75" customHeight="1">
      <c r="A13" s="19" t="s">
        <v>16</v>
      </c>
      <c r="B13" s="50">
        <f t="shared" ref="B13:K13" si="2">B9+B14</f>
        <v>2365.3</v>
      </c>
      <c r="C13" s="50">
        <f t="shared" si="2"/>
        <v>2899.7</v>
      </c>
      <c r="D13" s="50">
        <f t="shared" si="2"/>
        <v>3116</v>
      </c>
      <c r="E13" s="50">
        <f t="shared" si="2"/>
        <v>3024</v>
      </c>
      <c r="F13" s="50">
        <f t="shared" si="2"/>
        <v>1680.5</v>
      </c>
      <c r="G13" s="50">
        <f t="shared" si="2"/>
        <v>1508</v>
      </c>
      <c r="H13" s="50">
        <f t="shared" si="2"/>
        <v>2513.6</v>
      </c>
      <c r="I13" s="50">
        <f t="shared" si="2"/>
        <v>2082.3</v>
      </c>
      <c r="J13" s="50">
        <f t="shared" si="2"/>
        <v>3077.5</v>
      </c>
      <c r="K13" s="50">
        <f t="shared" si="2"/>
        <v>3253</v>
      </c>
      <c r="L13" s="50"/>
      <c r="M13" s="50"/>
      <c r="N13" s="5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9" t="s">
        <v>44</v>
      </c>
      <c r="B14" s="51">
        <f t="shared" ref="B14:K14" si="3">B6+B7-B8</f>
        <v>2265</v>
      </c>
      <c r="C14" s="51">
        <f t="shared" si="3"/>
        <v>2773</v>
      </c>
      <c r="D14" s="51">
        <f t="shared" si="3"/>
        <v>3007.8</v>
      </c>
      <c r="E14" s="51">
        <f t="shared" si="3"/>
        <v>2941.4</v>
      </c>
      <c r="F14" s="51">
        <f t="shared" si="3"/>
        <v>1617.1</v>
      </c>
      <c r="G14" s="51">
        <f t="shared" si="3"/>
        <v>1429.2</v>
      </c>
      <c r="H14" s="51">
        <f t="shared" si="3"/>
        <v>2424.7</v>
      </c>
      <c r="I14" s="51">
        <f t="shared" si="3"/>
        <v>1984</v>
      </c>
      <c r="J14" s="51">
        <f t="shared" si="3"/>
        <v>2980.5</v>
      </c>
      <c r="K14" s="51">
        <f t="shared" si="3"/>
        <v>3157.2</v>
      </c>
      <c r="L14" s="50"/>
      <c r="M14" s="23"/>
      <c r="N14" s="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62" t="s">
        <v>45</v>
      </c>
      <c r="B15" s="63">
        <v>8567.3</v>
      </c>
      <c r="C15" s="63">
        <v>9559.1</v>
      </c>
      <c r="D15" s="63">
        <v>10303.3</v>
      </c>
      <c r="E15" s="63">
        <v>9162.1</v>
      </c>
      <c r="F15" s="63">
        <v>9289.6</v>
      </c>
      <c r="G15" s="63">
        <v>9612.5</v>
      </c>
      <c r="H15" s="63">
        <v>9706.7</v>
      </c>
      <c r="I15" s="63">
        <v>12160.1</v>
      </c>
      <c r="J15" s="63">
        <v>14605.3</v>
      </c>
      <c r="K15" s="63">
        <v>17714.7</v>
      </c>
      <c r="L15" s="1"/>
      <c r="M15" s="1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62" t="s">
        <v>46</v>
      </c>
      <c r="B16" s="63">
        <v>3328.9</v>
      </c>
      <c r="C16" s="63">
        <v>3563.3</v>
      </c>
      <c r="D16" s="63">
        <v>4289.9</v>
      </c>
      <c r="E16" s="63">
        <v>4408.5</v>
      </c>
      <c r="F16" s="63">
        <v>4473.9</v>
      </c>
      <c r="G16" s="63">
        <v>4706.3</v>
      </c>
      <c r="H16" s="63">
        <v>4503.1</v>
      </c>
      <c r="I16" s="63">
        <v>5313.7</v>
      </c>
      <c r="J16" s="63">
        <v>5718.7</v>
      </c>
      <c r="K16" s="63">
        <v>6988.5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9" t="s">
        <v>20</v>
      </c>
      <c r="B17" s="15">
        <v>89.9</v>
      </c>
      <c r="C17" s="15">
        <v>115.41</v>
      </c>
      <c r="D17" s="15">
        <v>137.13</v>
      </c>
      <c r="E17" s="15">
        <v>124.88</v>
      </c>
      <c r="F17" s="15">
        <v>77.96</v>
      </c>
      <c r="G17" s="15">
        <v>57.07</v>
      </c>
      <c r="H17" s="15">
        <v>117.42</v>
      </c>
      <c r="I17" s="15">
        <v>121.92</v>
      </c>
      <c r="J17" s="15">
        <v>117.35</v>
      </c>
      <c r="K17" s="15">
        <v>131.14</v>
      </c>
      <c r="L17" s="50"/>
      <c r="M17" s="50"/>
      <c r="N17" s="5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 t="s">
        <v>21</v>
      </c>
      <c r="B18" s="64">
        <f t="shared" ref="B18:K18" si="4">B15-B16</f>
        <v>5238.4</v>
      </c>
      <c r="C18" s="64">
        <f t="shared" si="4"/>
        <v>5995.8</v>
      </c>
      <c r="D18" s="64">
        <f t="shared" si="4"/>
        <v>6013.4</v>
      </c>
      <c r="E18" s="64">
        <f t="shared" si="4"/>
        <v>4753.6</v>
      </c>
      <c r="F18" s="64">
        <f t="shared" si="4"/>
        <v>4815.7</v>
      </c>
      <c r="G18" s="64">
        <f t="shared" si="4"/>
        <v>4906.2</v>
      </c>
      <c r="H18" s="64">
        <f t="shared" si="4"/>
        <v>5203.6</v>
      </c>
      <c r="I18" s="64">
        <f t="shared" si="4"/>
        <v>6846.4</v>
      </c>
      <c r="J18" s="64">
        <f t="shared" si="4"/>
        <v>8886.6</v>
      </c>
      <c r="K18" s="64">
        <f t="shared" si="4"/>
        <v>10726.2</v>
      </c>
      <c r="L18" s="65"/>
      <c r="M18" s="65"/>
      <c r="N18" s="6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1" t="s">
        <v>22</v>
      </c>
      <c r="B19" s="64"/>
      <c r="C19" s="64">
        <f t="shared" ref="C19:K19" si="5">C18-B18</f>
        <v>757.4</v>
      </c>
      <c r="D19" s="64">
        <f t="shared" si="5"/>
        <v>17.6</v>
      </c>
      <c r="E19" s="64">
        <f t="shared" si="5"/>
        <v>-1259.8</v>
      </c>
      <c r="F19" s="64">
        <f t="shared" si="5"/>
        <v>62.1</v>
      </c>
      <c r="G19" s="64">
        <f t="shared" si="5"/>
        <v>90.5</v>
      </c>
      <c r="H19" s="64">
        <f t="shared" si="5"/>
        <v>297.4</v>
      </c>
      <c r="I19" s="64">
        <f t="shared" si="5"/>
        <v>1642.8</v>
      </c>
      <c r="J19" s="64">
        <f t="shared" si="5"/>
        <v>2040.2</v>
      </c>
      <c r="K19" s="64">
        <f t="shared" si="5"/>
        <v>1839.6</v>
      </c>
      <c r="L19" s="65"/>
      <c r="M19" s="65"/>
      <c r="N19" s="6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66" t="s">
        <v>23</v>
      </c>
      <c r="B21" s="64">
        <v>10089.0</v>
      </c>
      <c r="C21" s="64">
        <v>11918.0</v>
      </c>
      <c r="D21" s="64">
        <v>12574.0</v>
      </c>
      <c r="E21" s="64">
        <v>15020.0</v>
      </c>
      <c r="F21" s="64">
        <v>15932.0</v>
      </c>
      <c r="G21" s="64">
        <v>17436.0</v>
      </c>
      <c r="H21" s="64">
        <v>14999.0</v>
      </c>
      <c r="I21" s="64">
        <v>16108.0</v>
      </c>
      <c r="J21" s="67">
        <v>18556.0</v>
      </c>
      <c r="K21" s="67">
        <v>19786.0</v>
      </c>
      <c r="L21" s="59"/>
      <c r="M21" s="59"/>
      <c r="N21" s="6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 t="s">
        <v>24</v>
      </c>
      <c r="B22" s="68"/>
      <c r="C22" s="64">
        <f t="shared" ref="C22:K22" si="6">C21-B21</f>
        <v>1829</v>
      </c>
      <c r="D22" s="64">
        <f t="shared" si="6"/>
        <v>656</v>
      </c>
      <c r="E22" s="64">
        <f t="shared" si="6"/>
        <v>2446</v>
      </c>
      <c r="F22" s="64">
        <f t="shared" si="6"/>
        <v>912</v>
      </c>
      <c r="G22" s="64">
        <f t="shared" si="6"/>
        <v>1504</v>
      </c>
      <c r="H22" s="64">
        <f t="shared" si="6"/>
        <v>-2437</v>
      </c>
      <c r="I22" s="64">
        <f t="shared" si="6"/>
        <v>1109</v>
      </c>
      <c r="J22" s="64">
        <f t="shared" si="6"/>
        <v>2448</v>
      </c>
      <c r="K22" s="64">
        <f t="shared" si="6"/>
        <v>1230</v>
      </c>
      <c r="L22" s="65"/>
      <c r="M22" s="65"/>
      <c r="N22" s="6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69" t="s">
        <v>25</v>
      </c>
      <c r="B24" s="70">
        <f>K11/K10</f>
        <v>0.2870908735</v>
      </c>
      <c r="C24" s="64"/>
      <c r="D24" s="64"/>
      <c r="E24" s="64"/>
      <c r="F24" s="64"/>
      <c r="G24" s="64"/>
      <c r="H24" s="64"/>
      <c r="I24" s="64"/>
      <c r="J24" s="64"/>
      <c r="K24" s="64"/>
      <c r="L24" s="65"/>
      <c r="M24" s="65"/>
      <c r="N24" s="6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 t="s">
        <v>26</v>
      </c>
      <c r="B25" s="64">
        <f t="shared" ref="B25:K25" si="7">B14*(1-B24)+B8-B22-B19</f>
        <v>2164.939172</v>
      </c>
      <c r="C25" s="64">
        <f t="shared" si="7"/>
        <v>834.1</v>
      </c>
      <c r="D25" s="64">
        <f t="shared" si="7"/>
        <v>3094.1</v>
      </c>
      <c r="E25" s="64">
        <f t="shared" si="7"/>
        <v>2694.1</v>
      </c>
      <c r="F25" s="64">
        <f t="shared" si="7"/>
        <v>1669.6</v>
      </c>
      <c r="G25" s="64">
        <f t="shared" si="7"/>
        <v>911.9</v>
      </c>
      <c r="H25" s="64">
        <f t="shared" si="7"/>
        <v>5699.1</v>
      </c>
      <c r="I25" s="64">
        <f t="shared" si="7"/>
        <v>395.3</v>
      </c>
      <c r="J25" s="64">
        <f t="shared" si="7"/>
        <v>-278.9</v>
      </c>
      <c r="K25" s="64">
        <f t="shared" si="7"/>
        <v>1252.8</v>
      </c>
      <c r="L25" s="65"/>
      <c r="M25" s="65"/>
      <c r="N25" s="6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9" t="s">
        <v>47</v>
      </c>
      <c r="B26" s="59">
        <v>1.66425849E8</v>
      </c>
      <c r="C26" s="59">
        <v>1.66425849E8</v>
      </c>
      <c r="D26" s="59">
        <v>1.66425849E8</v>
      </c>
      <c r="E26" s="59">
        <v>1.66425849E8</v>
      </c>
      <c r="F26" s="59">
        <v>1.66425849E8</v>
      </c>
      <c r="G26" s="59">
        <v>1.66425849E8</v>
      </c>
      <c r="H26" s="59">
        <v>1.66425849E8</v>
      </c>
      <c r="I26" s="59">
        <v>1.66425849E8</v>
      </c>
      <c r="J26" s="59">
        <v>1.66425849E8</v>
      </c>
      <c r="K26" s="59">
        <v>1.66425849E8</v>
      </c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4.25" customHeight="1">
      <c r="A27" s="3" t="s">
        <v>28</v>
      </c>
      <c r="B27" s="64">
        <f t="shared" ref="B27:K27" si="8">B12-(B22-B8+B19)*(1-$B$28)</f>
        <v>1743.803755</v>
      </c>
      <c r="C27" s="64">
        <f t="shared" si="8"/>
        <v>1198.480661</v>
      </c>
      <c r="D27" s="64">
        <f t="shared" si="8"/>
        <v>2370.437485</v>
      </c>
      <c r="E27" s="64">
        <f t="shared" si="8"/>
        <v>2033.062689</v>
      </c>
      <c r="F27" s="64">
        <f t="shared" si="8"/>
        <v>1312.806465</v>
      </c>
      <c r="G27" s="64">
        <f t="shared" si="8"/>
        <v>742.7722967</v>
      </c>
      <c r="H27" s="64">
        <f t="shared" si="8"/>
        <v>3241.452371</v>
      </c>
      <c r="I27" s="64">
        <f t="shared" si="8"/>
        <v>1399.402644</v>
      </c>
      <c r="J27" s="64">
        <f t="shared" si="8"/>
        <v>666.0637617</v>
      </c>
      <c r="K27" s="64">
        <f t="shared" si="8"/>
        <v>1431.387767</v>
      </c>
      <c r="L27" s="65"/>
      <c r="M27" s="65"/>
      <c r="N27" s="6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3" t="s">
        <v>29</v>
      </c>
      <c r="B28" s="48">
        <f>1.53544/2.53544</f>
        <v>0.60559114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30</v>
      </c>
      <c r="B29" s="71">
        <f t="shared" ref="B29:K29" si="9">(B25/$B$26)*10^7</f>
        <v>130.0843099</v>
      </c>
      <c r="C29" s="71">
        <f t="shared" si="9"/>
        <v>50.1184164</v>
      </c>
      <c r="D29" s="71">
        <f t="shared" si="9"/>
        <v>185.9146292</v>
      </c>
      <c r="E29" s="71">
        <f t="shared" si="9"/>
        <v>161.8799012</v>
      </c>
      <c r="F29" s="71">
        <f t="shared" si="9"/>
        <v>100.3209543</v>
      </c>
      <c r="G29" s="71">
        <f t="shared" si="9"/>
        <v>54.79317098</v>
      </c>
      <c r="H29" s="71">
        <f t="shared" si="9"/>
        <v>342.4407948</v>
      </c>
      <c r="I29" s="71">
        <f t="shared" si="9"/>
        <v>23.75231987</v>
      </c>
      <c r="J29" s="71">
        <f t="shared" si="9"/>
        <v>-16.75821404</v>
      </c>
      <c r="K29" s="71">
        <f t="shared" si="9"/>
        <v>75.27676785</v>
      </c>
      <c r="L29" s="65"/>
      <c r="M29" s="65"/>
      <c r="N29" s="6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0" t="s">
        <v>31</v>
      </c>
      <c r="B30" s="72">
        <f t="shared" ref="B30:K30" si="10">(B27/$B$26)*10^7</f>
        <v>104.779622</v>
      </c>
      <c r="C30" s="72">
        <f t="shared" si="10"/>
        <v>72.01289154</v>
      </c>
      <c r="D30" s="72">
        <f t="shared" si="10"/>
        <v>142.43205</v>
      </c>
      <c r="E30" s="72">
        <f t="shared" si="10"/>
        <v>122.1602714</v>
      </c>
      <c r="F30" s="72">
        <f t="shared" si="10"/>
        <v>78.88236551</v>
      </c>
      <c r="G30" s="72">
        <f t="shared" si="10"/>
        <v>44.63082515</v>
      </c>
      <c r="H30" s="72">
        <f t="shared" si="10"/>
        <v>194.7685645</v>
      </c>
      <c r="I30" s="72">
        <f t="shared" si="10"/>
        <v>84.08565451</v>
      </c>
      <c r="J30" s="72">
        <f t="shared" si="10"/>
        <v>40.02165323</v>
      </c>
      <c r="K30" s="72">
        <f t="shared" si="10"/>
        <v>86.00753883</v>
      </c>
      <c r="L30" s="65"/>
      <c r="M30" s="65"/>
      <c r="N30" s="6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31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3" t="s">
        <v>50</v>
      </c>
      <c r="B32" s="48">
        <v>13380.2</v>
      </c>
      <c r="C32" s="48">
        <v>15905.5</v>
      </c>
      <c r="D32" s="48">
        <v>18457.1</v>
      </c>
      <c r="E32" s="48">
        <v>20330.4</v>
      </c>
      <c r="F32" s="48">
        <v>21654.5</v>
      </c>
      <c r="G32" s="48">
        <v>22349.3</v>
      </c>
      <c r="H32" s="48">
        <v>22418.3</v>
      </c>
      <c r="I32" s="48">
        <v>23223.3</v>
      </c>
      <c r="J32" s="48">
        <v>26587.9</v>
      </c>
      <c r="K32" s="48">
        <v>29745.5</v>
      </c>
      <c r="L32" s="50"/>
      <c r="M32" s="50"/>
      <c r="N32" s="5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3" t="s">
        <v>33</v>
      </c>
      <c r="B33" s="64">
        <f t="shared" ref="B33:K33" si="11">B32-B16</f>
        <v>10051.3</v>
      </c>
      <c r="C33" s="64">
        <f t="shared" si="11"/>
        <v>12342.2</v>
      </c>
      <c r="D33" s="64">
        <f t="shared" si="11"/>
        <v>14167.2</v>
      </c>
      <c r="E33" s="64">
        <f t="shared" si="11"/>
        <v>15921.9</v>
      </c>
      <c r="F33" s="64">
        <f t="shared" si="11"/>
        <v>17180.6</v>
      </c>
      <c r="G33" s="64">
        <f t="shared" si="11"/>
        <v>17643</v>
      </c>
      <c r="H33" s="64">
        <f t="shared" si="11"/>
        <v>17915.2</v>
      </c>
      <c r="I33" s="64">
        <f t="shared" si="11"/>
        <v>17909.6</v>
      </c>
      <c r="J33" s="64">
        <f t="shared" si="11"/>
        <v>20869.2</v>
      </c>
      <c r="K33" s="64">
        <f t="shared" si="11"/>
        <v>22757</v>
      </c>
      <c r="L33" s="65"/>
      <c r="M33" s="65"/>
      <c r="N33" s="6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31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3" t="s">
        <v>34</v>
      </c>
      <c r="B35" s="64">
        <f t="shared" ref="B35:K35" si="12">B14/B33</f>
        <v>0.2253439854</v>
      </c>
      <c r="C35" s="64">
        <f t="shared" si="12"/>
        <v>0.2246763138</v>
      </c>
      <c r="D35" s="64">
        <f t="shared" si="12"/>
        <v>0.2123073014</v>
      </c>
      <c r="E35" s="64">
        <f t="shared" si="12"/>
        <v>0.1847392585</v>
      </c>
      <c r="F35" s="64">
        <f t="shared" si="12"/>
        <v>0.09412360453</v>
      </c>
      <c r="G35" s="64">
        <f t="shared" si="12"/>
        <v>0.08100663153</v>
      </c>
      <c r="H35" s="64">
        <f t="shared" si="12"/>
        <v>0.1353431723</v>
      </c>
      <c r="I35" s="64">
        <f t="shared" si="12"/>
        <v>0.1107785769</v>
      </c>
      <c r="J35" s="64">
        <f t="shared" si="12"/>
        <v>0.1428181243</v>
      </c>
      <c r="K35" s="64">
        <f t="shared" si="12"/>
        <v>0.1387353342</v>
      </c>
      <c r="L35" s="65"/>
      <c r="M35" s="65"/>
      <c r="N35" s="6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3" t="s">
        <v>35</v>
      </c>
      <c r="B36" s="64">
        <f t="shared" ref="B36:K36" si="13">B35*B33</f>
        <v>2265</v>
      </c>
      <c r="C36" s="64">
        <f t="shared" si="13"/>
        <v>2773</v>
      </c>
      <c r="D36" s="64">
        <f t="shared" si="13"/>
        <v>3007.8</v>
      </c>
      <c r="E36" s="64">
        <f t="shared" si="13"/>
        <v>2941.4</v>
      </c>
      <c r="F36" s="64">
        <f t="shared" si="13"/>
        <v>1617.1</v>
      </c>
      <c r="G36" s="64">
        <f t="shared" si="13"/>
        <v>1429.2</v>
      </c>
      <c r="H36" s="64">
        <f t="shared" si="13"/>
        <v>2424.7</v>
      </c>
      <c r="I36" s="64">
        <f t="shared" si="13"/>
        <v>1984</v>
      </c>
      <c r="J36" s="64">
        <f t="shared" si="13"/>
        <v>2980.5</v>
      </c>
      <c r="K36" s="64">
        <f t="shared" si="13"/>
        <v>3157.2</v>
      </c>
      <c r="L36" s="65"/>
      <c r="M36" s="65"/>
      <c r="N36" s="6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57" t="s">
        <v>36</v>
      </c>
      <c r="B37" s="72">
        <f t="shared" ref="B37:K37" si="14">(B36/$B$26)*10^7</f>
        <v>136.0966469</v>
      </c>
      <c r="C37" s="72">
        <f t="shared" si="14"/>
        <v>166.6207513</v>
      </c>
      <c r="D37" s="72">
        <f t="shared" si="14"/>
        <v>180.7291366</v>
      </c>
      <c r="E37" s="72">
        <f t="shared" si="14"/>
        <v>176.7393718</v>
      </c>
      <c r="F37" s="72">
        <f t="shared" si="14"/>
        <v>97.16639631</v>
      </c>
      <c r="G37" s="72">
        <f t="shared" si="14"/>
        <v>85.87608287</v>
      </c>
      <c r="H37" s="72">
        <f t="shared" si="14"/>
        <v>145.692512</v>
      </c>
      <c r="I37" s="72">
        <f t="shared" si="14"/>
        <v>119.2122505</v>
      </c>
      <c r="J37" s="72">
        <f t="shared" si="14"/>
        <v>179.0887664</v>
      </c>
      <c r="K37" s="72">
        <f t="shared" si="14"/>
        <v>189.7061075</v>
      </c>
      <c r="L37" s="72"/>
      <c r="M37" s="72"/>
      <c r="N37" s="72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8.75" customHeight="1">
      <c r="A38" s="32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1" t="s">
        <v>37</v>
      </c>
      <c r="B39" s="64"/>
      <c r="C39" s="70">
        <f t="shared" ref="C39:K39" si="15">(C37-B37)/B37</f>
        <v>0.2242825607</v>
      </c>
      <c r="D39" s="70">
        <f t="shared" si="15"/>
        <v>0.08467363866</v>
      </c>
      <c r="E39" s="70">
        <f t="shared" si="15"/>
        <v>-0.0220759359</v>
      </c>
      <c r="F39" s="70">
        <f t="shared" si="15"/>
        <v>-0.4502277827</v>
      </c>
      <c r="G39" s="70">
        <f t="shared" si="15"/>
        <v>-0.1161956589</v>
      </c>
      <c r="H39" s="70">
        <f t="shared" si="15"/>
        <v>0.6965435209</v>
      </c>
      <c r="I39" s="70">
        <f t="shared" si="15"/>
        <v>-0.1817544438</v>
      </c>
      <c r="J39" s="70">
        <f t="shared" si="15"/>
        <v>0.5022681452</v>
      </c>
      <c r="K39" s="70">
        <f t="shared" si="15"/>
        <v>0.05928535481</v>
      </c>
      <c r="L39" s="65"/>
      <c r="M39" s="65"/>
      <c r="N39" s="6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35" t="s">
        <v>38</v>
      </c>
      <c r="B40" s="70">
        <f>(K37-G37)/(5*G37)</f>
        <v>0.241813602</v>
      </c>
      <c r="C40" s="64"/>
      <c r="D40" s="64"/>
      <c r="E40" s="64"/>
      <c r="F40" s="64"/>
      <c r="G40" s="64"/>
      <c r="H40" s="64"/>
      <c r="I40" s="64"/>
      <c r="J40" s="64"/>
      <c r="K40" s="64"/>
      <c r="L40" s="65"/>
      <c r="M40" s="65"/>
      <c r="N40" s="6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1" t="s">
        <v>39</v>
      </c>
      <c r="B41" s="64"/>
      <c r="C41" s="64">
        <f t="shared" ref="C41:K41" si="16">(C30-B30)/B30</f>
        <v>-0.3127204492</v>
      </c>
      <c r="D41" s="64">
        <f t="shared" si="16"/>
        <v>0.9778687809</v>
      </c>
      <c r="E41" s="64">
        <f t="shared" si="16"/>
        <v>-0.1423259621</v>
      </c>
      <c r="F41" s="64">
        <f t="shared" si="16"/>
        <v>-0.3542715272</v>
      </c>
      <c r="G41" s="64">
        <f t="shared" si="16"/>
        <v>-0.4342103604</v>
      </c>
      <c r="H41" s="64">
        <f t="shared" si="16"/>
        <v>3.363992014</v>
      </c>
      <c r="I41" s="64">
        <f t="shared" si="16"/>
        <v>-0.568279128</v>
      </c>
      <c r="J41" s="64">
        <f t="shared" si="16"/>
        <v>-0.524037085</v>
      </c>
      <c r="K41" s="64">
        <f t="shared" si="16"/>
        <v>1.149025137</v>
      </c>
      <c r="L41" s="65"/>
      <c r="M41" s="65"/>
      <c r="N41" s="6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5" t="s">
        <v>40</v>
      </c>
      <c r="B42" s="70">
        <f>(K30-G30)/(5*G30)</f>
        <v>0.1854176504</v>
      </c>
      <c r="C42" s="64"/>
      <c r="D42" s="64"/>
      <c r="E42" s="64"/>
      <c r="F42" s="64"/>
      <c r="G42" s="64"/>
      <c r="H42" s="64"/>
      <c r="I42" s="64"/>
      <c r="J42" s="64"/>
      <c r="K42" s="64"/>
      <c r="L42" s="65"/>
      <c r="M42" s="65"/>
      <c r="N42" s="6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36" t="s">
        <v>41</v>
      </c>
      <c r="B45" s="15">
        <v>89.9</v>
      </c>
      <c r="C45" s="15">
        <v>115.41</v>
      </c>
      <c r="D45" s="15">
        <v>137.13</v>
      </c>
      <c r="E45" s="15">
        <v>124.88</v>
      </c>
      <c r="F45" s="15">
        <v>77.96</v>
      </c>
      <c r="G45" s="15">
        <v>57.07</v>
      </c>
      <c r="H45" s="15">
        <v>117.42</v>
      </c>
      <c r="I45" s="15">
        <v>121.92</v>
      </c>
      <c r="J45" s="15">
        <v>117.35</v>
      </c>
      <c r="K45" s="15">
        <v>131.14</v>
      </c>
      <c r="L45" s="1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36" t="s">
        <v>42</v>
      </c>
      <c r="B46" s="37">
        <v>0.17</v>
      </c>
      <c r="C46" s="37">
        <v>0.16</v>
      </c>
      <c r="D46" s="37">
        <v>0.15</v>
      </c>
      <c r="E46" s="37">
        <v>0.16</v>
      </c>
      <c r="F46" s="37">
        <v>0.26</v>
      </c>
      <c r="G46" s="37">
        <v>0.35</v>
      </c>
      <c r="H46" s="37">
        <v>0.17</v>
      </c>
      <c r="I46" s="37">
        <v>0.21</v>
      </c>
      <c r="J46" s="37">
        <v>0.21</v>
      </c>
      <c r="K46" s="37">
        <v>0.23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7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rintOptions gridLines="1"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13.57"/>
    <col customWidth="1" min="3" max="4" width="8.71"/>
    <col customWidth="1" min="5" max="5" width="13.14"/>
    <col customWidth="1" min="6" max="6" width="11.86"/>
    <col customWidth="1" min="7" max="7" width="13.0"/>
    <col customWidth="1" min="8" max="8" width="8.71"/>
    <col customWidth="1" min="9" max="9" width="13.57"/>
    <col customWidth="1" min="10" max="26" width="8.71"/>
  </cols>
  <sheetData>
    <row r="1" ht="14.25" customHeight="1">
      <c r="A1" s="74" t="s">
        <v>51</v>
      </c>
    </row>
    <row r="2" ht="14.25" customHeight="1">
      <c r="A2" s="75" t="s">
        <v>52</v>
      </c>
      <c r="B2" s="76">
        <v>0.013688954</v>
      </c>
      <c r="C2" s="77" t="s">
        <v>53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80">
        <v>0.6819937744</v>
      </c>
    </row>
    <row r="5" ht="14.25" customHeight="1">
      <c r="A5" s="54" t="s">
        <v>56</v>
      </c>
      <c r="B5" s="81">
        <f>B3+B4*(B2)</f>
        <v>0.07803578141</v>
      </c>
      <c r="E5" s="82" t="s">
        <v>57</v>
      </c>
      <c r="F5" s="83">
        <f>(B6-B7)/3</f>
        <v>0.02728747871</v>
      </c>
    </row>
    <row r="6" ht="14.25" customHeight="1">
      <c r="A6" s="54" t="s">
        <v>58</v>
      </c>
      <c r="B6" s="81">
        <f>B11*B12</f>
        <v>0.1401704001</v>
      </c>
      <c r="F6" s="84">
        <f>$B$6-$F$5</f>
        <v>0.1128829214</v>
      </c>
      <c r="G6" s="84">
        <f>$B$6-(2*$F$5)</f>
        <v>0.08559544271</v>
      </c>
      <c r="H6" s="84">
        <f>$B$6-(3*$F$5)</f>
        <v>0.058307964</v>
      </c>
    </row>
    <row r="7" ht="14.25" customHeight="1">
      <c r="A7" s="10" t="s">
        <v>59</v>
      </c>
      <c r="B7" s="79">
        <f>1.058307964
-1</f>
        <v>0.058307964</v>
      </c>
    </row>
    <row r="8" ht="14.25" customHeight="1">
      <c r="A8" s="54" t="s">
        <v>60</v>
      </c>
      <c r="B8" s="79">
        <v>0.04</v>
      </c>
    </row>
    <row r="9" ht="14.25" customHeight="1">
      <c r="B9" s="85"/>
    </row>
    <row r="10" ht="14.25" customHeight="1">
      <c r="A10" s="54" t="s">
        <v>61</v>
      </c>
      <c r="B10" s="85">
        <f>AVERAGE(J15:N15)</f>
        <v>0.198</v>
      </c>
      <c r="I10" s="1"/>
      <c r="J10" s="85"/>
      <c r="K10" s="85"/>
      <c r="L10" s="85"/>
      <c r="M10" s="85"/>
      <c r="N10" s="85"/>
    </row>
    <row r="11" ht="14.25" customHeight="1">
      <c r="A11" s="54" t="s">
        <v>62</v>
      </c>
      <c r="B11" s="85">
        <f>1-B10</f>
        <v>0.802</v>
      </c>
      <c r="I11" s="1"/>
    </row>
    <row r="12" ht="14.25" customHeight="1">
      <c r="A12" s="54" t="s">
        <v>9</v>
      </c>
      <c r="B12" s="85">
        <f>AVERAGE(J16:N16)</f>
        <v>0.17477606</v>
      </c>
      <c r="I12" s="1"/>
    </row>
    <row r="13" ht="14.25" customHeight="1">
      <c r="A13" s="39" t="s">
        <v>63</v>
      </c>
    </row>
    <row r="14" ht="14.25" customHeight="1">
      <c r="A14" s="54" t="s">
        <v>64</v>
      </c>
      <c r="B14" s="49">
        <f>38151</f>
        <v>38151</v>
      </c>
      <c r="C14" s="54" t="s">
        <v>65</v>
      </c>
      <c r="I14" s="86" t="s">
        <v>3</v>
      </c>
      <c r="J14" s="86">
        <v>2018.0</v>
      </c>
      <c r="K14" s="86">
        <v>2019.0</v>
      </c>
      <c r="L14" s="86">
        <v>2020.0</v>
      </c>
      <c r="M14" s="86">
        <v>2021.0</v>
      </c>
      <c r="N14" s="86">
        <v>2022.0</v>
      </c>
    </row>
    <row r="15" ht="14.25" customHeight="1">
      <c r="A15" s="54" t="s">
        <v>66</v>
      </c>
      <c r="B15" s="54">
        <v>5.545540976E9</v>
      </c>
      <c r="I15" s="1" t="s">
        <v>67</v>
      </c>
      <c r="J15" s="37">
        <v>0.14</v>
      </c>
      <c r="K15" s="37">
        <v>0.12</v>
      </c>
      <c r="L15" s="37">
        <v>0.23</v>
      </c>
      <c r="M15" s="37">
        <v>0.25</v>
      </c>
      <c r="N15" s="37">
        <v>0.25</v>
      </c>
    </row>
    <row r="16" ht="14.25" customHeight="1">
      <c r="I16" s="3" t="s">
        <v>68</v>
      </c>
      <c r="J16" s="87">
        <v>0.1990069</v>
      </c>
      <c r="K16" s="87">
        <v>0.1695805</v>
      </c>
      <c r="L16" s="87">
        <v>0.1773908</v>
      </c>
      <c r="M16" s="87">
        <v>0.1378248</v>
      </c>
      <c r="N16" s="87">
        <v>0.1900773</v>
      </c>
    </row>
    <row r="17" ht="14.25" customHeight="1">
      <c r="I17" s="19" t="s">
        <v>69</v>
      </c>
      <c r="J17" s="88">
        <f>AVERAGE(J16:S16)</f>
        <v>0.17477606</v>
      </c>
    </row>
    <row r="18" ht="14.25" customHeight="1">
      <c r="A18" s="89" t="s">
        <v>70</v>
      </c>
      <c r="B18" s="90" t="s">
        <v>71</v>
      </c>
      <c r="G18" s="90" t="s">
        <v>72</v>
      </c>
      <c r="I18" s="10" t="s">
        <v>73</v>
      </c>
      <c r="J18" s="84">
        <f>AVERAGE(J15:N15)</f>
        <v>0.198</v>
      </c>
    </row>
    <row r="19" ht="14.25" customHeight="1">
      <c r="B19" s="91">
        <v>44621.0</v>
      </c>
      <c r="C19" s="91">
        <v>44986.0</v>
      </c>
      <c r="D19" s="91">
        <v>45352.0</v>
      </c>
      <c r="E19" s="91">
        <v>45717.0</v>
      </c>
      <c r="F19" s="91">
        <v>46082.0</v>
      </c>
      <c r="G19" s="91">
        <v>46447.0</v>
      </c>
    </row>
    <row r="20" ht="14.25" customHeight="1">
      <c r="A20" s="54" t="s">
        <v>74</v>
      </c>
      <c r="B20" s="2">
        <f>B14</f>
        <v>38151</v>
      </c>
      <c r="C20" s="54">
        <f t="shared" ref="C20:F20" si="1">B20*(1+$B$6)</f>
        <v>43498.64093</v>
      </c>
      <c r="D20" s="54">
        <f t="shared" si="1"/>
        <v>49595.86284</v>
      </c>
      <c r="E20" s="54">
        <f t="shared" si="1"/>
        <v>56547.73478</v>
      </c>
      <c r="F20" s="54">
        <f t="shared" si="1"/>
        <v>64474.05339</v>
      </c>
      <c r="G20" s="54">
        <f>F20*(1+B8)</f>
        <v>67053.01552</v>
      </c>
    </row>
    <row r="21" ht="14.25" customHeight="1">
      <c r="A21" s="54" t="s">
        <v>75</v>
      </c>
      <c r="B21" s="54">
        <f t="shared" ref="B21:G21" si="2">B20*$B$10</f>
        <v>7553.898</v>
      </c>
      <c r="C21" s="54">
        <f t="shared" si="2"/>
        <v>8612.730905</v>
      </c>
      <c r="D21" s="54">
        <f t="shared" si="2"/>
        <v>9819.980842</v>
      </c>
      <c r="E21" s="54">
        <f t="shared" si="2"/>
        <v>11196.45149</v>
      </c>
      <c r="F21" s="54">
        <f t="shared" si="2"/>
        <v>12765.86257</v>
      </c>
      <c r="G21" s="54">
        <f t="shared" si="2"/>
        <v>13276.49707</v>
      </c>
    </row>
    <row r="22" ht="14.25" customHeight="1">
      <c r="A22" s="54" t="s">
        <v>76</v>
      </c>
      <c r="B22" s="1">
        <f t="shared" ref="B22:E22" si="3">B21</f>
        <v>7553.898</v>
      </c>
      <c r="C22" s="1">
        <f t="shared" si="3"/>
        <v>8612.730905</v>
      </c>
      <c r="D22" s="1">
        <f t="shared" si="3"/>
        <v>9819.980842</v>
      </c>
      <c r="E22" s="1">
        <f t="shared" si="3"/>
        <v>11196.45149</v>
      </c>
      <c r="F22" s="54">
        <f>G21/(B5-B8)+F21</f>
        <v>361818.6908</v>
      </c>
      <c r="G22" s="92"/>
    </row>
    <row r="23" ht="14.25" customHeight="1">
      <c r="A23" s="54" t="s">
        <v>77</v>
      </c>
      <c r="B23" s="93">
        <f t="array" ref="B23">B22+NPV(B5,C22:F22)</f>
        <v>300820.8189</v>
      </c>
    </row>
    <row r="24" ht="14.25" customHeight="1"/>
    <row r="25" ht="14.25" customHeight="1">
      <c r="A25" s="54" t="s">
        <v>78</v>
      </c>
      <c r="B25" s="54">
        <f>((B23/B15)*10^7)*J18</f>
        <v>107.4061528</v>
      </c>
    </row>
    <row r="26" ht="14.25" customHeight="1">
      <c r="A26" s="10"/>
    </row>
    <row r="27" ht="14.25" customHeight="1">
      <c r="A27" s="89" t="s">
        <v>79</v>
      </c>
      <c r="B27" s="90" t="s">
        <v>71</v>
      </c>
      <c r="G27" s="90" t="s">
        <v>72</v>
      </c>
      <c r="J27" s="90" t="s">
        <v>80</v>
      </c>
    </row>
    <row r="28" ht="14.25" customHeight="1">
      <c r="B28" s="91">
        <v>44621.0</v>
      </c>
      <c r="C28" s="91">
        <v>44986.0</v>
      </c>
      <c r="D28" s="91">
        <v>45352.0</v>
      </c>
      <c r="E28" s="91">
        <v>45717.0</v>
      </c>
      <c r="F28" s="91">
        <v>46082.0</v>
      </c>
      <c r="G28" s="91">
        <v>46447.0</v>
      </c>
      <c r="H28" s="91">
        <v>46813.0</v>
      </c>
      <c r="I28" s="91">
        <v>47178.0</v>
      </c>
      <c r="J28" s="91">
        <v>47543.0</v>
      </c>
    </row>
    <row r="29" ht="14.25" customHeight="1">
      <c r="A29" s="54" t="s">
        <v>74</v>
      </c>
      <c r="B29" s="2">
        <f>B14</f>
        <v>38151</v>
      </c>
      <c r="C29" s="54">
        <f t="shared" ref="C29:F29" si="4">B29*(1+$B$6)</f>
        <v>43498.64093</v>
      </c>
      <c r="D29" s="54">
        <f t="shared" si="4"/>
        <v>49595.86284</v>
      </c>
      <c r="E29" s="54">
        <f t="shared" si="4"/>
        <v>56547.73478</v>
      </c>
      <c r="F29" s="54">
        <f t="shared" si="4"/>
        <v>64474.05339</v>
      </c>
      <c r="G29" s="54">
        <f t="shared" ref="G29:I29" si="5">F29*(1+F6)</f>
        <v>71752.07289</v>
      </c>
      <c r="H29" s="54">
        <f t="shared" si="5"/>
        <v>77893.72333</v>
      </c>
      <c r="I29" s="54">
        <f t="shared" si="5"/>
        <v>82435.54775</v>
      </c>
      <c r="J29" s="54">
        <f>I29*(1+B8)</f>
        <v>85732.96966</v>
      </c>
    </row>
    <row r="30" ht="14.25" customHeight="1">
      <c r="A30" s="54" t="s">
        <v>75</v>
      </c>
      <c r="B30" s="54">
        <f t="shared" ref="B30:J30" si="6">B29*$B$10</f>
        <v>7553.898</v>
      </c>
      <c r="C30" s="54">
        <f t="shared" si="6"/>
        <v>8612.730905</v>
      </c>
      <c r="D30" s="54">
        <f t="shared" si="6"/>
        <v>9819.980842</v>
      </c>
      <c r="E30" s="54">
        <f t="shared" si="6"/>
        <v>11196.45149</v>
      </c>
      <c r="F30" s="54">
        <f t="shared" si="6"/>
        <v>12765.86257</v>
      </c>
      <c r="G30" s="54">
        <f t="shared" si="6"/>
        <v>14206.91043</v>
      </c>
      <c r="H30" s="54">
        <f t="shared" si="6"/>
        <v>15422.95722</v>
      </c>
      <c r="I30" s="54">
        <f t="shared" si="6"/>
        <v>16322.23845</v>
      </c>
      <c r="J30" s="54">
        <f t="shared" si="6"/>
        <v>16975.12799</v>
      </c>
    </row>
    <row r="31" ht="14.25" customHeight="1">
      <c r="A31" s="54" t="s">
        <v>76</v>
      </c>
      <c r="B31" s="1">
        <f t="shared" ref="B31:H31" si="7">B30</f>
        <v>7553.898</v>
      </c>
      <c r="C31" s="1">
        <f t="shared" si="7"/>
        <v>8612.730905</v>
      </c>
      <c r="D31" s="1">
        <f t="shared" si="7"/>
        <v>9819.980842</v>
      </c>
      <c r="E31" s="1">
        <f t="shared" si="7"/>
        <v>11196.45149</v>
      </c>
      <c r="F31" s="1">
        <f t="shared" si="7"/>
        <v>12765.86257</v>
      </c>
      <c r="G31" s="1">
        <f t="shared" si="7"/>
        <v>14206.91043</v>
      </c>
      <c r="H31" s="1">
        <f t="shared" si="7"/>
        <v>15422.95722</v>
      </c>
      <c r="I31" s="1">
        <f>I30+J30/(B5-B8)</f>
        <v>462615.8958</v>
      </c>
    </row>
    <row r="32" ht="14.25" customHeight="1">
      <c r="A32" s="54" t="s">
        <v>77</v>
      </c>
      <c r="B32" s="93">
        <f t="array" ref="B32">B31+NPV(B5,C31:I31)</f>
        <v>335358.3701</v>
      </c>
    </row>
    <row r="33" ht="14.25" customHeight="1"/>
    <row r="34" ht="14.25" customHeight="1">
      <c r="A34" s="54" t="s">
        <v>78</v>
      </c>
      <c r="B34" s="1">
        <f>((B32/B15)*10^7)*J18</f>
        <v>119.737565</v>
      </c>
    </row>
    <row r="35" ht="14.25" customHeight="1"/>
    <row r="36" ht="14.25" customHeight="1"/>
    <row r="37" ht="14.25" customHeight="1">
      <c r="A37" s="54" t="s">
        <v>81</v>
      </c>
      <c r="B37" s="54" t="s">
        <v>82</v>
      </c>
      <c r="C37" s="94" t="s">
        <v>83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">
    <mergeCell ref="C2:E2"/>
    <mergeCell ref="B18:F18"/>
    <mergeCell ref="B27:F27"/>
    <mergeCell ref="G27:I27"/>
  </mergeCells>
  <conditionalFormatting sqref="B18:D18 B27:D27">
    <cfRule type="notContainsBlanks" dxfId="0" priority="1">
      <formula>LEN(TRIM(B18))&gt;0</formula>
    </cfRule>
  </conditionalFormatting>
  <hyperlinks>
    <hyperlink r:id="rId1" ref="C37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20.57"/>
    <col customWidth="1" min="3" max="4" width="8.71"/>
    <col customWidth="1" min="5" max="5" width="13.0"/>
    <col customWidth="1" min="6" max="6" width="11.86"/>
    <col customWidth="1" min="7" max="7" width="14.29"/>
    <col customWidth="1" min="8" max="8" width="8.71"/>
    <col customWidth="1" min="9" max="9" width="11.14"/>
    <col customWidth="1" min="10" max="26" width="8.71"/>
  </cols>
  <sheetData>
    <row r="1" ht="14.25" customHeight="1">
      <c r="A1" s="74" t="s">
        <v>84</v>
      </c>
    </row>
    <row r="2" ht="14.25" customHeight="1">
      <c r="A2" s="75" t="s">
        <v>52</v>
      </c>
      <c r="B2" s="76">
        <v>0.013688954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95">
        <v>0.4212852195</v>
      </c>
    </row>
    <row r="5" ht="14.25" customHeight="1">
      <c r="A5" s="54" t="s">
        <v>85</v>
      </c>
      <c r="B5" s="81">
        <f>B3+B4*(B2)</f>
        <v>0.07446695399</v>
      </c>
      <c r="E5" s="82" t="s">
        <v>57</v>
      </c>
      <c r="F5" s="83">
        <f>(B6-B7)/3</f>
        <v>0.0216568098</v>
      </c>
    </row>
    <row r="6" ht="14.25" customHeight="1">
      <c r="A6" s="54" t="s">
        <v>58</v>
      </c>
      <c r="B6" s="81">
        <f>B11*B12</f>
        <v>0.1232783934</v>
      </c>
      <c r="F6" s="84">
        <f>$B$6-$F$5</f>
        <v>0.1016215836</v>
      </c>
      <c r="G6" s="84">
        <f>$B$6-(2*$F$5)</f>
        <v>0.0799647738</v>
      </c>
      <c r="H6" s="84">
        <f>$B$6-(3*$F$5)</f>
        <v>0.058307964</v>
      </c>
    </row>
    <row r="7" ht="14.25" customHeight="1">
      <c r="A7" s="10" t="s">
        <v>59</v>
      </c>
      <c r="B7" s="79">
        <v>0.058307963999999934</v>
      </c>
    </row>
    <row r="8" ht="14.25" customHeight="1">
      <c r="A8" s="54" t="s">
        <v>60</v>
      </c>
      <c r="B8" s="79">
        <v>0.04</v>
      </c>
    </row>
    <row r="9" ht="14.25" customHeight="1"/>
    <row r="10" ht="14.25" customHeight="1">
      <c r="A10" s="54" t="s">
        <v>61</v>
      </c>
      <c r="B10" s="85">
        <f>AVERAGE(J15:N15)</f>
        <v>0.2734</v>
      </c>
      <c r="I10" s="1"/>
      <c r="J10" s="96"/>
      <c r="K10" s="96"/>
      <c r="L10" s="96"/>
      <c r="M10" s="96"/>
      <c r="N10" s="96"/>
    </row>
    <row r="11" ht="14.25" customHeight="1">
      <c r="A11" s="54" t="s">
        <v>62</v>
      </c>
      <c r="B11" s="85">
        <f>1-B10</f>
        <v>0.7266</v>
      </c>
      <c r="I11" s="19"/>
      <c r="J11" s="97"/>
      <c r="K11" s="97"/>
      <c r="L11" s="97"/>
      <c r="M11" s="97"/>
      <c r="N11" s="97"/>
      <c r="O11" s="97"/>
      <c r="P11" s="97"/>
      <c r="Q11" s="97"/>
      <c r="R11" s="97"/>
      <c r="S11" s="97"/>
    </row>
    <row r="12" ht="14.25" customHeight="1">
      <c r="A12" s="54" t="s">
        <v>9</v>
      </c>
      <c r="B12" s="85">
        <f>AVERAGE(J16:N16)</f>
        <v>0.1696647308</v>
      </c>
      <c r="I12" s="19"/>
      <c r="J12" s="96"/>
    </row>
    <row r="13" ht="14.25" customHeight="1">
      <c r="A13" s="39" t="s">
        <v>63</v>
      </c>
    </row>
    <row r="14" ht="14.25" customHeight="1">
      <c r="A14" s="54" t="s">
        <v>64</v>
      </c>
      <c r="B14" s="49">
        <v>18367.6</v>
      </c>
      <c r="C14" s="54" t="s">
        <v>65</v>
      </c>
      <c r="I14" s="86" t="s">
        <v>3</v>
      </c>
      <c r="J14" s="86">
        <v>2018.0</v>
      </c>
      <c r="K14" s="86">
        <v>2019.0</v>
      </c>
      <c r="L14" s="86">
        <v>2020.0</v>
      </c>
      <c r="M14" s="86">
        <v>2021.0</v>
      </c>
      <c r="N14" s="86">
        <v>2022.0</v>
      </c>
    </row>
    <row r="15" ht="14.25" customHeight="1">
      <c r="A15" s="54" t="s">
        <v>66</v>
      </c>
      <c r="B15" s="54">
        <v>3.069747836E9</v>
      </c>
      <c r="I15" s="22" t="s">
        <v>86</v>
      </c>
      <c r="J15" s="21">
        <v>0.25</v>
      </c>
      <c r="K15" s="21">
        <v>0.24</v>
      </c>
      <c r="L15" s="27">
        <v>0.297</v>
      </c>
      <c r="M15" s="21">
        <v>0.32</v>
      </c>
      <c r="N15" s="21">
        <v>0.26</v>
      </c>
    </row>
    <row r="16" ht="14.25" customHeight="1">
      <c r="I16" s="19" t="s">
        <v>68</v>
      </c>
      <c r="J16" s="97">
        <v>0.13420424897502795</v>
      </c>
      <c r="K16" s="97">
        <v>0.1424468791500664</v>
      </c>
      <c r="L16" s="97">
        <v>0.14992049469964663</v>
      </c>
      <c r="M16" s="97">
        <v>0.207944003343084</v>
      </c>
      <c r="N16" s="97">
        <v>0.21380802792321116</v>
      </c>
    </row>
    <row r="17" ht="14.25" customHeight="1">
      <c r="I17" s="19" t="s">
        <v>69</v>
      </c>
      <c r="J17" s="96">
        <f>AVERAGE(J16:N16)</f>
        <v>0.1696647308</v>
      </c>
    </row>
    <row r="18" ht="14.25" customHeight="1">
      <c r="A18" s="89" t="s">
        <v>70</v>
      </c>
      <c r="B18" s="90" t="s">
        <v>71</v>
      </c>
      <c r="G18" s="90" t="s">
        <v>72</v>
      </c>
      <c r="I18" s="10" t="s">
        <v>73</v>
      </c>
      <c r="J18" s="84">
        <f>AVERAGE(J15:N15)</f>
        <v>0.2734</v>
      </c>
    </row>
    <row r="19" ht="14.25" customHeight="1">
      <c r="B19" s="91">
        <v>44621.0</v>
      </c>
      <c r="C19" s="91">
        <v>44986.0</v>
      </c>
      <c r="D19" s="91">
        <v>45352.0</v>
      </c>
      <c r="E19" s="91">
        <v>45717.0</v>
      </c>
      <c r="F19" s="91">
        <v>46082.0</v>
      </c>
      <c r="G19" s="91">
        <v>46447.0</v>
      </c>
    </row>
    <row r="20" ht="14.25" customHeight="1">
      <c r="A20" s="54" t="s">
        <v>74</v>
      </c>
      <c r="B20" s="2">
        <f>B14</f>
        <v>18367.6</v>
      </c>
      <c r="C20" s="54">
        <f t="shared" ref="C20:F20" si="1">B20*(1+$B$6)</f>
        <v>20631.92822</v>
      </c>
      <c r="D20" s="54">
        <f t="shared" si="1"/>
        <v>23175.39918</v>
      </c>
      <c r="E20" s="54">
        <f t="shared" si="1"/>
        <v>26032.42516</v>
      </c>
      <c r="F20" s="54">
        <f t="shared" si="1"/>
        <v>29241.66071</v>
      </c>
      <c r="G20" s="54">
        <f>F20*(1+B8)</f>
        <v>30411.32714</v>
      </c>
    </row>
    <row r="21" ht="14.25" customHeight="1">
      <c r="A21" s="54" t="s">
        <v>75</v>
      </c>
      <c r="B21" s="54">
        <f t="shared" ref="B21:G21" si="2">B20*$B$10</f>
        <v>5021.70184</v>
      </c>
      <c r="C21" s="54">
        <f t="shared" si="2"/>
        <v>5640.769175</v>
      </c>
      <c r="D21" s="54">
        <f t="shared" si="2"/>
        <v>6336.154137</v>
      </c>
      <c r="E21" s="54">
        <f t="shared" si="2"/>
        <v>7117.265039</v>
      </c>
      <c r="F21" s="54">
        <f t="shared" si="2"/>
        <v>7994.670038</v>
      </c>
      <c r="G21" s="54">
        <f t="shared" si="2"/>
        <v>8314.45684</v>
      </c>
    </row>
    <row r="22" ht="14.25" customHeight="1">
      <c r="A22" s="54" t="s">
        <v>76</v>
      </c>
      <c r="B22" s="1">
        <f t="shared" ref="B22:E22" si="3">B21</f>
        <v>5021.70184</v>
      </c>
      <c r="C22" s="1">
        <f t="shared" si="3"/>
        <v>5640.769175</v>
      </c>
      <c r="D22" s="1">
        <f t="shared" si="3"/>
        <v>6336.154137</v>
      </c>
      <c r="E22" s="1">
        <f t="shared" si="3"/>
        <v>7117.265039</v>
      </c>
      <c r="F22" s="54">
        <f>G21/(B5-B8)+F21</f>
        <v>249224.4823</v>
      </c>
      <c r="G22" s="92"/>
    </row>
    <row r="23" ht="14.25" customHeight="1">
      <c r="A23" s="54" t="s">
        <v>77</v>
      </c>
      <c r="B23" s="93">
        <f t="array" ref="B23">B22+NPV(B5,C22:F22)</f>
        <v>208487.5328</v>
      </c>
    </row>
    <row r="24" ht="14.25" customHeight="1"/>
    <row r="25" ht="14.25" customHeight="1">
      <c r="A25" s="54" t="s">
        <v>78</v>
      </c>
      <c r="B25" s="54">
        <f>((B23/B15)*10^7)*J18</f>
        <v>185.6846051</v>
      </c>
    </row>
    <row r="26" ht="14.25" customHeight="1"/>
    <row r="27" ht="14.25" customHeight="1">
      <c r="A27" s="89" t="s">
        <v>79</v>
      </c>
      <c r="B27" s="90" t="s">
        <v>71</v>
      </c>
      <c r="G27" s="90" t="s">
        <v>72</v>
      </c>
      <c r="J27" s="90" t="s">
        <v>80</v>
      </c>
    </row>
    <row r="28" ht="14.25" customHeight="1">
      <c r="B28" s="91">
        <v>44621.0</v>
      </c>
      <c r="C28" s="91">
        <v>44986.0</v>
      </c>
      <c r="D28" s="91">
        <v>45352.0</v>
      </c>
      <c r="E28" s="91">
        <v>45717.0</v>
      </c>
      <c r="F28" s="91">
        <v>46082.0</v>
      </c>
      <c r="G28" s="91">
        <v>46447.0</v>
      </c>
      <c r="H28" s="91">
        <v>46813.0</v>
      </c>
      <c r="I28" s="91">
        <v>47178.0</v>
      </c>
      <c r="J28" s="91">
        <v>47543.0</v>
      </c>
    </row>
    <row r="29" ht="14.25" customHeight="1">
      <c r="A29" s="54" t="s">
        <v>74</v>
      </c>
      <c r="B29" s="2">
        <f>B14</f>
        <v>18367.6</v>
      </c>
      <c r="C29" s="54">
        <f t="shared" ref="C29:F29" si="4">B29*(1+$B$6)</f>
        <v>20631.92822</v>
      </c>
      <c r="D29" s="54">
        <f t="shared" si="4"/>
        <v>23175.39918</v>
      </c>
      <c r="E29" s="54">
        <f t="shared" si="4"/>
        <v>26032.42516</v>
      </c>
      <c r="F29" s="54">
        <f t="shared" si="4"/>
        <v>29241.66071</v>
      </c>
      <c r="G29" s="54">
        <f t="shared" ref="G29:I29" si="5">F29*(1+F6)</f>
        <v>32213.24458</v>
      </c>
      <c r="H29" s="54">
        <f t="shared" si="5"/>
        <v>34789.1694</v>
      </c>
      <c r="I29" s="54">
        <f t="shared" si="5"/>
        <v>36817.65503</v>
      </c>
      <c r="J29" s="54">
        <f>I29*(1+B8)</f>
        <v>38290.36123</v>
      </c>
    </row>
    <row r="30" ht="14.25" customHeight="1">
      <c r="A30" s="54" t="s">
        <v>75</v>
      </c>
      <c r="B30" s="54">
        <f t="shared" ref="B30:J30" si="6">B29*$B$10</f>
        <v>5021.70184</v>
      </c>
      <c r="C30" s="54">
        <f t="shared" si="6"/>
        <v>5640.769175</v>
      </c>
      <c r="D30" s="54">
        <f t="shared" si="6"/>
        <v>6336.154137</v>
      </c>
      <c r="E30" s="54">
        <f t="shared" si="6"/>
        <v>7117.265039</v>
      </c>
      <c r="F30" s="54">
        <f t="shared" si="6"/>
        <v>7994.670038</v>
      </c>
      <c r="G30" s="54">
        <f t="shared" si="6"/>
        <v>8807.101068</v>
      </c>
      <c r="H30" s="54">
        <f t="shared" si="6"/>
        <v>9511.358913</v>
      </c>
      <c r="I30" s="54">
        <f t="shared" si="6"/>
        <v>10065.94689</v>
      </c>
      <c r="J30" s="54">
        <f t="shared" si="6"/>
        <v>10468.58476</v>
      </c>
    </row>
    <row r="31" ht="14.25" customHeight="1">
      <c r="A31" s="54" t="s">
        <v>76</v>
      </c>
      <c r="B31" s="1">
        <f t="shared" ref="B31:H31" si="7">B30</f>
        <v>5021.70184</v>
      </c>
      <c r="C31" s="1">
        <f t="shared" si="7"/>
        <v>5640.769175</v>
      </c>
      <c r="D31" s="1">
        <f t="shared" si="7"/>
        <v>6336.154137</v>
      </c>
      <c r="E31" s="1">
        <f t="shared" si="7"/>
        <v>7117.265039</v>
      </c>
      <c r="F31" s="1">
        <f t="shared" si="7"/>
        <v>7994.670038</v>
      </c>
      <c r="G31" s="1">
        <f t="shared" si="7"/>
        <v>8807.101068</v>
      </c>
      <c r="H31" s="1">
        <f t="shared" si="7"/>
        <v>9511.358913</v>
      </c>
      <c r="I31" s="1">
        <f>I30+J30/(B5-B8)</f>
        <v>313794.114</v>
      </c>
    </row>
    <row r="32" ht="14.25" customHeight="1">
      <c r="A32" s="54" t="s">
        <v>77</v>
      </c>
      <c r="B32" s="2">
        <f t="array" ref="B32">B31+NPV(B5,C31:I31)</f>
        <v>229625.8131</v>
      </c>
    </row>
    <row r="33" ht="14.25" customHeight="1"/>
    <row r="34" ht="14.25" customHeight="1">
      <c r="A34" s="54" t="s">
        <v>78</v>
      </c>
      <c r="B34" s="1">
        <f>((B32/B15)*10^7)*J18</f>
        <v>204.5109262</v>
      </c>
    </row>
    <row r="35" ht="14.25" customHeight="1"/>
    <row r="36" ht="14.25" customHeight="1"/>
    <row r="37" ht="14.25" customHeight="1"/>
    <row r="38" ht="14.25" customHeight="1"/>
    <row r="39" ht="14.25" customHeight="1">
      <c r="A39" s="54" t="s">
        <v>81</v>
      </c>
      <c r="B39" s="54" t="s">
        <v>82</v>
      </c>
      <c r="C39" s="94" t="s">
        <v>83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18:F18"/>
    <mergeCell ref="B27:F27"/>
    <mergeCell ref="G27:I27"/>
  </mergeCells>
  <conditionalFormatting sqref="B18:D18 B27:D27">
    <cfRule type="notContainsBlanks" dxfId="0" priority="1">
      <formula>LEN(TRIM(B18))&gt;0</formula>
    </cfRule>
  </conditionalFormatting>
  <hyperlinks>
    <hyperlink r:id="rId1" ref="C39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15.57"/>
    <col customWidth="1" min="3" max="4" width="8.71"/>
    <col customWidth="1" min="5" max="5" width="19.43"/>
    <col customWidth="1" min="6" max="6" width="11.86"/>
    <col customWidth="1" min="7" max="7" width="10.29"/>
    <col customWidth="1" min="8" max="8" width="8.71"/>
    <col customWidth="1" min="9" max="9" width="12.43"/>
    <col customWidth="1" min="10" max="26" width="8.71"/>
  </cols>
  <sheetData>
    <row r="1" ht="14.25" customHeight="1">
      <c r="A1" s="74" t="s">
        <v>87</v>
      </c>
    </row>
    <row r="2" ht="14.25" customHeight="1">
      <c r="A2" s="75" t="s">
        <v>52</v>
      </c>
      <c r="B2" s="76">
        <v>0.013688954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95">
        <v>0.4236259429</v>
      </c>
    </row>
    <row r="5" ht="14.25" customHeight="1">
      <c r="A5" s="54" t="s">
        <v>85</v>
      </c>
      <c r="B5" s="81">
        <f>B3+B4*(B2)</f>
        <v>0.07449899605</v>
      </c>
      <c r="E5" s="82" t="s">
        <v>57</v>
      </c>
      <c r="F5" s="83">
        <f>(B6-B7)/3</f>
        <v>0.009414449213</v>
      </c>
    </row>
    <row r="6" ht="14.25" customHeight="1">
      <c r="A6" s="54" t="s">
        <v>58</v>
      </c>
      <c r="B6" s="81">
        <f>B11*B12</f>
        <v>0.08655131164</v>
      </c>
      <c r="F6" s="84">
        <f>$B$6-$F$5</f>
        <v>0.07713686243</v>
      </c>
      <c r="G6" s="84">
        <f>$B$6-(2*$F$5)</f>
        <v>0.06772241321</v>
      </c>
      <c r="H6" s="84">
        <f>$B$6-(3*$F$5)</f>
        <v>0.058307964</v>
      </c>
    </row>
    <row r="7" ht="14.25" customHeight="1">
      <c r="A7" s="10" t="s">
        <v>59</v>
      </c>
      <c r="B7" s="79">
        <v>0.058307963999999934</v>
      </c>
    </row>
    <row r="8" ht="14.25" customHeight="1">
      <c r="A8" s="54" t="s">
        <v>60</v>
      </c>
      <c r="B8" s="79">
        <v>0.04</v>
      </c>
    </row>
    <row r="9" ht="14.25" customHeight="1"/>
    <row r="10" ht="14.25" customHeight="1">
      <c r="A10" s="54" t="s">
        <v>61</v>
      </c>
      <c r="B10" s="85">
        <f>AVERAGE(J15:N15)</f>
        <v>0.234</v>
      </c>
      <c r="I10" s="1"/>
      <c r="J10" s="98"/>
      <c r="K10" s="98"/>
      <c r="L10" s="98"/>
      <c r="M10" s="98"/>
      <c r="N10" s="98"/>
      <c r="O10" s="1"/>
    </row>
    <row r="11" ht="14.25" customHeight="1">
      <c r="A11" s="54" t="s">
        <v>62</v>
      </c>
      <c r="B11" s="85">
        <f>1-B10</f>
        <v>0.766</v>
      </c>
      <c r="I11" s="3"/>
      <c r="J11" s="87"/>
      <c r="K11" s="87"/>
      <c r="L11" s="87"/>
      <c r="M11" s="87"/>
      <c r="N11" s="87"/>
      <c r="O11" s="87"/>
      <c r="P11" s="87"/>
      <c r="Q11" s="87"/>
      <c r="R11" s="87"/>
      <c r="S11" s="99"/>
    </row>
    <row r="12" ht="14.25" customHeight="1">
      <c r="A12" s="54" t="s">
        <v>9</v>
      </c>
      <c r="B12" s="85">
        <f>AVERAGE(J16:N16)</f>
        <v>0.1129912685</v>
      </c>
      <c r="I12" s="19"/>
      <c r="J12" s="88"/>
    </row>
    <row r="13" ht="14.25" customHeight="1">
      <c r="A13" s="39" t="s">
        <v>63</v>
      </c>
    </row>
    <row r="14" ht="14.25" customHeight="1">
      <c r="A14" s="54" t="s">
        <v>64</v>
      </c>
      <c r="B14" s="49">
        <v>13658.13</v>
      </c>
      <c r="C14" s="54" t="s">
        <v>65</v>
      </c>
      <c r="I14" s="86" t="s">
        <v>3</v>
      </c>
      <c r="J14" s="86">
        <v>2018.0</v>
      </c>
      <c r="K14" s="86">
        <v>2019.0</v>
      </c>
      <c r="L14" s="86">
        <v>2020.0</v>
      </c>
      <c r="M14" s="86">
        <v>2021.0</v>
      </c>
      <c r="N14" s="86">
        <v>2022.0</v>
      </c>
    </row>
    <row r="15" ht="14.25" customHeight="1">
      <c r="A15" s="54" t="s">
        <v>66</v>
      </c>
      <c r="B15" s="54">
        <v>1.98466176E9</v>
      </c>
      <c r="I15" s="1" t="s">
        <v>67</v>
      </c>
      <c r="J15" s="37">
        <v>0.35</v>
      </c>
      <c r="K15" s="37">
        <v>0.17</v>
      </c>
      <c r="L15" s="37">
        <v>0.21</v>
      </c>
      <c r="M15" s="37">
        <v>0.21</v>
      </c>
      <c r="N15" s="37">
        <v>0.23</v>
      </c>
    </row>
    <row r="16" ht="14.25" customHeight="1">
      <c r="I16" s="19" t="s">
        <v>68</v>
      </c>
      <c r="J16" s="100">
        <v>0.07531021317212853</v>
      </c>
      <c r="K16" s="100">
        <v>0.13852383320309725</v>
      </c>
      <c r="L16" s="100">
        <v>0.12905280591120455</v>
      </c>
      <c r="M16" s="100">
        <v>0.10940688417984079</v>
      </c>
      <c r="N16" s="100">
        <v>0.11266260582283709</v>
      </c>
    </row>
    <row r="17" ht="14.25" customHeight="1">
      <c r="I17" s="19" t="s">
        <v>69</v>
      </c>
      <c r="J17" s="84">
        <f>AVERAGE(J16:N16)</f>
        <v>0.1129912685</v>
      </c>
    </row>
    <row r="18" ht="14.25" customHeight="1">
      <c r="A18" s="89" t="s">
        <v>70</v>
      </c>
      <c r="B18" s="90" t="s">
        <v>71</v>
      </c>
      <c r="G18" s="90" t="s">
        <v>72</v>
      </c>
      <c r="I18" s="10" t="s">
        <v>73</v>
      </c>
      <c r="J18" s="84">
        <f>AVERAGE(J15:N15)</f>
        <v>0.234</v>
      </c>
    </row>
    <row r="19" ht="14.25" customHeight="1">
      <c r="B19" s="91">
        <v>44621.0</v>
      </c>
      <c r="C19" s="91">
        <v>44986.0</v>
      </c>
      <c r="D19" s="91">
        <v>45352.0</v>
      </c>
      <c r="E19" s="91">
        <v>45717.0</v>
      </c>
      <c r="F19" s="91">
        <v>46082.0</v>
      </c>
      <c r="G19" s="91">
        <v>46447.0</v>
      </c>
    </row>
    <row r="20" ht="14.25" customHeight="1">
      <c r="A20" s="54" t="s">
        <v>74</v>
      </c>
      <c r="B20" s="2">
        <f>B14</f>
        <v>13658.13</v>
      </c>
      <c r="C20" s="54">
        <f t="shared" ref="C20:F20" si="1">B20*(1+$B$6)</f>
        <v>14840.25907</v>
      </c>
      <c r="D20" s="54">
        <f t="shared" si="1"/>
        <v>16124.70295</v>
      </c>
      <c r="E20" s="54">
        <f t="shared" si="1"/>
        <v>17520.31714</v>
      </c>
      <c r="F20" s="54">
        <f t="shared" si="1"/>
        <v>19036.72357</v>
      </c>
      <c r="G20" s="54">
        <f>F20*(1+B8)</f>
        <v>19798.19252</v>
      </c>
    </row>
    <row r="21" ht="14.25" customHeight="1">
      <c r="A21" s="54" t="s">
        <v>75</v>
      </c>
      <c r="B21" s="54">
        <f t="shared" ref="B21:G21" si="2">B20*$B$10</f>
        <v>3196.00242</v>
      </c>
      <c r="C21" s="54">
        <f t="shared" si="2"/>
        <v>3472.620621</v>
      </c>
      <c r="D21" s="54">
        <f t="shared" si="2"/>
        <v>3773.180491</v>
      </c>
      <c r="E21" s="54">
        <f t="shared" si="2"/>
        <v>4099.754212</v>
      </c>
      <c r="F21" s="54">
        <f t="shared" si="2"/>
        <v>4454.593316</v>
      </c>
      <c r="G21" s="54">
        <f t="shared" si="2"/>
        <v>4632.777049</v>
      </c>
    </row>
    <row r="22" ht="14.25" customHeight="1">
      <c r="A22" s="54" t="s">
        <v>76</v>
      </c>
      <c r="B22" s="1">
        <f t="shared" ref="B22:E22" si="3">B21</f>
        <v>3196.00242</v>
      </c>
      <c r="C22" s="1">
        <f t="shared" si="3"/>
        <v>3472.620621</v>
      </c>
      <c r="D22" s="1">
        <f t="shared" si="3"/>
        <v>3773.180491</v>
      </c>
      <c r="E22" s="1">
        <f t="shared" si="3"/>
        <v>4099.754212</v>
      </c>
      <c r="F22" s="54">
        <f>G21/(B5-B8)+F21</f>
        <v>138741.8938</v>
      </c>
      <c r="G22" s="92"/>
    </row>
    <row r="23" ht="14.25" customHeight="1">
      <c r="A23" s="54" t="s">
        <v>77</v>
      </c>
      <c r="B23" s="93">
        <f t="array" ref="B23">B22+NPV(B5,C22:F22)</f>
        <v>117084.6152</v>
      </c>
    </row>
    <row r="24" ht="14.25" customHeight="1"/>
    <row r="25" ht="14.25" customHeight="1">
      <c r="A25" s="54" t="s">
        <v>78</v>
      </c>
      <c r="B25" s="54">
        <f>((B23/B15)*10^7)*J18</f>
        <v>138.0477041</v>
      </c>
    </row>
    <row r="26" ht="14.25" customHeight="1"/>
    <row r="27" ht="14.25" customHeight="1">
      <c r="A27" s="89" t="s">
        <v>79</v>
      </c>
      <c r="B27" s="90" t="s">
        <v>71</v>
      </c>
      <c r="G27" s="90" t="s">
        <v>72</v>
      </c>
      <c r="J27" s="90" t="s">
        <v>80</v>
      </c>
    </row>
    <row r="28" ht="14.25" customHeight="1">
      <c r="B28" s="91">
        <v>44621.0</v>
      </c>
      <c r="C28" s="91">
        <v>44986.0</v>
      </c>
      <c r="D28" s="91">
        <v>45352.0</v>
      </c>
      <c r="E28" s="91">
        <v>45717.0</v>
      </c>
      <c r="F28" s="91">
        <v>46082.0</v>
      </c>
      <c r="G28" s="91">
        <v>46447.0</v>
      </c>
      <c r="H28" s="91">
        <v>46813.0</v>
      </c>
      <c r="I28" s="91">
        <v>47178.0</v>
      </c>
      <c r="J28" s="91">
        <v>47543.0</v>
      </c>
    </row>
    <row r="29" ht="14.25" customHeight="1">
      <c r="A29" s="54" t="s">
        <v>74</v>
      </c>
      <c r="B29" s="2">
        <f>B14</f>
        <v>13658.13</v>
      </c>
      <c r="C29" s="54">
        <f t="shared" ref="C29:F29" si="4">B29*(1+$B$6)</f>
        <v>14840.25907</v>
      </c>
      <c r="D29" s="54">
        <f t="shared" si="4"/>
        <v>16124.70295</v>
      </c>
      <c r="E29" s="54">
        <f t="shared" si="4"/>
        <v>17520.31714</v>
      </c>
      <c r="F29" s="54">
        <f t="shared" si="4"/>
        <v>19036.72357</v>
      </c>
      <c r="G29" s="54">
        <f t="shared" ref="G29:I29" si="5">F29*(1+F6)</f>
        <v>20505.1567</v>
      </c>
      <c r="H29" s="54">
        <f t="shared" si="5"/>
        <v>21893.8154</v>
      </c>
      <c r="I29" s="54">
        <f t="shared" si="5"/>
        <v>23170.39919</v>
      </c>
      <c r="J29" s="54">
        <f>I29*(1+B8)</f>
        <v>24097.21516</v>
      </c>
    </row>
    <row r="30" ht="14.25" customHeight="1">
      <c r="A30" s="54" t="s">
        <v>75</v>
      </c>
      <c r="B30" s="54">
        <f t="shared" ref="B30:J30" si="6">B29*$B$10</f>
        <v>3196.00242</v>
      </c>
      <c r="C30" s="54">
        <f t="shared" si="6"/>
        <v>3472.620621</v>
      </c>
      <c r="D30" s="54">
        <f t="shared" si="6"/>
        <v>3773.180491</v>
      </c>
      <c r="E30" s="54">
        <f t="shared" si="6"/>
        <v>4099.754212</v>
      </c>
      <c r="F30" s="54">
        <f t="shared" si="6"/>
        <v>4454.593316</v>
      </c>
      <c r="G30" s="54">
        <f t="shared" si="6"/>
        <v>4798.206668</v>
      </c>
      <c r="H30" s="54">
        <f t="shared" si="6"/>
        <v>5123.152802</v>
      </c>
      <c r="I30" s="54">
        <f t="shared" si="6"/>
        <v>5421.873412</v>
      </c>
      <c r="J30" s="54">
        <f t="shared" si="6"/>
        <v>5638.748348</v>
      </c>
    </row>
    <row r="31" ht="14.25" customHeight="1">
      <c r="A31" s="54" t="s">
        <v>76</v>
      </c>
      <c r="B31" s="1">
        <f t="shared" ref="B31:H31" si="7">B30</f>
        <v>3196.00242</v>
      </c>
      <c r="C31" s="1">
        <f t="shared" si="7"/>
        <v>3472.620621</v>
      </c>
      <c r="D31" s="1">
        <f t="shared" si="7"/>
        <v>3773.180491</v>
      </c>
      <c r="E31" s="1">
        <f t="shared" si="7"/>
        <v>4099.754212</v>
      </c>
      <c r="F31" s="1">
        <f t="shared" si="7"/>
        <v>4454.593316</v>
      </c>
      <c r="G31" s="1">
        <f t="shared" si="7"/>
        <v>4798.206668</v>
      </c>
      <c r="H31" s="1">
        <f t="shared" si="7"/>
        <v>5123.152802</v>
      </c>
      <c r="I31" s="1">
        <f>I30+J30/(B5-B8)</f>
        <v>168868.6108</v>
      </c>
    </row>
    <row r="32" ht="14.25" customHeight="1">
      <c r="A32" s="54" t="s">
        <v>77</v>
      </c>
      <c r="B32" s="2">
        <f t="array" ref="B32">B31+NPV(B5,C31:I31)</f>
        <v>125140.5419</v>
      </c>
    </row>
    <row r="33" ht="14.25" customHeight="1"/>
    <row r="34" ht="14.25" customHeight="1">
      <c r="A34" s="54" t="s">
        <v>78</v>
      </c>
      <c r="B34" s="1">
        <f>((B32/B15)*10^7)*J18</f>
        <v>147.5459819</v>
      </c>
    </row>
    <row r="35" ht="14.25" customHeight="1"/>
    <row r="36" ht="14.25" customHeight="1"/>
    <row r="37" ht="14.25" customHeight="1"/>
    <row r="38" ht="14.25" customHeight="1"/>
    <row r="39" ht="14.25" customHeight="1">
      <c r="A39" s="54" t="s">
        <v>81</v>
      </c>
      <c r="B39" s="54" t="s">
        <v>88</v>
      </c>
      <c r="C39" s="94" t="s">
        <v>83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18:F18"/>
    <mergeCell ref="B27:F27"/>
    <mergeCell ref="G27:I27"/>
  </mergeCells>
  <conditionalFormatting sqref="B18:D18 B27:D27">
    <cfRule type="notContainsBlanks" dxfId="0" priority="1">
      <formula>LEN(TRIM(B18))&gt;0</formula>
    </cfRule>
  </conditionalFormatting>
  <hyperlinks>
    <hyperlink r:id="rId1" ref="C39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4.57"/>
    <col customWidth="1" min="3" max="3" width="15.71"/>
    <col customWidth="1" min="4" max="4" width="14.29"/>
    <col customWidth="1" min="5" max="5" width="9.29"/>
    <col customWidth="1" min="6" max="6" width="12.86"/>
    <col customWidth="1" min="7" max="7" width="12.29"/>
    <col customWidth="1" min="8" max="8" width="8.71"/>
    <col customWidth="1" min="9" max="9" width="14.14"/>
    <col customWidth="1" min="10" max="26" width="8.71"/>
  </cols>
  <sheetData>
    <row r="1" ht="14.25" customHeight="1">
      <c r="A1" s="74" t="s">
        <v>51</v>
      </c>
    </row>
    <row r="2" ht="14.25" customHeight="1">
      <c r="A2" s="75" t="s">
        <v>52</v>
      </c>
      <c r="B2" s="76">
        <v>0.013688954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80">
        <v>0.6819937744</v>
      </c>
      <c r="E4" s="10" t="s">
        <v>89</v>
      </c>
      <c r="F4" s="84">
        <f>B3+0.0067</f>
        <v>0.0754</v>
      </c>
    </row>
    <row r="5" ht="14.25" customHeight="1">
      <c r="A5" s="78" t="s">
        <v>56</v>
      </c>
      <c r="B5" s="76">
        <f>B3+B2*B4</f>
        <v>0.07803578141</v>
      </c>
    </row>
    <row r="6" ht="14.25" customHeight="1">
      <c r="A6" s="78" t="s">
        <v>90</v>
      </c>
      <c r="B6" s="79">
        <v>0.074</v>
      </c>
    </row>
    <row r="7" ht="14.25" customHeight="1">
      <c r="A7" s="54" t="s">
        <v>91</v>
      </c>
      <c r="B7" s="80">
        <v>0.2</v>
      </c>
      <c r="D7" s="101" t="s">
        <v>25</v>
      </c>
      <c r="E7" s="102">
        <v>0.23999625110458528</v>
      </c>
    </row>
    <row r="8" ht="14.25" customHeight="1">
      <c r="A8" s="54" t="s">
        <v>92</v>
      </c>
      <c r="B8" s="76">
        <f>B7/(1+B7)</f>
        <v>0.1666666667</v>
      </c>
    </row>
    <row r="9" ht="14.25" customHeight="1">
      <c r="A9" s="54" t="s">
        <v>93</v>
      </c>
      <c r="B9" s="79">
        <f>1-B8</f>
        <v>0.8333333333</v>
      </c>
    </row>
    <row r="10" ht="14.25" customHeight="1">
      <c r="A10" s="10" t="s">
        <v>94</v>
      </c>
      <c r="B10" s="103">
        <f>B5*B9+B6*(1-E7)*B8</f>
        <v>0.07440319741</v>
      </c>
    </row>
    <row r="11" ht="14.25" customHeight="1">
      <c r="A11" s="54" t="s">
        <v>95</v>
      </c>
      <c r="B11" s="76">
        <f>SUNPHARMA!B40</f>
        <v>0.03063242046</v>
      </c>
    </row>
    <row r="12" ht="14.25" customHeight="1">
      <c r="A12" s="54" t="s">
        <v>96</v>
      </c>
      <c r="B12" s="79">
        <v>0.058307963999999934</v>
      </c>
      <c r="C12" s="104" t="s">
        <v>57</v>
      </c>
      <c r="D12" s="83">
        <f>('SUN DIV'!B6-'SUN DIV'!B7)/3</f>
        <v>0.02728747871</v>
      </c>
    </row>
    <row r="13" ht="14.25" customHeight="1">
      <c r="A13" s="54" t="s">
        <v>60</v>
      </c>
      <c r="B13" s="79">
        <v>0.04</v>
      </c>
      <c r="D13" s="84">
        <f>'SUN DIV'!$B$6-$D$12</f>
        <v>0.1128829214</v>
      </c>
      <c r="E13" s="84">
        <f>'SUN DIV'!$B$6-(2*$D$12)</f>
        <v>0.08559544271</v>
      </c>
      <c r="F13" s="84">
        <f>'SUN DIV'!$B$6-(3*$D$12)</f>
        <v>0.058307964</v>
      </c>
    </row>
    <row r="14" ht="14.25" customHeight="1">
      <c r="I14" s="86" t="s">
        <v>3</v>
      </c>
      <c r="J14" s="86">
        <v>2018.0</v>
      </c>
      <c r="K14" s="86">
        <v>2019.0</v>
      </c>
      <c r="L14" s="86">
        <v>2020.0</v>
      </c>
      <c r="M14" s="86">
        <v>2021.0</v>
      </c>
      <c r="N14" s="86">
        <v>2022.0</v>
      </c>
    </row>
    <row r="15" ht="14.25" customHeight="1">
      <c r="A15" s="54" t="s">
        <v>61</v>
      </c>
      <c r="B15" s="85">
        <f>AVERAGE(J15:N15)</f>
        <v>0.198</v>
      </c>
      <c r="I15" s="1" t="s">
        <v>67</v>
      </c>
      <c r="J15" s="37">
        <v>0.14</v>
      </c>
      <c r="K15" s="37">
        <v>0.12</v>
      </c>
      <c r="L15" s="37">
        <v>0.23</v>
      </c>
      <c r="M15" s="37">
        <v>0.25</v>
      </c>
      <c r="N15" s="37">
        <v>0.25</v>
      </c>
    </row>
    <row r="16" ht="14.25" customHeight="1">
      <c r="A16" s="54" t="s">
        <v>62</v>
      </c>
      <c r="B16" s="85">
        <f>1-B15</f>
        <v>0.802</v>
      </c>
      <c r="I16" s="3" t="s">
        <v>68</v>
      </c>
      <c r="J16" s="87">
        <v>0.1990069</v>
      </c>
      <c r="K16" s="87">
        <v>0.1695805</v>
      </c>
      <c r="L16" s="87">
        <v>0.1773908</v>
      </c>
      <c r="M16" s="87">
        <v>0.1378248</v>
      </c>
      <c r="N16" s="87">
        <v>0.1900773</v>
      </c>
    </row>
    <row r="17" ht="14.25" customHeight="1">
      <c r="A17" s="54" t="s">
        <v>9</v>
      </c>
      <c r="B17" s="85">
        <f>AVERAGE(J16:N16)</f>
        <v>0.17477606</v>
      </c>
      <c r="I17" s="19" t="s">
        <v>69</v>
      </c>
      <c r="J17" s="88">
        <f>AVERAGE(J16:S16)</f>
        <v>0.17477606</v>
      </c>
    </row>
    <row r="18" ht="14.25" customHeight="1">
      <c r="A18" s="39"/>
      <c r="I18" s="10" t="s">
        <v>73</v>
      </c>
      <c r="J18" s="84">
        <f>AVERAGE(J15:N15)</f>
        <v>0.198</v>
      </c>
    </row>
    <row r="19" ht="14.25" customHeight="1">
      <c r="A19" s="54" t="s">
        <v>97</v>
      </c>
      <c r="B19" s="49">
        <f>(SUNPHARMA!K29*1)</f>
        <v>36.35223972</v>
      </c>
    </row>
    <row r="20" ht="14.25" customHeight="1">
      <c r="A20" s="54" t="s">
        <v>66</v>
      </c>
      <c r="B20" s="54">
        <v>5.545540976E9</v>
      </c>
    </row>
    <row r="21" ht="14.25" customHeight="1"/>
    <row r="22" ht="14.25" customHeight="1"/>
    <row r="23" ht="14.25" customHeight="1">
      <c r="A23" s="89" t="s">
        <v>98</v>
      </c>
      <c r="B23" s="90" t="s">
        <v>71</v>
      </c>
      <c r="G23" s="90" t="s">
        <v>72</v>
      </c>
    </row>
    <row r="24" ht="14.25" customHeight="1">
      <c r="B24" s="91">
        <v>44621.0</v>
      </c>
      <c r="C24" s="91">
        <v>44986.0</v>
      </c>
      <c r="D24" s="91">
        <v>45352.0</v>
      </c>
      <c r="E24" s="91">
        <v>45717.0</v>
      </c>
      <c r="F24" s="91">
        <v>46082.0</v>
      </c>
      <c r="G24" s="91">
        <v>46447.0</v>
      </c>
    </row>
    <row r="25" ht="14.25" customHeight="1">
      <c r="A25" s="54" t="s">
        <v>99</v>
      </c>
      <c r="B25" s="50">
        <f>B19</f>
        <v>36.35223972</v>
      </c>
      <c r="C25" s="50">
        <f t="shared" ref="C25:F25" si="1">B25*(1+$B$11)</f>
        <v>37.46579681</v>
      </c>
      <c r="D25" s="50">
        <f t="shared" si="1"/>
        <v>38.61346485</v>
      </c>
      <c r="E25" s="50">
        <f t="shared" si="1"/>
        <v>39.79628874</v>
      </c>
      <c r="F25" s="50">
        <f t="shared" si="1"/>
        <v>41.01534539</v>
      </c>
      <c r="G25" s="1">
        <f>F25*(1+B13)</f>
        <v>42.65595921</v>
      </c>
    </row>
    <row r="26" ht="14.25" customHeight="1">
      <c r="A26" s="54" t="s">
        <v>100</v>
      </c>
      <c r="B26" s="50">
        <f t="shared" ref="B26:E26" si="2">B25</f>
        <v>36.35223972</v>
      </c>
      <c r="C26" s="50">
        <f t="shared" si="2"/>
        <v>37.46579681</v>
      </c>
      <c r="D26" s="50">
        <f t="shared" si="2"/>
        <v>38.61346485</v>
      </c>
      <c r="E26" s="50">
        <f t="shared" si="2"/>
        <v>39.79628874</v>
      </c>
      <c r="F26" s="50">
        <f>F25+G25/(B10-B13)</f>
        <v>1280.898915</v>
      </c>
      <c r="G26" s="92"/>
    </row>
    <row r="27" ht="14.25" customHeight="1">
      <c r="A27" s="54" t="s">
        <v>101</v>
      </c>
      <c r="B27" s="105">
        <f t="array" ref="B27">B26+NPV(B10,C26:F26)</f>
        <v>1098.032645</v>
      </c>
    </row>
    <row r="28" ht="14.25" customHeight="1"/>
    <row r="29" ht="14.25" customHeight="1"/>
    <row r="30" ht="14.25" customHeight="1">
      <c r="A30" s="89" t="s">
        <v>102</v>
      </c>
      <c r="B30" s="90" t="s">
        <v>71</v>
      </c>
      <c r="G30" s="90" t="s">
        <v>72</v>
      </c>
      <c r="J30" s="90" t="s">
        <v>80</v>
      </c>
    </row>
    <row r="31" ht="14.25" customHeight="1">
      <c r="B31" s="91">
        <v>44621.0</v>
      </c>
      <c r="C31" s="91">
        <v>44986.0</v>
      </c>
      <c r="D31" s="91">
        <v>45352.0</v>
      </c>
      <c r="E31" s="91">
        <v>45717.0</v>
      </c>
      <c r="F31" s="91">
        <v>46082.0</v>
      </c>
      <c r="G31" s="91">
        <v>46447.0</v>
      </c>
      <c r="H31" s="91">
        <v>46813.0</v>
      </c>
      <c r="I31" s="91">
        <v>47178.0</v>
      </c>
      <c r="J31" s="91">
        <v>47543.0</v>
      </c>
    </row>
    <row r="32" ht="14.25" customHeight="1">
      <c r="A32" s="54" t="s">
        <v>99</v>
      </c>
      <c r="B32" s="2">
        <f>B19</f>
        <v>36.35223972</v>
      </c>
      <c r="C32" s="54">
        <f t="shared" ref="C32:F32" si="3">B32*(1+$B$11)</f>
        <v>37.46579681</v>
      </c>
      <c r="D32" s="54">
        <f t="shared" si="3"/>
        <v>38.61346485</v>
      </c>
      <c r="E32" s="54">
        <f t="shared" si="3"/>
        <v>39.79628874</v>
      </c>
      <c r="F32" s="54">
        <f t="shared" si="3"/>
        <v>41.01534539</v>
      </c>
      <c r="G32" s="54">
        <f t="shared" ref="G32:I32" si="4">F32*(1+D13)</f>
        <v>45.64527741</v>
      </c>
      <c r="H32" s="54">
        <f t="shared" si="4"/>
        <v>49.55230513</v>
      </c>
      <c r="I32" s="54">
        <f t="shared" si="4"/>
        <v>52.44159916</v>
      </c>
      <c r="J32" s="54">
        <f>I32*(1+B13)</f>
        <v>54.53926312</v>
      </c>
    </row>
    <row r="33" ht="14.25" customHeight="1">
      <c r="A33" s="54" t="s">
        <v>100</v>
      </c>
      <c r="B33" s="2">
        <f t="shared" ref="B33:H33" si="5">B32</f>
        <v>36.35223972</v>
      </c>
      <c r="C33" s="2">
        <f t="shared" si="5"/>
        <v>37.46579681</v>
      </c>
      <c r="D33" s="2">
        <f t="shared" si="5"/>
        <v>38.61346485</v>
      </c>
      <c r="E33" s="2">
        <f t="shared" si="5"/>
        <v>39.79628874</v>
      </c>
      <c r="F33" s="2">
        <f t="shared" si="5"/>
        <v>41.01534539</v>
      </c>
      <c r="G33" s="2">
        <f t="shared" si="5"/>
        <v>45.64527741</v>
      </c>
      <c r="H33" s="2">
        <f t="shared" si="5"/>
        <v>49.55230513</v>
      </c>
      <c r="I33" s="2">
        <f>I32+J32/(B10-B13)</f>
        <v>1637.737945</v>
      </c>
    </row>
    <row r="34" ht="14.25" customHeight="1">
      <c r="A34" s="54" t="s">
        <v>101</v>
      </c>
      <c r="B34" s="2">
        <f t="array" ref="B34">B33+NPV(B10,C33:I33)</f>
        <v>1222.640094</v>
      </c>
    </row>
    <row r="35" ht="14.25" customHeight="1"/>
    <row r="36" ht="14.25" customHeight="1">
      <c r="B36" s="1"/>
    </row>
    <row r="37" ht="14.25" customHeight="1"/>
    <row r="38" ht="14.25" customHeight="1"/>
    <row r="39" ht="14.25" customHeight="1"/>
    <row r="40" ht="14.25" customHeight="1"/>
    <row r="41" ht="14.25" customHeight="1">
      <c r="A41" s="54" t="s">
        <v>81</v>
      </c>
      <c r="B41" s="54" t="s">
        <v>82</v>
      </c>
      <c r="C41" s="94" t="s">
        <v>83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3:F23"/>
    <mergeCell ref="B30:F30"/>
    <mergeCell ref="G30:I30"/>
  </mergeCells>
  <conditionalFormatting sqref="B23:D23 B30:D30">
    <cfRule type="notContainsBlanks" dxfId="0" priority="1">
      <formula>LEN(TRIM(B23))&gt;0</formula>
    </cfRule>
  </conditionalFormatting>
  <hyperlinks>
    <hyperlink r:id="rId1" ref="C4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3.57"/>
    <col customWidth="1" min="3" max="3" width="14.71"/>
    <col customWidth="1" min="4" max="4" width="15.71"/>
    <col customWidth="1" min="5" max="5" width="11.43"/>
    <col customWidth="1" min="6" max="6" width="11.86"/>
    <col customWidth="1" min="7" max="7" width="11.14"/>
    <col customWidth="1" min="8" max="8" width="8.71"/>
    <col customWidth="1" min="9" max="9" width="13.0"/>
    <col customWidth="1" min="10" max="26" width="8.71"/>
  </cols>
  <sheetData>
    <row r="1" ht="14.25" customHeight="1">
      <c r="A1" s="74" t="s">
        <v>84</v>
      </c>
    </row>
    <row r="2" ht="14.25" customHeight="1">
      <c r="A2" s="75" t="s">
        <v>52</v>
      </c>
      <c r="B2" s="76">
        <v>0.013688954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95">
        <v>0.4212852195</v>
      </c>
      <c r="E4" s="10" t="s">
        <v>89</v>
      </c>
      <c r="F4" s="84">
        <f>B3+0.0067</f>
        <v>0.0754</v>
      </c>
    </row>
    <row r="5" ht="14.25" customHeight="1">
      <c r="A5" s="78" t="s">
        <v>56</v>
      </c>
      <c r="B5" s="76">
        <f>B3+B2*B4</f>
        <v>0.07446695399</v>
      </c>
    </row>
    <row r="6" ht="14.25" customHeight="1">
      <c r="A6" s="78" t="s">
        <v>90</v>
      </c>
      <c r="B6" s="79">
        <v>0.074</v>
      </c>
    </row>
    <row r="7" ht="14.25" customHeight="1">
      <c r="A7" s="54" t="s">
        <v>91</v>
      </c>
      <c r="B7" s="80">
        <v>0.0</v>
      </c>
      <c r="D7" s="101" t="s">
        <v>25</v>
      </c>
      <c r="E7" s="102">
        <v>0.20744219746665116</v>
      </c>
    </row>
    <row r="8" ht="14.25" customHeight="1">
      <c r="A8" s="54" t="s">
        <v>92</v>
      </c>
      <c r="B8" s="76">
        <f>B7/(1+B7)</f>
        <v>0</v>
      </c>
    </row>
    <row r="9" ht="14.25" customHeight="1">
      <c r="A9" s="54" t="s">
        <v>93</v>
      </c>
      <c r="B9" s="79">
        <f>1-B8</f>
        <v>1</v>
      </c>
    </row>
    <row r="10" ht="14.25" customHeight="1">
      <c r="A10" s="10" t="s">
        <v>94</v>
      </c>
      <c r="B10" s="80">
        <f>B5*B9+B6*(1-E7)*B8</f>
        <v>0.07446695399</v>
      </c>
    </row>
    <row r="11" ht="14.25" customHeight="1">
      <c r="A11" s="54" t="s">
        <v>95</v>
      </c>
      <c r="B11" s="81">
        <f>PFIZER!B42</f>
        <v>0.1559732635</v>
      </c>
    </row>
    <row r="12" ht="14.25" customHeight="1">
      <c r="A12" s="54" t="s">
        <v>96</v>
      </c>
      <c r="B12" s="79">
        <v>0.058307963999999934</v>
      </c>
      <c r="C12" s="104" t="s">
        <v>57</v>
      </c>
      <c r="D12" s="83">
        <f>('PFIZER DIV'!B6-'PFIZER DIV'!B7)/3</f>
        <v>0.0216568098</v>
      </c>
    </row>
    <row r="13" ht="14.25" customHeight="1">
      <c r="A13" s="54" t="s">
        <v>60</v>
      </c>
      <c r="B13" s="106">
        <v>0.04</v>
      </c>
      <c r="D13" s="84">
        <f>'PFIZER DIV'!$B$6-$D$12</f>
        <v>0.1016215836</v>
      </c>
      <c r="E13" s="84">
        <f>'PFIZER DIV'!$B$6-(2*$D$12)</f>
        <v>0.0799647738</v>
      </c>
      <c r="F13" s="84">
        <f>'PFIZER DIV'!$B$6-(3*$D$12)</f>
        <v>0.058307964</v>
      </c>
    </row>
    <row r="14" ht="14.25" customHeight="1">
      <c r="I14" s="86" t="s">
        <v>3</v>
      </c>
      <c r="J14" s="86">
        <v>2018.0</v>
      </c>
      <c r="K14" s="86">
        <v>2019.0</v>
      </c>
      <c r="L14" s="86">
        <v>2020.0</v>
      </c>
      <c r="M14" s="86">
        <v>2021.0</v>
      </c>
      <c r="N14" s="86">
        <v>2022.0</v>
      </c>
    </row>
    <row r="15" ht="14.25" customHeight="1">
      <c r="A15" s="54" t="s">
        <v>61</v>
      </c>
      <c r="B15" s="85">
        <f>AVERAGE(J15:N15)</f>
        <v>0.2734</v>
      </c>
      <c r="I15" s="22" t="s">
        <v>86</v>
      </c>
      <c r="J15" s="21">
        <v>0.25</v>
      </c>
      <c r="K15" s="21">
        <v>0.24</v>
      </c>
      <c r="L15" s="27">
        <v>0.297</v>
      </c>
      <c r="M15" s="21">
        <v>0.32</v>
      </c>
      <c r="N15" s="21">
        <v>0.26</v>
      </c>
    </row>
    <row r="16" ht="14.25" customHeight="1">
      <c r="A16" s="54" t="s">
        <v>62</v>
      </c>
      <c r="B16" s="85">
        <f>1-B15</f>
        <v>0.7266</v>
      </c>
      <c r="I16" s="19" t="s">
        <v>68</v>
      </c>
      <c r="J16" s="97">
        <v>0.13420424897502795</v>
      </c>
      <c r="K16" s="97">
        <v>0.1424468791500664</v>
      </c>
      <c r="L16" s="97">
        <v>0.14992049469964663</v>
      </c>
      <c r="M16" s="97">
        <v>0.207944003343084</v>
      </c>
      <c r="N16" s="97">
        <v>0.21380802792321116</v>
      </c>
      <c r="O16" s="97"/>
      <c r="P16" s="97"/>
      <c r="Q16" s="97"/>
      <c r="R16" s="97"/>
      <c r="S16" s="97"/>
    </row>
    <row r="17" ht="14.25" customHeight="1">
      <c r="A17" s="54" t="s">
        <v>9</v>
      </c>
      <c r="B17" s="85">
        <f>AVERAGE(J16:N16)</f>
        <v>0.1696647308</v>
      </c>
      <c r="I17" s="19" t="s">
        <v>69</v>
      </c>
      <c r="J17" s="96">
        <f>AVERAGE(J16:N16)</f>
        <v>0.1696647308</v>
      </c>
    </row>
    <row r="18" ht="14.25" customHeight="1">
      <c r="A18" s="39"/>
      <c r="I18" s="10" t="s">
        <v>73</v>
      </c>
      <c r="J18" s="84">
        <f>AVERAGE(J15:N15)</f>
        <v>0.2734</v>
      </c>
    </row>
    <row r="19" ht="14.25" customHeight="1">
      <c r="A19" s="54" t="s">
        <v>97</v>
      </c>
      <c r="B19" s="49">
        <f>(PFIZER!K29*1)</f>
        <v>7.812395493</v>
      </c>
    </row>
    <row r="20" ht="14.25" customHeight="1">
      <c r="A20" s="54" t="s">
        <v>66</v>
      </c>
      <c r="B20" s="54">
        <v>3.069747836E9</v>
      </c>
    </row>
    <row r="21" ht="14.25" customHeight="1"/>
    <row r="22" ht="14.25" customHeight="1"/>
    <row r="23" ht="14.25" customHeight="1">
      <c r="A23" s="89" t="s">
        <v>98</v>
      </c>
      <c r="B23" s="90" t="s">
        <v>71</v>
      </c>
      <c r="G23" s="90" t="s">
        <v>72</v>
      </c>
    </row>
    <row r="24" ht="14.25" customHeight="1">
      <c r="B24" s="91">
        <v>44621.0</v>
      </c>
      <c r="C24" s="91">
        <v>44986.0</v>
      </c>
      <c r="D24" s="91">
        <v>45352.0</v>
      </c>
      <c r="E24" s="91">
        <v>45717.0</v>
      </c>
      <c r="F24" s="91">
        <v>46082.0</v>
      </c>
      <c r="G24" s="91">
        <v>46447.0</v>
      </c>
    </row>
    <row r="25" ht="14.25" customHeight="1">
      <c r="A25" s="54" t="s">
        <v>99</v>
      </c>
      <c r="B25" s="50">
        <f>B19</f>
        <v>7.812395493</v>
      </c>
      <c r="C25" s="50">
        <f t="shared" ref="C25:F25" si="1">B25*(1+$B$11)</f>
        <v>9.030920313</v>
      </c>
      <c r="D25" s="50">
        <f t="shared" si="1"/>
        <v>10.43950243</v>
      </c>
      <c r="E25" s="50">
        <f t="shared" si="1"/>
        <v>12.06778569</v>
      </c>
      <c r="F25" s="50">
        <f t="shared" si="1"/>
        <v>13.95003761</v>
      </c>
      <c r="G25" s="1">
        <f>F25*(1+B13)</f>
        <v>14.50803911</v>
      </c>
    </row>
    <row r="26" ht="14.25" customHeight="1">
      <c r="A26" s="54" t="s">
        <v>100</v>
      </c>
      <c r="B26" s="50">
        <f t="shared" ref="B26:E26" si="2">B25</f>
        <v>7.812395493</v>
      </c>
      <c r="C26" s="50">
        <f t="shared" si="2"/>
        <v>9.030920313</v>
      </c>
      <c r="D26" s="50">
        <f t="shared" si="2"/>
        <v>10.43950243</v>
      </c>
      <c r="E26" s="50">
        <f t="shared" si="2"/>
        <v>12.06778569</v>
      </c>
      <c r="F26" s="50">
        <f>F25+G25/(B10-B13)</f>
        <v>434.8760967</v>
      </c>
      <c r="G26" s="92"/>
    </row>
    <row r="27" ht="14.25" customHeight="1">
      <c r="A27" s="54" t="s">
        <v>101</v>
      </c>
      <c r="B27" s="105">
        <f t="array" ref="B27">B26+NPV(B10,C26:F26)</f>
        <v>361.2707102</v>
      </c>
    </row>
    <row r="28" ht="14.25" customHeight="1"/>
    <row r="29" ht="14.25" customHeight="1"/>
    <row r="30" ht="14.25" customHeight="1">
      <c r="A30" s="89" t="s">
        <v>102</v>
      </c>
      <c r="B30" s="90" t="s">
        <v>71</v>
      </c>
      <c r="G30" s="90" t="s">
        <v>72</v>
      </c>
      <c r="J30" s="90" t="s">
        <v>80</v>
      </c>
    </row>
    <row r="31" ht="14.25" customHeight="1">
      <c r="B31" s="91">
        <v>44621.0</v>
      </c>
      <c r="C31" s="91">
        <v>44986.0</v>
      </c>
      <c r="D31" s="91">
        <v>45352.0</v>
      </c>
      <c r="E31" s="91">
        <v>45717.0</v>
      </c>
      <c r="F31" s="91">
        <v>46082.0</v>
      </c>
      <c r="G31" s="91">
        <v>46447.0</v>
      </c>
      <c r="H31" s="91">
        <v>46813.0</v>
      </c>
      <c r="I31" s="91">
        <v>47178.0</v>
      </c>
      <c r="J31" s="91">
        <v>47543.0</v>
      </c>
    </row>
    <row r="32" ht="14.25" customHeight="1">
      <c r="A32" s="54" t="s">
        <v>99</v>
      </c>
      <c r="B32" s="2">
        <f>B19</f>
        <v>7.812395493</v>
      </c>
      <c r="C32" s="54">
        <f t="shared" ref="C32:F32" si="3">B32*(1+$B$11)</f>
        <v>9.030920313</v>
      </c>
      <c r="D32" s="54">
        <f t="shared" si="3"/>
        <v>10.43950243</v>
      </c>
      <c r="E32" s="54">
        <f t="shared" si="3"/>
        <v>12.06778569</v>
      </c>
      <c r="F32" s="54">
        <f t="shared" si="3"/>
        <v>13.95003761</v>
      </c>
      <c r="G32" s="54">
        <f t="shared" ref="G32:I32" si="4">F32*(1+D13)</f>
        <v>15.36766252</v>
      </c>
      <c r="H32" s="54">
        <f t="shared" si="4"/>
        <v>16.59653418</v>
      </c>
      <c r="I32" s="54">
        <f t="shared" si="4"/>
        <v>17.56424429</v>
      </c>
      <c r="J32" s="54">
        <f>I32*(1+B13)</f>
        <v>18.26681407</v>
      </c>
    </row>
    <row r="33" ht="14.25" customHeight="1">
      <c r="A33" s="54" t="s">
        <v>100</v>
      </c>
      <c r="B33" s="2">
        <f t="shared" ref="B33:H33" si="5">B32</f>
        <v>7.812395493</v>
      </c>
      <c r="C33" s="2">
        <f t="shared" si="5"/>
        <v>9.030920313</v>
      </c>
      <c r="D33" s="2">
        <f t="shared" si="5"/>
        <v>10.43950243</v>
      </c>
      <c r="E33" s="2">
        <f t="shared" si="5"/>
        <v>12.06778569</v>
      </c>
      <c r="F33" s="2">
        <f t="shared" si="5"/>
        <v>13.95003761</v>
      </c>
      <c r="G33" s="2">
        <f t="shared" si="5"/>
        <v>15.36766252</v>
      </c>
      <c r="H33" s="2">
        <f t="shared" si="5"/>
        <v>16.59653418</v>
      </c>
      <c r="I33" s="2">
        <f>I32+J32/(B10-B13)</f>
        <v>547.5447604</v>
      </c>
    </row>
    <row r="34" ht="14.25" customHeight="1">
      <c r="A34" s="54" t="s">
        <v>101</v>
      </c>
      <c r="B34" s="107">
        <f t="array" ref="B34">B33+NPV(B10,C33:I33)</f>
        <v>398.1552601</v>
      </c>
    </row>
    <row r="35" ht="14.25" customHeight="1"/>
    <row r="36" ht="14.25" customHeight="1">
      <c r="B36" s="1"/>
      <c r="C36" s="1"/>
      <c r="D36" s="1"/>
      <c r="E36" s="1"/>
      <c r="F36" s="1"/>
      <c r="G36" s="1"/>
      <c r="H36" s="1"/>
      <c r="I36" s="1"/>
    </row>
    <row r="37" ht="14.25" customHeight="1">
      <c r="B37" s="85"/>
    </row>
    <row r="38" ht="14.25" customHeight="1"/>
    <row r="39" ht="14.25" customHeight="1">
      <c r="B39" s="1"/>
    </row>
    <row r="40" ht="14.25" customHeight="1"/>
    <row r="41" ht="14.25" customHeight="1"/>
    <row r="42" ht="14.25" customHeight="1"/>
    <row r="43" ht="14.25" customHeight="1"/>
    <row r="44" ht="14.25" customHeight="1">
      <c r="A44" s="54" t="s">
        <v>81</v>
      </c>
      <c r="B44" s="54" t="s">
        <v>82</v>
      </c>
      <c r="C44" s="94" t="s">
        <v>83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3:F23"/>
    <mergeCell ref="B30:F30"/>
    <mergeCell ref="G30:I30"/>
  </mergeCells>
  <conditionalFormatting sqref="B23:D23 B30:D30">
    <cfRule type="notContainsBlanks" dxfId="0" priority="1">
      <formula>LEN(TRIM(B23))&gt;0</formula>
    </cfRule>
  </conditionalFormatting>
  <hyperlinks>
    <hyperlink r:id="rId1" ref="C44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13.57"/>
    <col customWidth="1" min="3" max="3" width="15.29"/>
    <col customWidth="1" min="4" max="4" width="15.71"/>
    <col customWidth="1" min="5" max="5" width="12.86"/>
    <col customWidth="1" min="6" max="6" width="11.86"/>
    <col customWidth="1" min="7" max="7" width="10.29"/>
    <col customWidth="1" min="8" max="8" width="8.71"/>
    <col customWidth="1" min="9" max="10" width="13.86"/>
    <col customWidth="1" min="11" max="26" width="8.71"/>
  </cols>
  <sheetData>
    <row r="1" ht="14.25" customHeight="1">
      <c r="A1" s="74" t="s">
        <v>87</v>
      </c>
    </row>
    <row r="2" ht="14.25" customHeight="1">
      <c r="A2" s="75" t="s">
        <v>52</v>
      </c>
      <c r="B2" s="76">
        <v>0.013688954</v>
      </c>
      <c r="E2" s="108"/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95">
        <v>0.4236259429</v>
      </c>
      <c r="E4" s="10" t="s">
        <v>89</v>
      </c>
      <c r="F4" s="84">
        <f>B3+0.0067</f>
        <v>0.0754</v>
      </c>
    </row>
    <row r="5" ht="14.25" customHeight="1">
      <c r="A5" s="78" t="s">
        <v>56</v>
      </c>
      <c r="B5" s="76">
        <f>B3+(B2)*B4</f>
        <v>0.07449899605</v>
      </c>
    </row>
    <row r="6" ht="14.25" customHeight="1">
      <c r="A6" s="78" t="s">
        <v>90</v>
      </c>
      <c r="B6" s="79">
        <v>0.074</v>
      </c>
    </row>
    <row r="7" ht="14.25" customHeight="1">
      <c r="A7" s="54" t="s">
        <v>91</v>
      </c>
      <c r="B7" s="80">
        <v>0.12</v>
      </c>
      <c r="D7" s="101" t="s">
        <v>25</v>
      </c>
      <c r="E7" s="102">
        <v>0.28709087345658846</v>
      </c>
    </row>
    <row r="8" ht="14.25" customHeight="1">
      <c r="A8" s="54" t="s">
        <v>92</v>
      </c>
      <c r="B8" s="76">
        <f>B7/(1+B7)</f>
        <v>0.1071428571</v>
      </c>
    </row>
    <row r="9" ht="14.25" customHeight="1">
      <c r="A9" s="54" t="s">
        <v>93</v>
      </c>
      <c r="B9" s="79">
        <f>1-B8</f>
        <v>0.8928571429</v>
      </c>
    </row>
    <row r="10" ht="14.25" customHeight="1">
      <c r="A10" s="10" t="s">
        <v>103</v>
      </c>
      <c r="B10" s="109">
        <f>B5*B9+B6*(1-E7)*B8</f>
        <v>0.07216931169</v>
      </c>
    </row>
    <row r="11" ht="14.25" customHeight="1">
      <c r="A11" s="54" t="s">
        <v>95</v>
      </c>
      <c r="B11" s="81">
        <f>'DR REDDY'!B40</f>
        <v>0.241813602</v>
      </c>
    </row>
    <row r="12" ht="14.25" customHeight="1">
      <c r="A12" s="54" t="s">
        <v>96</v>
      </c>
      <c r="B12" s="79">
        <v>0.058307963999999934</v>
      </c>
      <c r="C12" s="104" t="s">
        <v>57</v>
      </c>
      <c r="D12" s="83">
        <f>('DR REDDY DIV'!B6-'DR REDDY DIV'!B7)/3</f>
        <v>0.009414449213</v>
      </c>
    </row>
    <row r="13" ht="14.25" customHeight="1">
      <c r="A13" s="54" t="s">
        <v>60</v>
      </c>
      <c r="B13" s="106">
        <v>0.04</v>
      </c>
      <c r="D13" s="84">
        <f>'DR REDDY DIV'!$B$6-$D$12</f>
        <v>0.07713686243</v>
      </c>
      <c r="E13" s="84">
        <f>'DR REDDY DIV'!$B$6-(2*$D$12)</f>
        <v>0.06772241321</v>
      </c>
      <c r="F13" s="84">
        <f>'DR REDDY DIV'!$B$6-(3*$D$12)</f>
        <v>0.058307964</v>
      </c>
    </row>
    <row r="14" ht="14.25" customHeight="1">
      <c r="I14" s="86" t="s">
        <v>3</v>
      </c>
      <c r="J14" s="86">
        <v>2018.0</v>
      </c>
      <c r="K14" s="86">
        <v>2019.0</v>
      </c>
      <c r="L14" s="86">
        <v>2020.0</v>
      </c>
      <c r="M14" s="86">
        <v>2021.0</v>
      </c>
      <c r="N14" s="86">
        <v>2022.0</v>
      </c>
    </row>
    <row r="15" ht="14.25" customHeight="1">
      <c r="A15" s="54" t="s">
        <v>61</v>
      </c>
      <c r="B15" s="85">
        <f>AVERAGE(J15:N15)</f>
        <v>0.234</v>
      </c>
      <c r="I15" s="1" t="s">
        <v>67</v>
      </c>
      <c r="J15" s="37">
        <v>0.35</v>
      </c>
      <c r="K15" s="37">
        <v>0.17</v>
      </c>
      <c r="L15" s="37">
        <v>0.21</v>
      </c>
      <c r="M15" s="37">
        <v>0.21</v>
      </c>
      <c r="N15" s="37">
        <v>0.23</v>
      </c>
      <c r="O15" s="1"/>
    </row>
    <row r="16" ht="14.25" customHeight="1">
      <c r="A16" s="54" t="s">
        <v>62</v>
      </c>
      <c r="B16" s="85">
        <f>1-B15</f>
        <v>0.766</v>
      </c>
      <c r="I16" s="19" t="s">
        <v>68</v>
      </c>
      <c r="J16" s="100">
        <v>0.07531021317212853</v>
      </c>
      <c r="K16" s="100">
        <v>0.13852383320309725</v>
      </c>
      <c r="L16" s="100">
        <v>0.12905280591120455</v>
      </c>
      <c r="M16" s="100">
        <v>0.10940688417984079</v>
      </c>
      <c r="N16" s="100">
        <v>0.11266260582283709</v>
      </c>
      <c r="O16" s="87"/>
      <c r="P16" s="87"/>
      <c r="Q16" s="87"/>
      <c r="R16" s="87"/>
      <c r="S16" s="99"/>
    </row>
    <row r="17" ht="14.25" customHeight="1">
      <c r="A17" s="54" t="s">
        <v>9</v>
      </c>
      <c r="B17" s="85">
        <f>AVERAGE(J16:N16)</f>
        <v>0.1129912685</v>
      </c>
      <c r="I17" s="19" t="s">
        <v>69</v>
      </c>
      <c r="J17" s="84">
        <f>AVERAGE(J16:N16)</f>
        <v>0.1129912685</v>
      </c>
    </row>
    <row r="18" ht="14.25" customHeight="1">
      <c r="A18" s="39"/>
      <c r="I18" s="10" t="s">
        <v>73</v>
      </c>
      <c r="J18" s="84">
        <f>AVERAGE(J15:N15)</f>
        <v>0.234</v>
      </c>
    </row>
    <row r="19" ht="14.25" customHeight="1">
      <c r="A19" s="54" t="s">
        <v>97</v>
      </c>
      <c r="B19" s="110">
        <f>('DR REDDY'!K29)</f>
        <v>75.27676785</v>
      </c>
    </row>
    <row r="20" ht="14.25" customHeight="1">
      <c r="A20" s="54" t="s">
        <v>66</v>
      </c>
      <c r="B20" s="54">
        <v>1.98466176E9</v>
      </c>
    </row>
    <row r="21" ht="14.25" customHeight="1"/>
    <row r="22" ht="14.25" customHeight="1"/>
    <row r="23" ht="14.25" customHeight="1">
      <c r="A23" s="89" t="s">
        <v>98</v>
      </c>
      <c r="B23" s="90" t="s">
        <v>71</v>
      </c>
      <c r="G23" s="90" t="s">
        <v>72</v>
      </c>
    </row>
    <row r="24" ht="14.25" customHeight="1">
      <c r="B24" s="91">
        <v>44621.0</v>
      </c>
      <c r="C24" s="91">
        <v>44986.0</v>
      </c>
      <c r="D24" s="91">
        <v>45352.0</v>
      </c>
      <c r="E24" s="91">
        <v>45717.0</v>
      </c>
      <c r="F24" s="91">
        <v>46082.0</v>
      </c>
      <c r="G24" s="91">
        <v>46447.0</v>
      </c>
    </row>
    <row r="25" ht="14.25" customHeight="1">
      <c r="A25" s="54" t="s">
        <v>99</v>
      </c>
      <c r="B25" s="50">
        <f>B19</f>
        <v>75.27676785</v>
      </c>
      <c r="C25" s="50">
        <f t="shared" ref="C25:F25" si="1">B25*(1+$B$11)</f>
        <v>93.47971424</v>
      </c>
      <c r="D25" s="50">
        <f t="shared" si="1"/>
        <v>116.0843807</v>
      </c>
      <c r="E25" s="50">
        <f t="shared" si="1"/>
        <v>144.1551629</v>
      </c>
      <c r="F25" s="50">
        <f t="shared" si="1"/>
        <v>179.0138421</v>
      </c>
      <c r="G25" s="1">
        <f>F25*(1+B13)</f>
        <v>186.1743957</v>
      </c>
    </row>
    <row r="26" ht="14.25" customHeight="1">
      <c r="A26" s="54" t="s">
        <v>100</v>
      </c>
      <c r="B26" s="50">
        <f t="shared" ref="B26:E26" si="2">B25</f>
        <v>75.27676785</v>
      </c>
      <c r="C26" s="50">
        <f t="shared" si="2"/>
        <v>93.47971424</v>
      </c>
      <c r="D26" s="50">
        <f t="shared" si="2"/>
        <v>116.0843807</v>
      </c>
      <c r="E26" s="50">
        <f t="shared" si="2"/>
        <v>144.1551629</v>
      </c>
      <c r="F26" s="50">
        <f>F25+G25/(B10-B13)</f>
        <v>5966.343007</v>
      </c>
      <c r="G26" s="92"/>
    </row>
    <row r="27" ht="14.25" customHeight="1">
      <c r="A27" s="54" t="s">
        <v>101</v>
      </c>
      <c r="B27" s="105">
        <f t="array" ref="B27">B26+NPV(B10,C26:F26)</f>
        <v>4895.376205</v>
      </c>
    </row>
    <row r="28" ht="14.25" customHeight="1"/>
    <row r="29" ht="14.25" customHeight="1"/>
    <row r="30" ht="14.25" customHeight="1">
      <c r="A30" s="89" t="s">
        <v>102</v>
      </c>
      <c r="B30" s="90" t="s">
        <v>71</v>
      </c>
      <c r="G30" s="90" t="s">
        <v>72</v>
      </c>
      <c r="J30" s="90" t="s">
        <v>80</v>
      </c>
    </row>
    <row r="31" ht="14.25" customHeight="1">
      <c r="B31" s="91">
        <v>44621.0</v>
      </c>
      <c r="C31" s="91">
        <v>44986.0</v>
      </c>
      <c r="D31" s="91">
        <v>45352.0</v>
      </c>
      <c r="E31" s="91">
        <v>45717.0</v>
      </c>
      <c r="F31" s="91">
        <v>46082.0</v>
      </c>
      <c r="G31" s="91">
        <v>46447.0</v>
      </c>
      <c r="H31" s="91">
        <v>46813.0</v>
      </c>
      <c r="I31" s="91">
        <v>47178.0</v>
      </c>
      <c r="J31" s="91">
        <v>47543.0</v>
      </c>
    </row>
    <row r="32" ht="14.25" customHeight="1">
      <c r="A32" s="54" t="s">
        <v>99</v>
      </c>
      <c r="B32" s="2">
        <f>B19</f>
        <v>75.27676785</v>
      </c>
      <c r="C32" s="54">
        <f t="shared" ref="C32:F32" si="3">B32*(1+$B$11)</f>
        <v>93.47971424</v>
      </c>
      <c r="D32" s="54">
        <f t="shared" si="3"/>
        <v>116.0843807</v>
      </c>
      <c r="E32" s="54">
        <f t="shared" si="3"/>
        <v>144.1551629</v>
      </c>
      <c r="F32" s="54">
        <f t="shared" si="3"/>
        <v>179.0138421</v>
      </c>
      <c r="G32" s="54">
        <f t="shared" ref="G32:I32" si="4">F32*(1+D13)</f>
        <v>192.8224082</v>
      </c>
      <c r="H32" s="54">
        <f t="shared" si="4"/>
        <v>205.880807</v>
      </c>
      <c r="I32" s="54">
        <f t="shared" si="4"/>
        <v>217.8852976</v>
      </c>
      <c r="J32" s="54">
        <f>I32*(1+B13)</f>
        <v>226.6007096</v>
      </c>
    </row>
    <row r="33" ht="14.25" customHeight="1">
      <c r="A33" s="54" t="s">
        <v>100</v>
      </c>
      <c r="B33" s="2">
        <f t="shared" ref="B33:H33" si="5">B32</f>
        <v>75.27676785</v>
      </c>
      <c r="C33" s="2">
        <f t="shared" si="5"/>
        <v>93.47971424</v>
      </c>
      <c r="D33" s="2">
        <f t="shared" si="5"/>
        <v>116.0843807</v>
      </c>
      <c r="E33" s="2">
        <f t="shared" si="5"/>
        <v>144.1551629</v>
      </c>
      <c r="F33" s="2">
        <f t="shared" si="5"/>
        <v>179.0138421</v>
      </c>
      <c r="G33" s="2">
        <f t="shared" si="5"/>
        <v>192.8224082</v>
      </c>
      <c r="H33" s="2">
        <f t="shared" si="5"/>
        <v>205.880807</v>
      </c>
      <c r="I33" s="2">
        <f>I32+J32/(B10-B13)</f>
        <v>7261.887723</v>
      </c>
    </row>
    <row r="34" ht="14.25" customHeight="1">
      <c r="A34" s="54" t="s">
        <v>101</v>
      </c>
      <c r="B34" s="93">
        <f t="array" ref="B34">B33+NPV(B10,C33:I33)</f>
        <v>5246.175219</v>
      </c>
    </row>
    <row r="35" ht="14.25" customHeight="1"/>
    <row r="36" ht="14.25" customHeight="1">
      <c r="B36" s="1"/>
      <c r="C36" s="1"/>
      <c r="D36" s="1"/>
      <c r="E36" s="1"/>
      <c r="F36" s="1"/>
      <c r="G36" s="1"/>
      <c r="H36" s="1"/>
      <c r="I36" s="1"/>
    </row>
    <row r="37" ht="14.25" customHeight="1">
      <c r="B37" s="85"/>
    </row>
    <row r="38" ht="14.25" customHeight="1"/>
    <row r="39" ht="14.25" customHeight="1">
      <c r="B39" s="1"/>
    </row>
    <row r="40" ht="14.25" customHeight="1"/>
    <row r="41" ht="14.25" customHeight="1"/>
    <row r="42" ht="14.25" customHeight="1"/>
    <row r="43" ht="14.25" customHeight="1"/>
    <row r="44" ht="14.25" customHeight="1">
      <c r="A44" s="54" t="s">
        <v>81</v>
      </c>
      <c r="B44" s="54" t="s">
        <v>82</v>
      </c>
      <c r="C44" s="94" t="s">
        <v>83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3:F23"/>
    <mergeCell ref="B30:F30"/>
    <mergeCell ref="G30:I30"/>
  </mergeCells>
  <conditionalFormatting sqref="B23:D23 B30:D30">
    <cfRule type="notContainsBlanks" dxfId="0" priority="1">
      <formula>LEN(TRIM(B23))&gt;0</formula>
    </cfRule>
  </conditionalFormatting>
  <hyperlinks>
    <hyperlink r:id="rId1" ref="C44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3.57"/>
    <col customWidth="1" min="3" max="3" width="10.43"/>
    <col customWidth="1" min="4" max="4" width="8.71"/>
    <col customWidth="1" min="5" max="5" width="13.86"/>
    <col customWidth="1" min="6" max="6" width="11.86"/>
    <col customWidth="1" min="7" max="7" width="10.29"/>
    <col customWidth="1" min="8" max="8" width="8.71"/>
    <col customWidth="1" min="9" max="9" width="11.29"/>
    <col customWidth="1" min="10" max="26" width="8.71"/>
  </cols>
  <sheetData>
    <row r="1" ht="14.25" customHeight="1">
      <c r="A1" s="74" t="s">
        <v>51</v>
      </c>
    </row>
    <row r="2" ht="14.25" customHeight="1">
      <c r="A2" s="75" t="s">
        <v>52</v>
      </c>
      <c r="B2" s="76">
        <v>0.013688954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80">
        <v>0.6819937744</v>
      </c>
    </row>
    <row r="5" ht="14.25" customHeight="1">
      <c r="B5" s="111"/>
    </row>
    <row r="6" ht="14.25" customHeight="1">
      <c r="A6" s="54" t="s">
        <v>85</v>
      </c>
      <c r="B6" s="111">
        <f>B3+B4*B2</f>
        <v>0.07803578141</v>
      </c>
    </row>
    <row r="7" ht="14.25" customHeight="1">
      <c r="A7" s="10" t="s">
        <v>104</v>
      </c>
      <c r="B7" s="81">
        <f>SUNPHARMA!B42</f>
        <v>0.02971306048</v>
      </c>
    </row>
    <row r="8" ht="14.25" customHeight="1">
      <c r="A8" s="10" t="s">
        <v>105</v>
      </c>
      <c r="B8" s="79">
        <v>0.058307963999999934</v>
      </c>
    </row>
    <row r="9" ht="14.25" customHeight="1">
      <c r="A9" s="10" t="s">
        <v>106</v>
      </c>
      <c r="B9" s="112">
        <v>0.03223</v>
      </c>
      <c r="C9" s="10" t="s">
        <v>107</v>
      </c>
    </row>
    <row r="10" ht="14.25" customHeight="1">
      <c r="I10" s="86" t="s">
        <v>3</v>
      </c>
      <c r="J10" s="86">
        <v>2018.0</v>
      </c>
      <c r="K10" s="86">
        <v>2019.0</v>
      </c>
      <c r="L10" s="86">
        <v>2020.0</v>
      </c>
      <c r="M10" s="86">
        <v>2021.0</v>
      </c>
      <c r="N10" s="86">
        <v>2022.0</v>
      </c>
    </row>
    <row r="11" ht="14.25" customHeight="1">
      <c r="A11" s="54" t="s">
        <v>61</v>
      </c>
      <c r="B11" s="85">
        <f>AVERAGE(J11:N11)</f>
        <v>0.198</v>
      </c>
      <c r="I11" s="1" t="s">
        <v>67</v>
      </c>
      <c r="J11" s="37">
        <v>0.14</v>
      </c>
      <c r="K11" s="37">
        <v>0.12</v>
      </c>
      <c r="L11" s="37">
        <v>0.23</v>
      </c>
      <c r="M11" s="37">
        <v>0.25</v>
      </c>
      <c r="N11" s="37">
        <v>0.25</v>
      </c>
      <c r="O11" s="1"/>
    </row>
    <row r="12" ht="14.25" customHeight="1">
      <c r="A12" s="54" t="s">
        <v>62</v>
      </c>
      <c r="B12" s="85">
        <f>1-B11</f>
        <v>0.802</v>
      </c>
      <c r="C12" s="104" t="s">
        <v>57</v>
      </c>
      <c r="D12" s="83">
        <f>('SUN DIV'!B6-'SUN DIV'!B7)/3</f>
        <v>0.02728747871</v>
      </c>
      <c r="I12" s="3" t="s">
        <v>68</v>
      </c>
      <c r="J12" s="87">
        <v>0.1990069</v>
      </c>
      <c r="K12" s="87">
        <v>0.1695805</v>
      </c>
      <c r="L12" s="87">
        <v>0.1773908</v>
      </c>
      <c r="M12" s="87">
        <v>0.1378248</v>
      </c>
      <c r="N12" s="87">
        <v>0.1900773</v>
      </c>
      <c r="O12" s="87"/>
      <c r="P12" s="87"/>
      <c r="Q12" s="87"/>
      <c r="R12" s="87"/>
      <c r="S12" s="99"/>
    </row>
    <row r="13" ht="14.25" customHeight="1">
      <c r="A13" s="54" t="s">
        <v>9</v>
      </c>
      <c r="B13" s="113">
        <f>AVERAGE(J12:S12)</f>
        <v>0.17477606</v>
      </c>
      <c r="D13" s="84">
        <f>'SUN DIV'!$B$6-$D$12</f>
        <v>0.1128829214</v>
      </c>
      <c r="E13" s="84">
        <f>'SUN DIV'!$B$6-(2*$D$12)</f>
        <v>0.08559544271</v>
      </c>
      <c r="F13" s="84">
        <f>'SUN DIV'!$B$6-(3*$D$12)</f>
        <v>0.058307964</v>
      </c>
      <c r="I13" s="19" t="s">
        <v>69</v>
      </c>
      <c r="J13" s="88">
        <f>AVERAGE(J12:S12)</f>
        <v>0.17477606</v>
      </c>
    </row>
    <row r="14" ht="14.25" customHeight="1">
      <c r="A14" s="46" t="s">
        <v>108</v>
      </c>
      <c r="B14" s="84">
        <f>B12*B13</f>
        <v>0.1401704001</v>
      </c>
      <c r="I14" s="10" t="s">
        <v>73</v>
      </c>
      <c r="J14" s="84">
        <f>AVERAGE(J11:N11)</f>
        <v>0.198</v>
      </c>
    </row>
    <row r="15" ht="14.25" customHeight="1">
      <c r="A15" s="54" t="s">
        <v>109</v>
      </c>
      <c r="B15" s="114">
        <f>(SUNPHARMA!K30*10^7)/B16</f>
        <v>-233.0393861</v>
      </c>
      <c r="C15" s="115" t="s">
        <v>110</v>
      </c>
    </row>
    <row r="16" ht="14.25" customHeight="1">
      <c r="A16" s="54" t="s">
        <v>66</v>
      </c>
      <c r="B16" s="116">
        <v>2.39933497E9</v>
      </c>
    </row>
    <row r="17" ht="14.25" customHeight="1">
      <c r="A17" s="117" t="s">
        <v>111</v>
      </c>
      <c r="B17" s="118">
        <f>SUNPHARMA!R7*(SUNPHARMA!R5+SUNPHARMA!R6)</f>
        <v>3272.73</v>
      </c>
    </row>
    <row r="18" ht="14.25" customHeight="1">
      <c r="A18" s="117" t="s">
        <v>112</v>
      </c>
      <c r="B18" s="118">
        <f>(B17/B16)*10^7</f>
        <v>13.64015463</v>
      </c>
    </row>
    <row r="19" ht="14.25" customHeight="1">
      <c r="A19" s="89" t="s">
        <v>113</v>
      </c>
      <c r="B19" s="90" t="s">
        <v>71</v>
      </c>
      <c r="G19" s="90" t="s">
        <v>72</v>
      </c>
    </row>
    <row r="20" ht="14.25" customHeight="1">
      <c r="B20" s="91">
        <v>44621.0</v>
      </c>
      <c r="C20" s="91">
        <v>44986.0</v>
      </c>
      <c r="D20" s="91">
        <v>45352.0</v>
      </c>
      <c r="E20" s="91">
        <v>45717.0</v>
      </c>
      <c r="F20" s="91">
        <v>46082.0</v>
      </c>
      <c r="G20" s="91">
        <v>46447.0</v>
      </c>
    </row>
    <row r="21" ht="14.25" customHeight="1">
      <c r="A21" s="54" t="s">
        <v>114</v>
      </c>
      <c r="B21" s="50">
        <f>B18</f>
        <v>13.64015463</v>
      </c>
      <c r="C21" s="50">
        <f t="shared" ref="C21:F21" si="1">B21*(1+$B$12)</f>
        <v>24.57955864</v>
      </c>
      <c r="D21" s="50">
        <f t="shared" si="1"/>
        <v>44.29236468</v>
      </c>
      <c r="E21" s="50">
        <f t="shared" si="1"/>
        <v>79.81484114</v>
      </c>
      <c r="F21" s="50">
        <f t="shared" si="1"/>
        <v>143.8263437</v>
      </c>
      <c r="G21" s="1">
        <f>F21*(1+B9)</f>
        <v>148.4618668</v>
      </c>
    </row>
    <row r="22" ht="14.25" customHeight="1">
      <c r="A22" s="54" t="s">
        <v>100</v>
      </c>
      <c r="B22" s="50">
        <f t="shared" ref="B22:E22" si="2">B21</f>
        <v>13.64015463</v>
      </c>
      <c r="C22" s="50">
        <f t="shared" si="2"/>
        <v>24.57955864</v>
      </c>
      <c r="D22" s="50">
        <f t="shared" si="2"/>
        <v>44.29236468</v>
      </c>
      <c r="E22" s="50">
        <f t="shared" si="2"/>
        <v>79.81484114</v>
      </c>
      <c r="F22" s="50">
        <f>F21+G21/(B6-B8)</f>
        <v>7669.335311</v>
      </c>
      <c r="G22" s="92"/>
    </row>
    <row r="23" ht="14.25" customHeight="1">
      <c r="A23" s="54" t="s">
        <v>101</v>
      </c>
      <c r="B23" s="105">
        <f t="array" ref="B23">B22+NPV(B6,C22:F22)</f>
        <v>5816.64655</v>
      </c>
    </row>
    <row r="24" ht="14.25" customHeight="1"/>
    <row r="25" ht="14.25" customHeight="1"/>
    <row r="26" ht="14.25" customHeight="1">
      <c r="A26" s="89" t="s">
        <v>115</v>
      </c>
      <c r="B26" s="90" t="s">
        <v>71</v>
      </c>
      <c r="G26" s="90" t="s">
        <v>72</v>
      </c>
      <c r="J26" s="90" t="s">
        <v>80</v>
      </c>
    </row>
    <row r="27" ht="14.25" customHeight="1">
      <c r="B27" s="119">
        <v>44621.0</v>
      </c>
      <c r="C27" s="119">
        <v>44986.0</v>
      </c>
      <c r="D27" s="119">
        <v>45352.0</v>
      </c>
      <c r="E27" s="119">
        <v>45717.0</v>
      </c>
      <c r="F27" s="119">
        <v>46082.0</v>
      </c>
      <c r="G27" s="119">
        <v>46447.0</v>
      </c>
      <c r="H27" s="119">
        <v>46813.0</v>
      </c>
      <c r="I27" s="119">
        <v>47178.0</v>
      </c>
      <c r="J27" s="119">
        <v>47543.0</v>
      </c>
    </row>
    <row r="28" ht="14.25" customHeight="1">
      <c r="A28" s="54" t="s">
        <v>114</v>
      </c>
      <c r="B28" s="2">
        <f>B18</f>
        <v>13.64015463</v>
      </c>
      <c r="C28" s="54">
        <f t="shared" ref="C28:F28" si="3">B28*(1+$B$7)</f>
        <v>14.04544537</v>
      </c>
      <c r="D28" s="54">
        <f t="shared" si="3"/>
        <v>14.46277854</v>
      </c>
      <c r="E28" s="54">
        <f t="shared" si="3"/>
        <v>14.89251195</v>
      </c>
      <c r="F28" s="54">
        <f t="shared" si="3"/>
        <v>15.33501406</v>
      </c>
      <c r="G28" s="54">
        <f t="shared" ref="G28:I28" si="4">F28*(1+D13)</f>
        <v>17.06607525</v>
      </c>
      <c r="H28" s="54">
        <f t="shared" si="4"/>
        <v>18.52685351</v>
      </c>
      <c r="I28" s="54">
        <f t="shared" si="4"/>
        <v>19.60711662</v>
      </c>
      <c r="J28" s="54">
        <f>I28*(1+B9)</f>
        <v>20.23905399</v>
      </c>
    </row>
    <row r="29" ht="14.25" customHeight="1">
      <c r="A29" s="54" t="s">
        <v>100</v>
      </c>
      <c r="B29" s="2">
        <f t="shared" ref="B29:H29" si="5">B28</f>
        <v>13.64015463</v>
      </c>
      <c r="C29" s="2">
        <f t="shared" si="5"/>
        <v>14.04544537</v>
      </c>
      <c r="D29" s="2">
        <f t="shared" si="5"/>
        <v>14.46277854</v>
      </c>
      <c r="E29" s="2">
        <f t="shared" si="5"/>
        <v>14.89251195</v>
      </c>
      <c r="F29" s="2">
        <f t="shared" si="5"/>
        <v>15.33501406</v>
      </c>
      <c r="G29" s="2">
        <f t="shared" si="5"/>
        <v>17.06607525</v>
      </c>
      <c r="H29" s="2">
        <f t="shared" si="5"/>
        <v>18.52685351</v>
      </c>
      <c r="I29" s="2">
        <f>I28+J28/(B6-B9)</f>
        <v>461.4520839</v>
      </c>
    </row>
    <row r="30" ht="14.25" customHeight="1">
      <c r="A30" s="54" t="s">
        <v>101</v>
      </c>
      <c r="B30" s="2">
        <f t="array" ref="B30">B29+NPV(B6,C29:I29)</f>
        <v>358.5847471</v>
      </c>
    </row>
    <row r="31" ht="14.25" customHeight="1"/>
    <row r="32" ht="14.25" customHeight="1">
      <c r="A32" s="54" t="s">
        <v>81</v>
      </c>
      <c r="B32" s="54" t="s">
        <v>88</v>
      </c>
      <c r="C32" s="94" t="s">
        <v>83</v>
      </c>
    </row>
    <row r="33" ht="14.25" customHeight="1">
      <c r="B33" s="120"/>
    </row>
    <row r="34" ht="14.25" customHeight="1"/>
    <row r="35" ht="14.25" customHeight="1">
      <c r="B35" s="1"/>
    </row>
    <row r="36" ht="14.25" customHeight="1"/>
    <row r="37" ht="14.25" customHeight="1"/>
    <row r="38" ht="14.25" customHeight="1"/>
    <row r="39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C9:I9"/>
    <mergeCell ref="C15:G17"/>
    <mergeCell ref="B19:F19"/>
    <mergeCell ref="B26:F26"/>
    <mergeCell ref="G26:I26"/>
  </mergeCells>
  <conditionalFormatting sqref="B19:D19 B26:D26">
    <cfRule type="notContainsBlanks" dxfId="0" priority="1">
      <formula>LEN(TRIM(B19))&gt;0</formula>
    </cfRule>
  </conditionalFormatting>
  <hyperlinks>
    <hyperlink r:id="rId1" ref="C32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57"/>
    <col customWidth="1" min="3" max="3" width="9.29"/>
    <col customWidth="1" min="4" max="4" width="8.71"/>
    <col customWidth="1" min="5" max="5" width="17.57"/>
    <col customWidth="1" min="6" max="6" width="11.86"/>
    <col customWidth="1" min="7" max="7" width="10.29"/>
    <col customWidth="1" min="8" max="8" width="8.71"/>
    <col customWidth="1" min="9" max="9" width="21.43"/>
    <col customWidth="1" min="10" max="33" width="8.71"/>
  </cols>
  <sheetData>
    <row r="1" ht="14.25" customHeight="1">
      <c r="A1" s="74" t="s">
        <v>84</v>
      </c>
    </row>
    <row r="2" ht="14.25" customHeight="1">
      <c r="A2" s="75" t="s">
        <v>52</v>
      </c>
      <c r="B2" s="76">
        <v>0.013688954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95">
        <v>0.4212852195</v>
      </c>
    </row>
    <row r="5" ht="14.25" customHeight="1">
      <c r="A5" s="54" t="s">
        <v>85</v>
      </c>
      <c r="B5" s="81">
        <f>B3+(B2*B4)</f>
        <v>0.07446695399</v>
      </c>
    </row>
    <row r="6" ht="14.25" customHeight="1">
      <c r="B6" s="81"/>
    </row>
    <row r="7" ht="14.25" customHeight="1">
      <c r="A7" s="54" t="s">
        <v>58</v>
      </c>
      <c r="B7" s="81">
        <f>PFIZER!B42</f>
        <v>0.1559732635</v>
      </c>
    </row>
    <row r="8" ht="14.25" customHeight="1">
      <c r="A8" s="54" t="s">
        <v>116</v>
      </c>
      <c r="B8" s="79">
        <v>0.058307963999999934</v>
      </c>
    </row>
    <row r="9" ht="14.25" customHeight="1">
      <c r="A9" s="54" t="s">
        <v>117</v>
      </c>
      <c r="B9" s="112">
        <v>0.03223</v>
      </c>
      <c r="C9" s="10" t="s">
        <v>107</v>
      </c>
    </row>
    <row r="10" ht="14.25" customHeight="1">
      <c r="I10" s="86" t="s">
        <v>3</v>
      </c>
      <c r="J10" s="86">
        <v>2018.0</v>
      </c>
      <c r="K10" s="86">
        <v>2019.0</v>
      </c>
      <c r="L10" s="86">
        <v>2020.0</v>
      </c>
      <c r="M10" s="86">
        <v>2021.0</v>
      </c>
      <c r="N10" s="86">
        <v>2022.0</v>
      </c>
    </row>
    <row r="11" ht="14.25" customHeight="1">
      <c r="A11" s="54" t="s">
        <v>61</v>
      </c>
      <c r="B11" s="85">
        <f>AVERAGE(J11:N11)</f>
        <v>0.2734</v>
      </c>
      <c r="I11" s="22" t="s">
        <v>86</v>
      </c>
      <c r="J11" s="21">
        <v>0.25</v>
      </c>
      <c r="K11" s="21">
        <v>0.24</v>
      </c>
      <c r="L11" s="27">
        <v>0.297</v>
      </c>
      <c r="M11" s="21">
        <v>0.32</v>
      </c>
      <c r="N11" s="21">
        <v>0.26</v>
      </c>
    </row>
    <row r="12" ht="14.25" customHeight="1">
      <c r="A12" s="54" t="s">
        <v>62</v>
      </c>
      <c r="B12" s="85">
        <f>1-B11</f>
        <v>0.7266</v>
      </c>
      <c r="C12" s="104" t="s">
        <v>57</v>
      </c>
      <c r="D12" s="83">
        <f>('PFIZER DIV'!B6-'PFIZER DIV'!B7)/3</f>
        <v>0.0216568098</v>
      </c>
      <c r="I12" s="19" t="s">
        <v>68</v>
      </c>
      <c r="J12" s="97">
        <v>0.13420424897502795</v>
      </c>
      <c r="K12" s="97">
        <v>0.1424468791500664</v>
      </c>
      <c r="L12" s="97">
        <v>0.14992049469964663</v>
      </c>
      <c r="M12" s="97">
        <v>0.207944003343084</v>
      </c>
      <c r="N12" s="97">
        <v>0.21380802792321116</v>
      </c>
      <c r="O12" s="97"/>
      <c r="P12" s="97"/>
      <c r="Q12" s="97"/>
      <c r="R12" s="97"/>
      <c r="S12" s="97"/>
    </row>
    <row r="13" ht="14.25" customHeight="1">
      <c r="A13" s="54" t="s">
        <v>9</v>
      </c>
      <c r="B13" s="96">
        <f>AVERAGE(J12:N12)</f>
        <v>0.1696647308</v>
      </c>
      <c r="D13" s="84">
        <f>'PFIZER DIV'!$B$6-$D$12</f>
        <v>0.1016215836</v>
      </c>
      <c r="E13" s="84">
        <f>'PFIZER DIV'!$B$6-(2*$D$12)</f>
        <v>0.0799647738</v>
      </c>
      <c r="F13" s="84">
        <f>'PFIZER DIV'!$B$6-(3*$D$12)</f>
        <v>0.058307964</v>
      </c>
      <c r="I13" s="19" t="s">
        <v>69</v>
      </c>
      <c r="J13" s="96">
        <f>AVERAGE(J12:N12)</f>
        <v>0.1696647308</v>
      </c>
    </row>
    <row r="14" ht="14.25" customHeight="1">
      <c r="A14" s="39"/>
      <c r="I14" s="10" t="s">
        <v>73</v>
      </c>
      <c r="J14" s="84">
        <f>AVERAGE(J11:N11)</f>
        <v>0.2734</v>
      </c>
    </row>
    <row r="15" ht="14.25" customHeight="1">
      <c r="A15" s="54" t="s">
        <v>109</v>
      </c>
      <c r="B15" s="121">
        <f>(PFIZER!K30*10000000)/B16</f>
        <v>20.4659562</v>
      </c>
    </row>
    <row r="16" ht="14.25" customHeight="1">
      <c r="A16" s="54" t="s">
        <v>66</v>
      </c>
      <c r="B16" s="54">
        <v>4.5750372E7</v>
      </c>
    </row>
    <row r="17" ht="14.25" customHeight="1"/>
    <row r="18" ht="14.25" customHeight="1">
      <c r="A18" s="122"/>
      <c r="B18" s="122"/>
      <c r="C18" s="122"/>
      <c r="D18" s="122"/>
      <c r="E18" s="122"/>
      <c r="F18" s="122"/>
      <c r="G18" s="122"/>
    </row>
    <row r="19" ht="14.25" customHeight="1">
      <c r="A19" s="123" t="s">
        <v>113</v>
      </c>
      <c r="B19" s="90" t="s">
        <v>71</v>
      </c>
      <c r="G19" s="90" t="s">
        <v>72</v>
      </c>
    </row>
    <row r="20" ht="14.25" customHeight="1">
      <c r="B20" s="91">
        <v>44621.0</v>
      </c>
      <c r="C20" s="91">
        <v>44986.0</v>
      </c>
      <c r="D20" s="91">
        <v>45352.0</v>
      </c>
      <c r="E20" s="91">
        <v>45717.0</v>
      </c>
      <c r="F20" s="91">
        <v>46082.0</v>
      </c>
      <c r="G20" s="91">
        <v>46447.0</v>
      </c>
    </row>
    <row r="21" ht="14.25" customHeight="1">
      <c r="A21" s="124" t="s">
        <v>114</v>
      </c>
      <c r="B21" s="58">
        <f>B15</f>
        <v>20.4659562</v>
      </c>
      <c r="C21" s="58">
        <f t="shared" ref="C21:F21" si="1">B21*(1+$B$12)</f>
        <v>35.33651997</v>
      </c>
      <c r="D21" s="58">
        <f t="shared" si="1"/>
        <v>61.01203539</v>
      </c>
      <c r="E21" s="58">
        <f t="shared" si="1"/>
        <v>105.3433803</v>
      </c>
      <c r="F21" s="58">
        <f t="shared" si="1"/>
        <v>181.8858804</v>
      </c>
      <c r="G21" s="58">
        <f>F21*(1+B9)</f>
        <v>187.7480623</v>
      </c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 ht="14.25" customHeight="1">
      <c r="A22" s="124" t="s">
        <v>100</v>
      </c>
      <c r="B22" s="58">
        <f t="shared" ref="B22:E22" si="2">B21</f>
        <v>20.4659562</v>
      </c>
      <c r="C22" s="58">
        <f t="shared" si="2"/>
        <v>35.33651997</v>
      </c>
      <c r="D22" s="58">
        <f t="shared" si="2"/>
        <v>61.01203539</v>
      </c>
      <c r="E22" s="58">
        <f t="shared" si="2"/>
        <v>105.3433803</v>
      </c>
      <c r="F22" s="58">
        <f>F21+G21/(B5-B8)</f>
        <v>11800.68523</v>
      </c>
      <c r="G22" s="58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 ht="14.25" customHeight="1">
      <c r="A23" s="124" t="s">
        <v>101</v>
      </c>
      <c r="B23" s="124">
        <f t="array" ref="B23">B22+NPV(B5,C22:F22)</f>
        <v>9045.032452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ht="14.25" customHeight="1">
      <c r="A24" s="122"/>
      <c r="B24" s="122"/>
      <c r="C24" s="122"/>
      <c r="D24" s="122"/>
      <c r="E24" s="122"/>
      <c r="F24" s="122"/>
      <c r="G24" s="122"/>
    </row>
    <row r="25" ht="14.25" customHeight="1"/>
    <row r="26" ht="14.25" customHeight="1">
      <c r="A26" s="89" t="s">
        <v>115</v>
      </c>
      <c r="B26" s="90" t="s">
        <v>71</v>
      </c>
      <c r="G26" s="90" t="s">
        <v>72</v>
      </c>
      <c r="J26" s="90" t="s">
        <v>80</v>
      </c>
    </row>
    <row r="27" ht="14.25" customHeight="1">
      <c r="B27" s="91">
        <v>44621.0</v>
      </c>
      <c r="C27" s="91">
        <v>44986.0</v>
      </c>
      <c r="D27" s="91">
        <v>45352.0</v>
      </c>
      <c r="E27" s="91">
        <v>45717.0</v>
      </c>
      <c r="F27" s="91">
        <v>46082.0</v>
      </c>
      <c r="G27" s="91">
        <v>46447.0</v>
      </c>
      <c r="H27" s="91">
        <v>46813.0</v>
      </c>
      <c r="I27" s="91">
        <v>47178.0</v>
      </c>
      <c r="J27" s="91">
        <v>47543.0</v>
      </c>
    </row>
    <row r="28" ht="14.25" customHeight="1">
      <c r="A28" s="125" t="s">
        <v>114</v>
      </c>
      <c r="B28" s="126">
        <f>B15</f>
        <v>20.4659562</v>
      </c>
      <c r="C28" s="125">
        <f t="shared" ref="C28:F28" si="3">B28*(1+$B$7)</f>
        <v>23.65809818</v>
      </c>
      <c r="D28" s="125">
        <f t="shared" si="3"/>
        <v>27.34812896</v>
      </c>
      <c r="E28" s="125">
        <f t="shared" si="3"/>
        <v>31.61370588</v>
      </c>
      <c r="F28" s="125">
        <f t="shared" si="3"/>
        <v>36.54459876</v>
      </c>
      <c r="G28" s="125">
        <f t="shared" ref="G28:I28" si="4">F28*(1+D13)</f>
        <v>40.25831876</v>
      </c>
      <c r="H28" s="125">
        <f t="shared" si="4"/>
        <v>43.47756611</v>
      </c>
      <c r="I28" s="125">
        <f t="shared" si="4"/>
        <v>46.01265447</v>
      </c>
      <c r="J28" s="125">
        <f>I28*(1+B9)</f>
        <v>47.49564232</v>
      </c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</row>
    <row r="29" ht="14.25" customHeight="1">
      <c r="A29" s="125" t="s">
        <v>100</v>
      </c>
      <c r="B29" s="126">
        <f t="shared" ref="B29:H29" si="5">B28</f>
        <v>20.4659562</v>
      </c>
      <c r="C29" s="126">
        <f t="shared" si="5"/>
        <v>23.65809818</v>
      </c>
      <c r="D29" s="126">
        <f t="shared" si="5"/>
        <v>27.34812896</v>
      </c>
      <c r="E29" s="126">
        <f t="shared" si="5"/>
        <v>31.61370588</v>
      </c>
      <c r="F29" s="126">
        <f t="shared" si="5"/>
        <v>36.54459876</v>
      </c>
      <c r="G29" s="126">
        <f t="shared" si="5"/>
        <v>40.25831876</v>
      </c>
      <c r="H29" s="126">
        <f t="shared" si="5"/>
        <v>43.47756611</v>
      </c>
      <c r="I29" s="126">
        <f>I28+J28/(B5-B9)</f>
        <v>1170.517095</v>
      </c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</row>
    <row r="30" ht="14.25" customHeight="1">
      <c r="A30" s="54" t="s">
        <v>101</v>
      </c>
      <c r="B30" s="2">
        <f t="array" ref="B30">B29+NPV(B5,C29:I29)</f>
        <v>883.4341076</v>
      </c>
    </row>
    <row r="31" ht="14.25" customHeight="1"/>
    <row r="32" ht="14.25" customHeight="1">
      <c r="A32" s="54" t="s">
        <v>81</v>
      </c>
      <c r="B32" s="54" t="s">
        <v>88</v>
      </c>
      <c r="C32" s="94" t="s">
        <v>83</v>
      </c>
    </row>
    <row r="33" ht="14.25" customHeight="1">
      <c r="B33" s="127"/>
    </row>
    <row r="34" ht="14.25" customHeight="1"/>
    <row r="35" ht="14.25" customHeight="1">
      <c r="B35" s="1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9:I9"/>
    <mergeCell ref="B19:F19"/>
    <mergeCell ref="B26:F26"/>
    <mergeCell ref="G26:I26"/>
  </mergeCells>
  <conditionalFormatting sqref="B19:D19 B26:D26">
    <cfRule type="notContainsBlanks" dxfId="0" priority="1">
      <formula>LEN(TRIM(B19))&gt;0</formula>
    </cfRule>
  </conditionalFormatting>
  <hyperlinks>
    <hyperlink r:id="rId1" ref="C32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29"/>
    <col customWidth="1" min="3" max="3" width="10.14"/>
    <col customWidth="1" min="4" max="4" width="8.71"/>
    <col customWidth="1" min="5" max="5" width="12.71"/>
    <col customWidth="1" min="6" max="6" width="11.86"/>
    <col customWidth="1" min="7" max="7" width="10.29"/>
    <col customWidth="1" min="8" max="8" width="8.71"/>
    <col customWidth="1" min="9" max="9" width="13.29"/>
    <col customWidth="1" min="10" max="26" width="8.71"/>
  </cols>
  <sheetData>
    <row r="1" ht="14.25" customHeight="1">
      <c r="A1" s="74" t="s">
        <v>87</v>
      </c>
    </row>
    <row r="2" ht="14.25" customHeight="1">
      <c r="A2" s="75" t="s">
        <v>52</v>
      </c>
      <c r="B2" s="76">
        <v>0.013688954</v>
      </c>
    </row>
    <row r="3" ht="14.25" customHeight="1">
      <c r="A3" s="78" t="s">
        <v>54</v>
      </c>
      <c r="B3" s="79">
        <v>0.0687</v>
      </c>
    </row>
    <row r="4" ht="14.25" customHeight="1">
      <c r="A4" s="78" t="s">
        <v>55</v>
      </c>
      <c r="B4" s="95">
        <v>0.4236259429</v>
      </c>
    </row>
    <row r="5" ht="14.25" customHeight="1">
      <c r="B5" s="81"/>
    </row>
    <row r="6" ht="14.25" customHeight="1">
      <c r="A6" s="54" t="s">
        <v>85</v>
      </c>
      <c r="B6" s="81">
        <f>B3+B4*B2</f>
        <v>0.07449899605</v>
      </c>
    </row>
    <row r="7" ht="14.25" customHeight="1">
      <c r="A7" s="54" t="s">
        <v>58</v>
      </c>
      <c r="B7" s="81">
        <f>'DR REDDY'!B42</f>
        <v>0.1854176504</v>
      </c>
    </row>
    <row r="8" ht="14.25" customHeight="1">
      <c r="A8" s="54" t="s">
        <v>116</v>
      </c>
      <c r="B8" s="79">
        <v>0.058307963999999934</v>
      </c>
    </row>
    <row r="9" ht="14.25" customHeight="1">
      <c r="A9" s="54" t="s">
        <v>117</v>
      </c>
      <c r="B9" s="106">
        <v>0.04</v>
      </c>
    </row>
    <row r="10" ht="14.25" customHeight="1">
      <c r="I10" s="86" t="s">
        <v>3</v>
      </c>
      <c r="J10" s="86">
        <v>2018.0</v>
      </c>
      <c r="K10" s="86">
        <v>2019.0</v>
      </c>
      <c r="L10" s="86">
        <v>2020.0</v>
      </c>
      <c r="M10" s="86">
        <v>2021.0</v>
      </c>
      <c r="N10" s="86">
        <v>2022.0</v>
      </c>
    </row>
    <row r="11" ht="14.25" customHeight="1">
      <c r="A11" s="54" t="s">
        <v>61</v>
      </c>
      <c r="B11" s="85">
        <f>AVERAGE(J11:N11)</f>
        <v>0.234</v>
      </c>
      <c r="I11" s="1" t="s">
        <v>67</v>
      </c>
      <c r="J11" s="37">
        <v>0.35</v>
      </c>
      <c r="K11" s="37">
        <v>0.17</v>
      </c>
      <c r="L11" s="37">
        <v>0.21</v>
      </c>
      <c r="M11" s="37">
        <v>0.21</v>
      </c>
      <c r="N11" s="37">
        <v>0.23</v>
      </c>
      <c r="O11" s="1"/>
    </row>
    <row r="12" ht="14.25" customHeight="1">
      <c r="A12" s="54" t="s">
        <v>62</v>
      </c>
      <c r="B12" s="85">
        <f>1-B11</f>
        <v>0.766</v>
      </c>
      <c r="C12" s="104" t="s">
        <v>57</v>
      </c>
      <c r="D12" s="83">
        <f>('DR REDDY DIV'!B6-'DR REDDY DIV'!B7)/3</f>
        <v>0.009414449213</v>
      </c>
      <c r="I12" s="19" t="s">
        <v>68</v>
      </c>
      <c r="J12" s="100">
        <v>0.07531021317212853</v>
      </c>
      <c r="K12" s="100">
        <v>0.13852383320309725</v>
      </c>
      <c r="L12" s="100">
        <v>0.12905280591120455</v>
      </c>
      <c r="M12" s="100">
        <v>0.10940688417984079</v>
      </c>
      <c r="N12" s="100">
        <v>0.11266260582283709</v>
      </c>
    </row>
    <row r="13" ht="14.25" customHeight="1">
      <c r="A13" s="54" t="s">
        <v>9</v>
      </c>
      <c r="B13" s="96">
        <f>AVERAGE(J12:N12)</f>
        <v>0.1129912685</v>
      </c>
      <c r="D13" s="84">
        <f>'DR REDDY DIV'!$B$6-$D$12</f>
        <v>0.07713686243</v>
      </c>
      <c r="E13" s="84">
        <f>'DR REDDY DIV'!$B$6-(2*$D$12)</f>
        <v>0.06772241321</v>
      </c>
      <c r="F13" s="84">
        <f>'DR REDDY DIV'!$B$6-(3*$D$12)</f>
        <v>0.058307964</v>
      </c>
      <c r="I13" s="19" t="s">
        <v>69</v>
      </c>
      <c r="J13" s="84">
        <f>AVERAGE(J12:N12)</f>
        <v>0.1129912685</v>
      </c>
    </row>
    <row r="14" ht="14.25" customHeight="1">
      <c r="A14" s="39"/>
      <c r="I14" s="10" t="s">
        <v>73</v>
      </c>
      <c r="J14" s="128">
        <f>AVERAGE(J11:N11)</f>
        <v>0.234</v>
      </c>
    </row>
    <row r="15" ht="14.25" customHeight="1">
      <c r="A15" s="54" t="s">
        <v>109</v>
      </c>
      <c r="B15" s="110">
        <f>('DR REDDY'!K30*10^7)/B16</f>
        <v>0.4333611931</v>
      </c>
    </row>
    <row r="16" ht="14.25" customHeight="1">
      <c r="A16" s="54" t="s">
        <v>66</v>
      </c>
      <c r="B16" s="54">
        <v>1.98466176E9</v>
      </c>
    </row>
    <row r="17" ht="14.25" customHeight="1"/>
    <row r="18" ht="14.25" customHeight="1"/>
    <row r="19" ht="14.25" customHeight="1">
      <c r="A19" s="89" t="s">
        <v>113</v>
      </c>
      <c r="B19" s="90" t="s">
        <v>71</v>
      </c>
      <c r="G19" s="90" t="s">
        <v>72</v>
      </c>
    </row>
    <row r="20" ht="14.25" customHeight="1">
      <c r="B20" s="91">
        <v>44621.0</v>
      </c>
      <c r="C20" s="91">
        <v>44986.0</v>
      </c>
      <c r="D20" s="91">
        <v>45352.0</v>
      </c>
      <c r="E20" s="91">
        <v>45717.0</v>
      </c>
      <c r="F20" s="91">
        <v>46082.0</v>
      </c>
      <c r="G20" s="91">
        <v>46447.0</v>
      </c>
    </row>
    <row r="21" ht="14.25" customHeight="1">
      <c r="A21" s="54" t="s">
        <v>114</v>
      </c>
      <c r="B21" s="50">
        <f>B15</f>
        <v>0.4333611931</v>
      </c>
      <c r="C21" s="50">
        <f t="shared" ref="C21:F21" si="1">B21*(1+$B$12)</f>
        <v>0.7653158671</v>
      </c>
      <c r="D21" s="50">
        <f t="shared" si="1"/>
        <v>1.351547821</v>
      </c>
      <c r="E21" s="50">
        <f t="shared" si="1"/>
        <v>2.386833452</v>
      </c>
      <c r="F21" s="50">
        <f t="shared" si="1"/>
        <v>4.215147877</v>
      </c>
      <c r="G21" s="1">
        <f>F21*(1+B9)</f>
        <v>4.383753792</v>
      </c>
    </row>
    <row r="22" ht="14.25" customHeight="1">
      <c r="A22" s="54" t="s">
        <v>100</v>
      </c>
      <c r="B22" s="50">
        <f t="shared" ref="B22:E22" si="2">B21</f>
        <v>0.4333611931</v>
      </c>
      <c r="C22" s="50">
        <f t="shared" si="2"/>
        <v>0.7653158671</v>
      </c>
      <c r="D22" s="50">
        <f t="shared" si="2"/>
        <v>1.351547821</v>
      </c>
      <c r="E22" s="50">
        <f t="shared" si="2"/>
        <v>2.386833452</v>
      </c>
      <c r="F22" s="50">
        <f>F21+G21/(B6-B9)</f>
        <v>131.2841729</v>
      </c>
      <c r="G22" s="92"/>
    </row>
    <row r="23" ht="14.25" customHeight="1">
      <c r="A23" s="54" t="s">
        <v>101</v>
      </c>
      <c r="B23" s="105">
        <f t="array" ref="B23">B22+NPV(B6,C22:F22)</f>
        <v>102.7293732</v>
      </c>
    </row>
    <row r="24" ht="14.25" customHeight="1"/>
    <row r="25" ht="14.25" customHeight="1"/>
    <row r="26" ht="14.25" customHeight="1">
      <c r="A26" s="89" t="s">
        <v>115</v>
      </c>
      <c r="B26" s="90" t="s">
        <v>71</v>
      </c>
      <c r="G26" s="90" t="s">
        <v>72</v>
      </c>
      <c r="J26" s="90" t="s">
        <v>80</v>
      </c>
    </row>
    <row r="27" ht="14.25" customHeight="1">
      <c r="B27" s="91">
        <v>44621.0</v>
      </c>
      <c r="C27" s="91">
        <v>44986.0</v>
      </c>
      <c r="D27" s="91">
        <v>45352.0</v>
      </c>
      <c r="E27" s="91">
        <v>45717.0</v>
      </c>
      <c r="F27" s="91">
        <v>46082.0</v>
      </c>
      <c r="G27" s="91">
        <v>46447.0</v>
      </c>
      <c r="H27" s="91">
        <v>46813.0</v>
      </c>
      <c r="I27" s="91">
        <v>47178.0</v>
      </c>
      <c r="J27" s="91">
        <v>47543.0</v>
      </c>
    </row>
    <row r="28" ht="14.25" customHeight="1">
      <c r="A28" s="54" t="s">
        <v>114</v>
      </c>
      <c r="B28" s="2">
        <f>B15</f>
        <v>0.4333611931</v>
      </c>
      <c r="C28" s="54">
        <f t="shared" ref="C28:E28" si="3">B28*(1+$B$7)</f>
        <v>0.5137140074</v>
      </c>
      <c r="D28" s="54">
        <f t="shared" si="3"/>
        <v>0.6089656516</v>
      </c>
      <c r="E28" s="54">
        <f t="shared" si="3"/>
        <v>0.7218786319</v>
      </c>
      <c r="F28" s="54">
        <f>E28*(1+$B$12)</f>
        <v>1.274837664</v>
      </c>
      <c r="G28" s="54">
        <f t="shared" ref="G28:I28" si="4">F28*(1+D13)</f>
        <v>1.373174641</v>
      </c>
      <c r="H28" s="54">
        <f t="shared" si="4"/>
        <v>1.466169342</v>
      </c>
      <c r="I28" s="54">
        <f t="shared" si="4"/>
        <v>1.551658691</v>
      </c>
      <c r="J28" s="54">
        <f t="shared" ref="J28:J29" si="6">I28*(1+B9)</f>
        <v>1.613725039</v>
      </c>
    </row>
    <row r="29" ht="14.25" customHeight="1">
      <c r="A29" s="54" t="s">
        <v>100</v>
      </c>
      <c r="B29" s="2">
        <f t="shared" ref="B29:H29" si="5">B28</f>
        <v>0.4333611931</v>
      </c>
      <c r="C29" s="2">
        <f t="shared" si="5"/>
        <v>0.5137140074</v>
      </c>
      <c r="D29" s="2">
        <f t="shared" si="5"/>
        <v>0.6089656516</v>
      </c>
      <c r="E29" s="2">
        <f t="shared" si="5"/>
        <v>0.7218786319</v>
      </c>
      <c r="F29" s="2">
        <f t="shared" si="5"/>
        <v>1.274837664</v>
      </c>
      <c r="G29" s="2">
        <f t="shared" si="5"/>
        <v>1.373174641</v>
      </c>
      <c r="H29" s="2">
        <f t="shared" si="5"/>
        <v>1.466169342</v>
      </c>
      <c r="I29" s="2">
        <f>I28+J28/(B6-B9)</f>
        <v>48.32765868</v>
      </c>
      <c r="J29" s="54">
        <f t="shared" si="6"/>
        <v>48.32765868</v>
      </c>
    </row>
    <row r="30" ht="14.25" customHeight="1">
      <c r="A30" s="54" t="s">
        <v>101</v>
      </c>
      <c r="B30" s="2">
        <f t="array" ref="B30">B29+NPV(B6,C29:I29)</f>
        <v>34.11353745</v>
      </c>
    </row>
    <row r="31" ht="14.25" customHeight="1"/>
    <row r="32" ht="14.25" customHeight="1">
      <c r="A32" s="54" t="s">
        <v>81</v>
      </c>
      <c r="B32" s="54" t="s">
        <v>88</v>
      </c>
      <c r="C32" s="94" t="s">
        <v>83</v>
      </c>
    </row>
    <row r="33" ht="14.25" customHeight="1">
      <c r="B33" s="120"/>
    </row>
    <row r="34" ht="14.25" customHeight="1"/>
    <row r="35" ht="14.25" customHeight="1">
      <c r="B35" s="1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19:F19"/>
    <mergeCell ref="B26:F26"/>
    <mergeCell ref="G26:I26"/>
  </mergeCells>
  <conditionalFormatting sqref="B19:D19 B26:D26">
    <cfRule type="notContainsBlanks" dxfId="0" priority="1">
      <formula>LEN(TRIM(B19))&gt;0</formula>
    </cfRule>
  </conditionalFormatting>
  <hyperlinks>
    <hyperlink r:id="rId1" ref="C32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9" t="s">
        <v>118</v>
      </c>
      <c r="F1" s="31"/>
      <c r="H1" s="31"/>
      <c r="I1" s="129" t="s">
        <v>119</v>
      </c>
      <c r="N1" s="31"/>
      <c r="O1" s="31"/>
      <c r="P1" s="31"/>
      <c r="Q1" s="31"/>
    </row>
    <row r="2">
      <c r="A2" s="130" t="s">
        <v>120</v>
      </c>
      <c r="B2" s="131" t="s">
        <v>121</v>
      </c>
      <c r="C2" s="131" t="s">
        <v>122</v>
      </c>
      <c r="D2" s="11" t="s">
        <v>123</v>
      </c>
      <c r="E2" s="31"/>
      <c r="F2" s="31"/>
      <c r="H2" s="132"/>
      <c r="I2" s="31"/>
      <c r="J2" s="31"/>
      <c r="K2" s="31"/>
      <c r="L2" s="31"/>
      <c r="M2" s="31"/>
      <c r="N2" s="31"/>
      <c r="O2" s="31"/>
      <c r="P2" s="31"/>
      <c r="Q2" s="31"/>
    </row>
    <row r="3">
      <c r="A3" s="133">
        <v>44917.0</v>
      </c>
      <c r="B3" s="134">
        <v>12892.75</v>
      </c>
      <c r="C3" s="135">
        <v>-0.0021</v>
      </c>
      <c r="D3" s="31"/>
      <c r="E3" s="31"/>
      <c r="F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>
      <c r="A4" s="133">
        <v>44916.0</v>
      </c>
      <c r="B4" s="136">
        <v>12920.4</v>
      </c>
      <c r="C4" s="137">
        <v>0.0239</v>
      </c>
      <c r="D4" s="116">
        <v>1.002145</v>
      </c>
      <c r="E4" s="116">
        <v>1.058307964</v>
      </c>
      <c r="F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>
      <c r="A5" s="133">
        <v>44915.0</v>
      </c>
      <c r="B5" s="134">
        <v>12618.45</v>
      </c>
      <c r="C5" s="135">
        <v>-0.0022</v>
      </c>
      <c r="D5" s="116">
        <v>0.97663</v>
      </c>
      <c r="E5" s="11" t="s">
        <v>124</v>
      </c>
      <c r="F5" s="98">
        <v>0.0583</v>
      </c>
      <c r="H5" s="31"/>
      <c r="I5" s="31"/>
      <c r="J5" s="31"/>
      <c r="K5" s="31"/>
      <c r="L5" s="31"/>
      <c r="M5" s="31"/>
      <c r="N5" s="31"/>
      <c r="O5" s="31"/>
      <c r="P5" s="31"/>
      <c r="Q5" s="31"/>
    </row>
    <row r="6">
      <c r="A6" s="133">
        <v>44914.0</v>
      </c>
      <c r="B6" s="136">
        <v>12646.45</v>
      </c>
      <c r="C6" s="137">
        <v>8.0E-4</v>
      </c>
      <c r="D6" s="116">
        <v>1.002219</v>
      </c>
      <c r="E6" s="31"/>
      <c r="F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>
      <c r="A7" s="133">
        <v>44911.0</v>
      </c>
      <c r="B7" s="134">
        <v>12636.2</v>
      </c>
      <c r="C7" s="135">
        <v>-0.014</v>
      </c>
      <c r="D7" s="116">
        <v>0.999189</v>
      </c>
      <c r="E7" s="31"/>
      <c r="F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>
      <c r="A8" s="133">
        <v>44910.0</v>
      </c>
      <c r="B8" s="134">
        <v>12816.1</v>
      </c>
      <c r="C8" s="135">
        <v>-0.0052</v>
      </c>
      <c r="D8" s="116">
        <v>1.014237</v>
      </c>
      <c r="E8" s="31"/>
      <c r="F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>
      <c r="A9" s="133">
        <v>44909.0</v>
      </c>
      <c r="B9" s="136">
        <v>12883.6</v>
      </c>
      <c r="C9" s="137">
        <v>0.0067</v>
      </c>
      <c r="D9" s="116">
        <v>1.005267</v>
      </c>
      <c r="E9" s="31"/>
      <c r="F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>
      <c r="A10" s="133">
        <v>44908.0</v>
      </c>
      <c r="B10" s="136">
        <v>12797.75</v>
      </c>
      <c r="C10" s="137">
        <v>0.0031</v>
      </c>
      <c r="D10" s="116">
        <v>0.993336</v>
      </c>
      <c r="E10" s="31"/>
      <c r="F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>
      <c r="A11" s="133">
        <v>44907.0</v>
      </c>
      <c r="B11" s="134">
        <v>12758.05</v>
      </c>
      <c r="C11" s="135">
        <v>-0.0013</v>
      </c>
      <c r="D11" s="116">
        <v>0.996898</v>
      </c>
      <c r="E11" s="31"/>
      <c r="F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>
      <c r="A12" s="138">
        <v>44904.0</v>
      </c>
      <c r="B12" s="136">
        <v>12774.7</v>
      </c>
      <c r="C12" s="137">
        <v>0.0036</v>
      </c>
      <c r="D12" s="116">
        <v>1.001305</v>
      </c>
      <c r="E12" s="31"/>
      <c r="F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>
      <c r="A13" s="138">
        <v>44903.0</v>
      </c>
      <c r="B13" s="134">
        <v>12728.7</v>
      </c>
      <c r="C13" s="135">
        <v>-0.011</v>
      </c>
      <c r="D13" s="116">
        <v>0.996399</v>
      </c>
      <c r="E13" s="31"/>
      <c r="F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>
      <c r="A14" s="138">
        <v>44902.0</v>
      </c>
      <c r="B14" s="134">
        <v>12869.8</v>
      </c>
      <c r="C14" s="135">
        <v>-0.0066</v>
      </c>
      <c r="D14" s="116">
        <v>1.011085</v>
      </c>
      <c r="E14" s="31"/>
      <c r="F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>
      <c r="A15" s="138">
        <v>44901.0</v>
      </c>
      <c r="B15" s="134">
        <v>12955.35</v>
      </c>
      <c r="C15" s="135">
        <v>-0.0075</v>
      </c>
      <c r="D15" s="116">
        <v>1.006647</v>
      </c>
      <c r="E15" s="31"/>
      <c r="F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>
      <c r="A16" s="138">
        <v>44900.0</v>
      </c>
      <c r="B16" s="134">
        <v>13052.9</v>
      </c>
      <c r="C16" s="135">
        <v>-0.0026</v>
      </c>
      <c r="D16" s="116">
        <v>1.00753</v>
      </c>
      <c r="E16" s="31"/>
      <c r="F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>
      <c r="A17" s="138">
        <v>44897.0</v>
      </c>
      <c r="B17" s="134">
        <v>13086.95</v>
      </c>
      <c r="C17" s="135">
        <v>-0.0026</v>
      </c>
      <c r="D17" s="116">
        <v>1.002609</v>
      </c>
      <c r="E17" s="31"/>
      <c r="F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>
      <c r="A18" s="138">
        <v>44896.0</v>
      </c>
      <c r="B18" s="134">
        <v>13120.65</v>
      </c>
      <c r="C18" s="135">
        <v>-0.0018</v>
      </c>
      <c r="D18" s="116">
        <v>1.002575</v>
      </c>
      <c r="E18" s="31"/>
      <c r="F18" s="31"/>
      <c r="H18" s="11" t="s">
        <v>125</v>
      </c>
      <c r="I18" s="98">
        <v>0.3289</v>
      </c>
      <c r="J18" s="31"/>
      <c r="K18" s="31"/>
      <c r="L18" s="31"/>
      <c r="M18" s="31"/>
      <c r="N18" s="31"/>
      <c r="O18" s="31"/>
      <c r="P18" s="31"/>
      <c r="Q18" s="31"/>
    </row>
    <row r="19">
      <c r="A19" s="133">
        <v>44895.0</v>
      </c>
      <c r="B19" s="136">
        <v>13144.2</v>
      </c>
      <c r="C19" s="137">
        <v>0.0043</v>
      </c>
      <c r="D19" s="116">
        <v>1.001795</v>
      </c>
      <c r="E19" s="31"/>
      <c r="F19" s="31"/>
      <c r="H19" s="11" t="s">
        <v>126</v>
      </c>
      <c r="I19" s="98">
        <v>0.05852</v>
      </c>
      <c r="J19" s="31"/>
      <c r="K19" s="31"/>
      <c r="L19" s="31"/>
      <c r="M19" s="31"/>
      <c r="N19" s="31"/>
      <c r="O19" s="31"/>
      <c r="P19" s="31"/>
      <c r="Q19" s="31"/>
    </row>
    <row r="20">
      <c r="A20" s="133">
        <v>44894.0</v>
      </c>
      <c r="B20" s="136">
        <v>13087.35</v>
      </c>
      <c r="C20" s="137">
        <v>0.0072</v>
      </c>
      <c r="D20" s="116">
        <v>0.995675</v>
      </c>
      <c r="E20" s="31"/>
      <c r="F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>
      <c r="A21" s="133">
        <v>44893.0</v>
      </c>
      <c r="B21" s="136">
        <v>12993.95</v>
      </c>
      <c r="C21" s="137">
        <v>0.002</v>
      </c>
      <c r="D21" s="116">
        <v>0.992863</v>
      </c>
      <c r="E21" s="31"/>
      <c r="F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>
      <c r="A22" s="133">
        <v>44890.0</v>
      </c>
      <c r="B22" s="136">
        <v>12968.45</v>
      </c>
      <c r="C22" s="137">
        <v>0.0062</v>
      </c>
      <c r="D22" s="116">
        <v>0.998038</v>
      </c>
      <c r="E22" s="31"/>
      <c r="F22" s="31"/>
      <c r="H22" s="31"/>
      <c r="K22" s="31"/>
      <c r="L22" s="31"/>
      <c r="M22" s="31"/>
      <c r="N22" s="31"/>
      <c r="O22" s="31"/>
      <c r="P22" s="31"/>
      <c r="Q22" s="31"/>
    </row>
    <row r="23">
      <c r="A23" s="133">
        <v>44889.0</v>
      </c>
      <c r="B23" s="136">
        <v>12888.15</v>
      </c>
      <c r="C23" s="137">
        <v>9.0E-4</v>
      </c>
      <c r="D23" s="116">
        <v>0.993808</v>
      </c>
      <c r="E23" s="31"/>
      <c r="F23" s="31"/>
      <c r="H23" s="31"/>
      <c r="K23" s="31"/>
      <c r="L23" s="31"/>
      <c r="M23" s="31"/>
      <c r="N23" s="31"/>
      <c r="O23" s="31"/>
      <c r="P23" s="31"/>
      <c r="Q23" s="31"/>
    </row>
    <row r="24">
      <c r="A24" s="133">
        <v>44888.0</v>
      </c>
      <c r="B24" s="136">
        <v>12876.95</v>
      </c>
      <c r="C24" s="137">
        <v>0.0032</v>
      </c>
      <c r="D24" s="116">
        <v>0.999131</v>
      </c>
      <c r="E24" s="31"/>
      <c r="F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>
      <c r="A25" s="133">
        <v>44887.0</v>
      </c>
      <c r="B25" s="136">
        <v>12836.35</v>
      </c>
      <c r="C25" s="137">
        <v>0.0033</v>
      </c>
      <c r="D25" s="116">
        <v>0.996847</v>
      </c>
      <c r="E25" s="31"/>
      <c r="F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>
      <c r="A26" s="133">
        <v>44886.0</v>
      </c>
      <c r="B26" s="134">
        <v>12794.6</v>
      </c>
      <c r="C26" s="135">
        <v>-0.0052</v>
      </c>
      <c r="D26" s="116">
        <v>0.996748</v>
      </c>
      <c r="E26" s="31"/>
      <c r="F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>
      <c r="A27" s="133">
        <v>44883.0</v>
      </c>
      <c r="B27" s="134">
        <v>12861.4</v>
      </c>
      <c r="C27" s="135">
        <v>-0.0067</v>
      </c>
      <c r="D27" s="116">
        <v>1.005221</v>
      </c>
      <c r="E27" s="31"/>
      <c r="F27" s="31"/>
      <c r="H27" s="31"/>
      <c r="I27" s="139" t="s">
        <v>127</v>
      </c>
      <c r="L27" s="31"/>
      <c r="M27" s="31"/>
      <c r="N27" s="31"/>
      <c r="O27" s="31"/>
      <c r="P27" s="31"/>
      <c r="Q27" s="31"/>
    </row>
    <row r="28">
      <c r="A28" s="133">
        <v>44882.0</v>
      </c>
      <c r="B28" s="134">
        <v>12948.25</v>
      </c>
      <c r="C28" s="135">
        <v>-0.0039</v>
      </c>
      <c r="D28" s="116">
        <v>1.006753</v>
      </c>
      <c r="E28" s="31"/>
      <c r="F28" s="31"/>
      <c r="H28" s="31"/>
      <c r="L28" s="31"/>
      <c r="M28" s="31"/>
      <c r="N28" s="31"/>
      <c r="O28" s="31"/>
      <c r="P28" s="31"/>
      <c r="Q28" s="31"/>
    </row>
    <row r="29">
      <c r="A29" s="133">
        <v>44881.0</v>
      </c>
      <c r="B29" s="134">
        <v>12998.5</v>
      </c>
      <c r="C29" s="135">
        <v>-0.0029</v>
      </c>
      <c r="D29" s="116">
        <v>1.003881</v>
      </c>
      <c r="E29" s="31"/>
      <c r="F29" s="31"/>
      <c r="H29" s="31"/>
      <c r="L29" s="31"/>
      <c r="M29" s="31"/>
      <c r="N29" s="31"/>
      <c r="O29" s="31"/>
      <c r="P29" s="31"/>
      <c r="Q29" s="31"/>
    </row>
    <row r="30">
      <c r="A30" s="133">
        <v>44880.0</v>
      </c>
      <c r="B30" s="136">
        <v>13036.9</v>
      </c>
      <c r="C30" s="137">
        <v>0.0013</v>
      </c>
      <c r="D30" s="116">
        <v>1.002954</v>
      </c>
      <c r="E30" s="31"/>
      <c r="F30" s="31"/>
      <c r="H30" s="31"/>
      <c r="L30" s="31"/>
      <c r="M30" s="31"/>
      <c r="N30" s="31"/>
      <c r="O30" s="31"/>
      <c r="P30" s="31"/>
      <c r="Q30" s="31"/>
    </row>
    <row r="31">
      <c r="A31" s="133">
        <v>44879.0</v>
      </c>
      <c r="B31" s="136">
        <v>13019.85</v>
      </c>
      <c r="C31" s="137">
        <v>3.0E-4</v>
      </c>
      <c r="D31" s="116">
        <v>0.998692</v>
      </c>
      <c r="E31" s="31"/>
      <c r="F31" s="31"/>
      <c r="H31" s="31"/>
      <c r="L31" s="31"/>
      <c r="M31" s="31"/>
      <c r="N31" s="31"/>
      <c r="O31" s="31"/>
      <c r="P31" s="31"/>
      <c r="Q31" s="31"/>
    </row>
    <row r="32">
      <c r="A32" s="133">
        <v>44876.0</v>
      </c>
      <c r="B32" s="136">
        <v>13015.65</v>
      </c>
      <c r="C32" s="137">
        <v>0.0025</v>
      </c>
      <c r="D32" s="116">
        <v>0.999677</v>
      </c>
      <c r="E32" s="31"/>
      <c r="F32" s="31"/>
      <c r="H32" s="31"/>
      <c r="L32" s="31"/>
      <c r="M32" s="31"/>
      <c r="N32" s="31"/>
      <c r="O32" s="31"/>
      <c r="P32" s="31"/>
      <c r="Q32" s="31"/>
    </row>
    <row r="33">
      <c r="A33" s="133">
        <v>44875.0</v>
      </c>
      <c r="B33" s="134">
        <v>12983.1</v>
      </c>
      <c r="C33" s="135">
        <v>-0.0074</v>
      </c>
      <c r="D33" s="116">
        <v>0.997499</v>
      </c>
      <c r="E33" s="31"/>
      <c r="F33" s="31"/>
      <c r="H33" s="31"/>
      <c r="L33" s="31"/>
      <c r="M33" s="31"/>
      <c r="N33" s="31"/>
      <c r="O33" s="31"/>
      <c r="P33" s="31"/>
      <c r="Q33" s="31"/>
    </row>
    <row r="34">
      <c r="A34" s="138">
        <v>44874.0</v>
      </c>
      <c r="B34" s="134">
        <v>13079.5</v>
      </c>
      <c r="C34" s="135">
        <v>-0.0114</v>
      </c>
      <c r="D34" s="116">
        <v>1.007425</v>
      </c>
      <c r="E34" s="31"/>
      <c r="F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>
      <c r="A35" s="138">
        <v>44872.0</v>
      </c>
      <c r="B35" s="134">
        <v>13230.0</v>
      </c>
      <c r="C35" s="135">
        <v>-0.0143</v>
      </c>
      <c r="D35" s="116">
        <v>1.011507</v>
      </c>
      <c r="E35" s="31"/>
      <c r="F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>
      <c r="A36" s="138">
        <v>44869.0</v>
      </c>
      <c r="B36" s="134">
        <v>13422.15</v>
      </c>
      <c r="C36" s="135">
        <v>-0.0102</v>
      </c>
      <c r="D36" s="116">
        <v>1.014524</v>
      </c>
      <c r="E36" s="31"/>
      <c r="F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>
      <c r="A37" s="138">
        <v>44868.0</v>
      </c>
      <c r="B37" s="136">
        <v>13559.95</v>
      </c>
      <c r="C37" s="137">
        <v>2.0E-4</v>
      </c>
      <c r="D37" s="116">
        <v>1.010267</v>
      </c>
      <c r="E37" s="31"/>
      <c r="F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>
      <c r="A38" s="138">
        <v>44867.0</v>
      </c>
      <c r="B38" s="136">
        <v>13556.9</v>
      </c>
      <c r="C38" s="137">
        <v>0.0048</v>
      </c>
      <c r="D38" s="116">
        <v>0.999775</v>
      </c>
      <c r="E38" s="31"/>
      <c r="F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>
      <c r="A39" s="138">
        <v>44866.0</v>
      </c>
      <c r="B39" s="136">
        <v>13492.05</v>
      </c>
      <c r="C39" s="137">
        <v>0.0212</v>
      </c>
      <c r="D39" s="116">
        <v>0.995216</v>
      </c>
      <c r="E39" s="31"/>
      <c r="F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>
      <c r="A40" s="133">
        <v>44865.0</v>
      </c>
      <c r="B40" s="136">
        <v>13212.25</v>
      </c>
      <c r="C40" s="137">
        <v>0.0126</v>
      </c>
      <c r="D40" s="116">
        <v>0.979262</v>
      </c>
      <c r="E40" s="31"/>
      <c r="F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>
      <c r="A41" s="133">
        <v>44862.0</v>
      </c>
      <c r="B41" s="134">
        <v>13048.3</v>
      </c>
      <c r="C41" s="135">
        <v>-0.0136</v>
      </c>
      <c r="D41" s="116">
        <v>0.987591</v>
      </c>
      <c r="E41" s="31"/>
      <c r="F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>
      <c r="A42" s="133">
        <v>44861.0</v>
      </c>
      <c r="B42" s="136">
        <v>13228.05</v>
      </c>
      <c r="C42" s="137">
        <v>0.0088</v>
      </c>
      <c r="D42" s="116">
        <v>1.013776</v>
      </c>
      <c r="E42" s="31"/>
      <c r="F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>
      <c r="A43" s="133">
        <v>44859.0</v>
      </c>
      <c r="B43" s="136">
        <v>13112.2</v>
      </c>
      <c r="C43" s="137">
        <v>0.0039</v>
      </c>
      <c r="D43" s="116">
        <v>0.991242</v>
      </c>
      <c r="E43" s="31"/>
      <c r="F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>
      <c r="A44" s="133">
        <v>44858.0</v>
      </c>
      <c r="B44" s="136">
        <v>13061.1</v>
      </c>
      <c r="C44" s="137">
        <v>0.0063</v>
      </c>
      <c r="D44" s="116">
        <v>0.996103</v>
      </c>
      <c r="E44" s="31"/>
      <c r="F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>
      <c r="A45" s="133">
        <v>44855.0</v>
      </c>
      <c r="B45" s="134">
        <v>12979.4</v>
      </c>
      <c r="C45" s="135">
        <v>-0.0084</v>
      </c>
      <c r="D45" s="116">
        <v>0.993745</v>
      </c>
      <c r="E45" s="31"/>
      <c r="F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>
      <c r="A46" s="133">
        <v>44854.0</v>
      </c>
      <c r="B46" s="136">
        <v>13089.2</v>
      </c>
      <c r="C46" s="137">
        <v>0.0052</v>
      </c>
      <c r="D46" s="116">
        <v>1.00846</v>
      </c>
      <c r="E46" s="31"/>
      <c r="F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>
      <c r="A47" s="133">
        <v>44853.0</v>
      </c>
      <c r="B47" s="136">
        <v>13021.75</v>
      </c>
      <c r="C47" s="137">
        <v>0.001</v>
      </c>
      <c r="D47" s="116">
        <v>0.994847</v>
      </c>
      <c r="E47" s="31"/>
      <c r="F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>
      <c r="A48" s="133">
        <v>44852.0</v>
      </c>
      <c r="B48" s="136">
        <v>13008.25</v>
      </c>
      <c r="C48" s="137">
        <v>0.002</v>
      </c>
      <c r="D48" s="116">
        <v>0.998963</v>
      </c>
      <c r="E48" s="31"/>
      <c r="F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>
      <c r="A49" s="133">
        <v>44851.0</v>
      </c>
      <c r="B49" s="136">
        <v>12982.4</v>
      </c>
      <c r="C49" s="137">
        <v>0.0025</v>
      </c>
      <c r="D49" s="116">
        <v>0.998013</v>
      </c>
      <c r="E49" s="31"/>
      <c r="F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>
      <c r="A50" s="133">
        <v>44848.0</v>
      </c>
      <c r="B50" s="136">
        <v>12950.45</v>
      </c>
      <c r="C50" s="137">
        <v>0.0065</v>
      </c>
      <c r="D50" s="116">
        <v>0.997539</v>
      </c>
      <c r="E50" s="31"/>
      <c r="F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>
      <c r="A51" s="133">
        <v>44847.0</v>
      </c>
      <c r="B51" s="136">
        <v>12867.15</v>
      </c>
      <c r="C51" s="137">
        <v>0.0022</v>
      </c>
      <c r="D51" s="116">
        <v>0.993568</v>
      </c>
      <c r="E51" s="31"/>
      <c r="F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>
      <c r="A52" s="133">
        <v>44846.0</v>
      </c>
      <c r="B52" s="136">
        <v>12839.35</v>
      </c>
      <c r="C52" s="137">
        <v>0.001</v>
      </c>
      <c r="D52" s="116">
        <v>0.997839</v>
      </c>
      <c r="E52" s="31"/>
      <c r="F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>
      <c r="A53" s="133">
        <v>44845.0</v>
      </c>
      <c r="B53" s="134">
        <v>12826.8</v>
      </c>
      <c r="C53" s="135">
        <v>-0.0155</v>
      </c>
      <c r="D53" s="116">
        <v>0.999023</v>
      </c>
      <c r="E53" s="31"/>
      <c r="F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>
      <c r="A54" s="133">
        <v>44844.0</v>
      </c>
      <c r="B54" s="134">
        <v>13028.4</v>
      </c>
      <c r="C54" s="135">
        <v>-0.0081</v>
      </c>
      <c r="D54" s="116">
        <v>1.015717</v>
      </c>
      <c r="E54" s="31"/>
      <c r="F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>
      <c r="A55" s="138">
        <v>44841.0</v>
      </c>
      <c r="B55" s="134">
        <v>13134.7</v>
      </c>
      <c r="C55" s="135">
        <v>-0.004</v>
      </c>
      <c r="D55" s="116">
        <v>1.008159</v>
      </c>
      <c r="E55" s="31"/>
      <c r="F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>
      <c r="A56" s="138">
        <v>44840.0</v>
      </c>
      <c r="B56" s="134">
        <v>13188.0</v>
      </c>
      <c r="C56" s="135">
        <v>-0.0034</v>
      </c>
      <c r="D56" s="116">
        <v>1.004058</v>
      </c>
      <c r="E56" s="31"/>
      <c r="F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>
      <c r="A57" s="138">
        <v>44838.0</v>
      </c>
      <c r="B57" s="136">
        <v>13233.45</v>
      </c>
      <c r="C57" s="137">
        <v>0.0087</v>
      </c>
      <c r="D57" s="116">
        <v>1.003446</v>
      </c>
      <c r="E57" s="31"/>
      <c r="F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>
      <c r="A58" s="138">
        <v>44837.0</v>
      </c>
      <c r="B58" s="136">
        <v>13118.95</v>
      </c>
      <c r="C58" s="137">
        <v>0.0113</v>
      </c>
      <c r="D58" s="116">
        <v>0.991348</v>
      </c>
      <c r="E58" s="31"/>
      <c r="F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59">
      <c r="A59" s="133">
        <v>44834.0</v>
      </c>
      <c r="B59" s="136">
        <v>12971.9</v>
      </c>
      <c r="C59" s="137">
        <v>0.0076</v>
      </c>
      <c r="D59" s="116">
        <v>0.988791</v>
      </c>
      <c r="E59" s="31"/>
      <c r="F59" s="31"/>
      <c r="H59" s="31"/>
      <c r="I59" s="31"/>
      <c r="J59" s="31"/>
      <c r="K59" s="31"/>
      <c r="L59" s="31"/>
      <c r="M59" s="31"/>
      <c r="N59" s="31"/>
      <c r="O59" s="31"/>
      <c r="P59" s="31"/>
      <c r="Q59" s="31"/>
    </row>
    <row r="60">
      <c r="A60" s="133">
        <v>44833.0</v>
      </c>
      <c r="B60" s="136">
        <v>12874.3</v>
      </c>
      <c r="C60" s="137">
        <v>0.0133</v>
      </c>
      <c r="D60" s="116">
        <v>0.992476</v>
      </c>
      <c r="E60" s="31"/>
      <c r="F60" s="31"/>
      <c r="H60" s="31"/>
      <c r="I60" s="31"/>
      <c r="J60" s="31"/>
      <c r="K60" s="31"/>
      <c r="L60" s="31"/>
      <c r="M60" s="31"/>
      <c r="N60" s="31"/>
      <c r="O60" s="31"/>
      <c r="P60" s="31"/>
      <c r="Q60" s="31"/>
    </row>
    <row r="61">
      <c r="A61" s="133">
        <v>44832.0</v>
      </c>
      <c r="B61" s="136">
        <v>12705.4</v>
      </c>
      <c r="C61" s="137">
        <v>0.0085</v>
      </c>
      <c r="D61" s="116">
        <v>0.986881</v>
      </c>
      <c r="E61" s="31"/>
      <c r="F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>
      <c r="A62" s="133">
        <v>44831.0</v>
      </c>
      <c r="B62" s="136">
        <v>12598.0</v>
      </c>
      <c r="C62" s="137">
        <v>0.0098</v>
      </c>
      <c r="D62" s="116">
        <v>0.991547</v>
      </c>
      <c r="E62" s="31"/>
      <c r="F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>
      <c r="A63" s="133">
        <v>44830.0</v>
      </c>
      <c r="B63" s="134">
        <v>12475.5</v>
      </c>
      <c r="C63" s="135">
        <v>-0.0107</v>
      </c>
      <c r="D63" s="116">
        <v>0.990276</v>
      </c>
      <c r="E63" s="31"/>
      <c r="F63" s="31"/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>
      <c r="A64" s="133">
        <v>44827.0</v>
      </c>
      <c r="B64" s="134">
        <v>12610.65</v>
      </c>
      <c r="C64" s="135">
        <v>-2.0E-4</v>
      </c>
      <c r="D64" s="116">
        <v>1.010833</v>
      </c>
      <c r="E64" s="31"/>
      <c r="F64" s="31"/>
      <c r="H64" s="31"/>
      <c r="I64" s="31"/>
      <c r="J64" s="31"/>
      <c r="K64" s="31"/>
      <c r="L64" s="31"/>
      <c r="M64" s="31"/>
      <c r="N64" s="31"/>
      <c r="O64" s="31"/>
      <c r="P64" s="31"/>
      <c r="Q64" s="31"/>
    </row>
    <row r="65">
      <c r="A65" s="133">
        <v>44826.0</v>
      </c>
      <c r="B65" s="136">
        <v>12612.85</v>
      </c>
      <c r="C65" s="137">
        <v>0.0031</v>
      </c>
      <c r="D65" s="116">
        <v>1.000174</v>
      </c>
      <c r="E65" s="31"/>
      <c r="F65" s="31"/>
      <c r="H65" s="31"/>
      <c r="I65" s="31"/>
      <c r="J65" s="31"/>
      <c r="K65" s="31"/>
      <c r="L65" s="31"/>
      <c r="M65" s="31"/>
      <c r="N65" s="31"/>
      <c r="O65" s="31"/>
      <c r="P65" s="31"/>
      <c r="Q65" s="31"/>
    </row>
    <row r="66">
      <c r="A66" s="133">
        <v>44825.0</v>
      </c>
      <c r="B66" s="134">
        <v>12573.55</v>
      </c>
      <c r="C66" s="135">
        <v>-0.0139</v>
      </c>
      <c r="D66" s="116">
        <v>0.996884</v>
      </c>
      <c r="E66" s="31"/>
      <c r="F66" s="31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>
      <c r="A67" s="133">
        <v>44824.0</v>
      </c>
      <c r="B67" s="136">
        <v>12750.7</v>
      </c>
      <c r="C67" s="137">
        <v>0.0308</v>
      </c>
      <c r="D67" s="116">
        <v>1.014089</v>
      </c>
      <c r="E67" s="31"/>
      <c r="F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>
      <c r="A68" s="133">
        <v>44823.0</v>
      </c>
      <c r="B68" s="136">
        <v>12369.6</v>
      </c>
      <c r="C68" s="137">
        <v>0.0018</v>
      </c>
      <c r="D68" s="116">
        <v>0.970111</v>
      </c>
      <c r="E68" s="31"/>
      <c r="F68" s="31"/>
      <c r="H68" s="31"/>
      <c r="I68" s="31"/>
      <c r="J68" s="31"/>
      <c r="K68" s="31"/>
      <c r="L68" s="31"/>
      <c r="M68" s="31"/>
      <c r="N68" s="31"/>
      <c r="O68" s="31"/>
      <c r="P68" s="31"/>
      <c r="Q68" s="31"/>
    </row>
    <row r="69">
      <c r="A69" s="133">
        <v>44820.0</v>
      </c>
      <c r="B69" s="134">
        <v>12346.85</v>
      </c>
      <c r="C69" s="135">
        <v>-0.0137</v>
      </c>
      <c r="D69" s="116">
        <v>0.998161</v>
      </c>
      <c r="E69" s="31"/>
      <c r="F69" s="31"/>
      <c r="H69" s="31"/>
      <c r="I69" s="31"/>
      <c r="J69" s="31"/>
      <c r="K69" s="31"/>
      <c r="L69" s="31"/>
      <c r="M69" s="31"/>
      <c r="N69" s="31"/>
      <c r="O69" s="31"/>
      <c r="P69" s="31"/>
      <c r="Q69" s="31"/>
    </row>
    <row r="70">
      <c r="A70" s="133">
        <v>44819.0</v>
      </c>
      <c r="B70" s="134">
        <v>12518.85</v>
      </c>
      <c r="C70" s="135">
        <v>-0.0129</v>
      </c>
      <c r="D70" s="116">
        <v>1.013931</v>
      </c>
      <c r="E70" s="31"/>
      <c r="F70" s="31"/>
      <c r="H70" s="31"/>
      <c r="I70" s="31"/>
      <c r="J70" s="31"/>
      <c r="K70" s="31"/>
      <c r="L70" s="31"/>
      <c r="M70" s="31"/>
      <c r="N70" s="31"/>
      <c r="O70" s="31"/>
      <c r="P70" s="31"/>
      <c r="Q70" s="31"/>
    </row>
    <row r="71">
      <c r="A71" s="133">
        <v>44818.0</v>
      </c>
      <c r="B71" s="134">
        <v>12682.2</v>
      </c>
      <c r="C71" s="135">
        <v>-0.005</v>
      </c>
      <c r="D71" s="116">
        <v>1.013048</v>
      </c>
      <c r="E71" s="31"/>
      <c r="F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  <row r="72">
      <c r="A72" s="133">
        <v>44817.0</v>
      </c>
      <c r="B72" s="136">
        <v>12745.6</v>
      </c>
      <c r="C72" s="137">
        <v>0.0024</v>
      </c>
      <c r="D72" s="116">
        <v>1.004999</v>
      </c>
      <c r="E72" s="31"/>
      <c r="F72" s="31"/>
      <c r="H72" s="31"/>
      <c r="I72" s="31"/>
      <c r="J72" s="31"/>
      <c r="K72" s="31"/>
      <c r="L72" s="31"/>
      <c r="M72" s="31"/>
      <c r="N72" s="31"/>
      <c r="O72" s="31"/>
      <c r="P72" s="31"/>
      <c r="Q72" s="31"/>
    </row>
    <row r="73">
      <c r="A73" s="133">
        <v>44816.0</v>
      </c>
      <c r="B73" s="136">
        <v>12715.25</v>
      </c>
      <c r="C73" s="137">
        <v>0.002</v>
      </c>
      <c r="D73" s="116">
        <v>0.997619</v>
      </c>
      <c r="E73" s="31"/>
      <c r="F73" s="31"/>
      <c r="H73" s="31"/>
      <c r="I73" s="31"/>
      <c r="J73" s="31"/>
      <c r="K73" s="31"/>
      <c r="L73" s="31"/>
      <c r="M73" s="31"/>
      <c r="N73" s="31"/>
      <c r="O73" s="31"/>
      <c r="P73" s="31"/>
      <c r="Q73" s="31"/>
    </row>
    <row r="74">
      <c r="A74" s="138">
        <v>44813.0</v>
      </c>
      <c r="B74" s="134">
        <v>12689.3</v>
      </c>
      <c r="C74" s="135">
        <v>-1.0E-4</v>
      </c>
      <c r="D74" s="116">
        <v>0.997959</v>
      </c>
      <c r="E74" s="31"/>
      <c r="F74" s="31"/>
      <c r="H74" s="31"/>
      <c r="I74" s="31"/>
      <c r="J74" s="31"/>
      <c r="K74" s="31"/>
      <c r="L74" s="31"/>
      <c r="M74" s="31"/>
      <c r="N74" s="31"/>
      <c r="O74" s="31"/>
      <c r="P74" s="31"/>
      <c r="Q74" s="31"/>
    </row>
    <row r="75">
      <c r="A75" s="138">
        <v>44812.0</v>
      </c>
      <c r="B75" s="134">
        <v>12689.95</v>
      </c>
      <c r="C75" s="135">
        <v>-5.0E-4</v>
      </c>
      <c r="D75" s="116">
        <v>1.000051</v>
      </c>
      <c r="E75" s="31"/>
      <c r="F75" s="31"/>
      <c r="H75" s="31"/>
      <c r="I75" s="31"/>
      <c r="J75" s="31"/>
      <c r="K75" s="31"/>
      <c r="L75" s="31"/>
      <c r="M75" s="31"/>
      <c r="N75" s="31"/>
      <c r="O75" s="31"/>
      <c r="P75" s="31"/>
      <c r="Q75" s="31"/>
    </row>
    <row r="76">
      <c r="A76" s="138">
        <v>44811.0</v>
      </c>
      <c r="B76" s="136">
        <v>12696.3</v>
      </c>
      <c r="C76" s="137">
        <v>0.0078</v>
      </c>
      <c r="D76" s="116">
        <v>1.0005</v>
      </c>
      <c r="E76" s="31"/>
      <c r="F76" s="31"/>
      <c r="H76" s="31"/>
      <c r="I76" s="31"/>
      <c r="J76" s="31"/>
      <c r="K76" s="31"/>
      <c r="L76" s="31"/>
      <c r="M76" s="31"/>
      <c r="N76" s="31"/>
      <c r="O76" s="31"/>
      <c r="P76" s="31"/>
      <c r="Q76" s="31"/>
    </row>
    <row r="77">
      <c r="A77" s="138">
        <v>44810.0</v>
      </c>
      <c r="B77" s="136">
        <v>12598.0</v>
      </c>
      <c r="C77" s="137">
        <v>0.0026</v>
      </c>
      <c r="D77" s="116">
        <v>0.992258</v>
      </c>
      <c r="E77" s="31"/>
      <c r="F77" s="31"/>
      <c r="H77" s="31"/>
      <c r="I77" s="31"/>
      <c r="J77" s="31"/>
      <c r="K77" s="31"/>
      <c r="L77" s="31"/>
      <c r="M77" s="31"/>
      <c r="N77" s="31"/>
      <c r="O77" s="31"/>
      <c r="P77" s="31"/>
      <c r="Q77" s="31"/>
    </row>
    <row r="78">
      <c r="A78" s="138">
        <v>44809.0</v>
      </c>
      <c r="B78" s="136">
        <v>12565.55</v>
      </c>
      <c r="C78" s="137">
        <v>0.0047</v>
      </c>
      <c r="D78" s="116">
        <v>0.997424</v>
      </c>
      <c r="E78" s="31"/>
      <c r="F78" s="31"/>
      <c r="H78" s="31"/>
      <c r="I78" s="31"/>
      <c r="J78" s="31"/>
      <c r="K78" s="31"/>
      <c r="L78" s="31"/>
      <c r="M78" s="31"/>
      <c r="N78" s="31"/>
      <c r="O78" s="31"/>
      <c r="P78" s="31"/>
      <c r="Q78" s="31"/>
    </row>
    <row r="79">
      <c r="A79" s="138">
        <v>44806.0</v>
      </c>
      <c r="B79" s="134">
        <v>12506.15</v>
      </c>
      <c r="C79" s="135">
        <v>-0.0039</v>
      </c>
      <c r="D79" s="116">
        <v>0.995273</v>
      </c>
      <c r="E79" s="31"/>
      <c r="F79" s="31"/>
      <c r="H79" s="31"/>
      <c r="I79" s="31"/>
      <c r="J79" s="31"/>
      <c r="K79" s="31"/>
      <c r="L79" s="31"/>
      <c r="M79" s="31"/>
      <c r="N79" s="31"/>
      <c r="O79" s="31"/>
      <c r="P79" s="31"/>
      <c r="Q79" s="31"/>
    </row>
    <row r="80">
      <c r="A80" s="138">
        <v>44805.0</v>
      </c>
      <c r="B80" s="134">
        <v>12555.0</v>
      </c>
      <c r="C80" s="135">
        <v>-0.0114</v>
      </c>
      <c r="D80" s="116">
        <v>1.003906</v>
      </c>
      <c r="E80" s="31"/>
      <c r="F80" s="31"/>
      <c r="H80" s="31"/>
      <c r="I80" s="31"/>
      <c r="J80" s="31"/>
      <c r="K80" s="31"/>
      <c r="L80" s="31"/>
      <c r="M80" s="31"/>
      <c r="N80" s="31"/>
      <c r="O80" s="31"/>
      <c r="P80" s="31"/>
      <c r="Q80" s="31"/>
    </row>
    <row r="81">
      <c r="A81" s="133">
        <v>44803.0</v>
      </c>
      <c r="B81" s="136">
        <v>12699.4</v>
      </c>
      <c r="C81" s="137">
        <v>0.0122</v>
      </c>
      <c r="D81" s="116">
        <v>1.011501</v>
      </c>
      <c r="E81" s="31"/>
      <c r="F81" s="31"/>
      <c r="H81" s="31"/>
      <c r="I81" s="31"/>
      <c r="J81" s="31"/>
      <c r="K81" s="31"/>
      <c r="L81" s="31"/>
      <c r="M81" s="31"/>
      <c r="N81" s="31"/>
      <c r="O81" s="31"/>
      <c r="P81" s="31"/>
      <c r="Q81" s="31"/>
    </row>
    <row r="82">
      <c r="A82" s="133">
        <v>44802.0</v>
      </c>
      <c r="B82" s="134">
        <v>12545.75</v>
      </c>
      <c r="C82" s="135">
        <v>-0.0028</v>
      </c>
      <c r="D82" s="116">
        <v>0.987901</v>
      </c>
      <c r="E82" s="31"/>
      <c r="F82" s="31"/>
      <c r="H82" s="31"/>
      <c r="I82" s="31"/>
      <c r="J82" s="31"/>
      <c r="K82" s="31"/>
      <c r="L82" s="31"/>
      <c r="M82" s="31"/>
      <c r="N82" s="31"/>
      <c r="O82" s="31"/>
      <c r="P82" s="31"/>
      <c r="Q82" s="31"/>
    </row>
    <row r="83">
      <c r="A83" s="133">
        <v>44799.0</v>
      </c>
      <c r="B83" s="134">
        <v>12580.45</v>
      </c>
      <c r="C83" s="135">
        <v>-0.001</v>
      </c>
      <c r="D83" s="116">
        <v>1.002766</v>
      </c>
      <c r="E83" s="31"/>
      <c r="F83" s="31"/>
      <c r="H83" s="31"/>
      <c r="I83" s="31"/>
      <c r="J83" s="31"/>
      <c r="K83" s="31"/>
      <c r="L83" s="31"/>
      <c r="M83" s="31"/>
      <c r="N83" s="31"/>
      <c r="O83" s="31"/>
      <c r="P83" s="31"/>
      <c r="Q83" s="31"/>
    </row>
    <row r="84">
      <c r="A84" s="133">
        <v>44798.0</v>
      </c>
      <c r="B84" s="134">
        <v>12593.25</v>
      </c>
      <c r="C84" s="135">
        <v>-0.004</v>
      </c>
      <c r="D84" s="116">
        <v>1.001017</v>
      </c>
      <c r="E84" s="31"/>
      <c r="F84" s="31"/>
      <c r="H84" s="31"/>
      <c r="I84" s="31"/>
      <c r="J84" s="31"/>
      <c r="K84" s="31"/>
      <c r="L84" s="31"/>
      <c r="M84" s="31"/>
      <c r="N84" s="31"/>
      <c r="O84" s="31"/>
      <c r="P84" s="31"/>
      <c r="Q84" s="31"/>
    </row>
    <row r="85">
      <c r="A85" s="133">
        <v>44797.0</v>
      </c>
      <c r="B85" s="134">
        <v>12644.0</v>
      </c>
      <c r="C85" s="135">
        <v>-0.0031</v>
      </c>
      <c r="D85" s="116">
        <v>1.00403</v>
      </c>
      <c r="E85" s="31"/>
      <c r="F85" s="31"/>
      <c r="H85" s="31"/>
      <c r="I85" s="31"/>
      <c r="J85" s="31"/>
      <c r="K85" s="31"/>
      <c r="L85" s="31"/>
      <c r="M85" s="31"/>
      <c r="N85" s="31"/>
      <c r="O85" s="31"/>
      <c r="P85" s="31"/>
      <c r="Q85" s="31"/>
    </row>
    <row r="86">
      <c r="A86" s="133">
        <v>44796.0</v>
      </c>
      <c r="B86" s="136">
        <v>12683.55</v>
      </c>
      <c r="C86" s="137">
        <v>0.0076</v>
      </c>
      <c r="D86" s="116">
        <v>1.003128</v>
      </c>
      <c r="E86" s="31"/>
      <c r="F86" s="31"/>
      <c r="H86" s="31"/>
      <c r="I86" s="31"/>
      <c r="J86" s="31"/>
      <c r="K86" s="31"/>
      <c r="L86" s="31"/>
      <c r="M86" s="31"/>
      <c r="N86" s="31"/>
      <c r="O86" s="31"/>
      <c r="P86" s="31"/>
      <c r="Q86" s="31"/>
    </row>
    <row r="87">
      <c r="A87" s="133">
        <v>44795.0</v>
      </c>
      <c r="B87" s="134">
        <v>12588.25</v>
      </c>
      <c r="C87" s="135">
        <v>-0.0165</v>
      </c>
      <c r="D87" s="116">
        <v>0.992486</v>
      </c>
      <c r="E87" s="31"/>
      <c r="F87" s="31"/>
      <c r="H87" s="31"/>
      <c r="I87" s="31"/>
      <c r="J87" s="31"/>
      <c r="K87" s="31"/>
      <c r="L87" s="31"/>
      <c r="M87" s="31"/>
      <c r="N87" s="31"/>
      <c r="O87" s="31"/>
      <c r="P87" s="31"/>
      <c r="Q87" s="31"/>
    </row>
    <row r="88">
      <c r="A88" s="133">
        <v>44792.0</v>
      </c>
      <c r="B88" s="134">
        <v>12799.95</v>
      </c>
      <c r="C88" s="135">
        <v>-0.0105</v>
      </c>
      <c r="D88" s="116">
        <v>1.016817</v>
      </c>
      <c r="E88" s="31"/>
      <c r="F88" s="31"/>
      <c r="H88" s="31"/>
      <c r="I88" s="31"/>
      <c r="J88" s="31"/>
      <c r="K88" s="31"/>
      <c r="L88" s="31"/>
      <c r="M88" s="31"/>
      <c r="N88" s="31"/>
      <c r="O88" s="31"/>
      <c r="P88" s="31"/>
      <c r="Q88" s="31"/>
    </row>
    <row r="89">
      <c r="A89" s="133">
        <v>44791.0</v>
      </c>
      <c r="B89" s="134">
        <v>12935.75</v>
      </c>
      <c r="C89" s="135">
        <v>-0.0034</v>
      </c>
      <c r="D89" s="116">
        <v>1.010609</v>
      </c>
      <c r="E89" s="31"/>
      <c r="F89" s="31"/>
      <c r="H89" s="31"/>
      <c r="I89" s="31"/>
      <c r="J89" s="31"/>
      <c r="K89" s="31"/>
      <c r="L89" s="31"/>
      <c r="M89" s="31"/>
      <c r="N89" s="31"/>
      <c r="O89" s="31"/>
      <c r="P89" s="31"/>
      <c r="Q89" s="31"/>
    </row>
    <row r="90">
      <c r="A90" s="133">
        <v>44790.0</v>
      </c>
      <c r="B90" s="136">
        <v>12979.25</v>
      </c>
      <c r="C90" s="137">
        <v>0.0035</v>
      </c>
      <c r="D90" s="116">
        <v>1.003363</v>
      </c>
      <c r="E90" s="31"/>
      <c r="F90" s="31"/>
      <c r="H90" s="31"/>
      <c r="I90" s="31"/>
      <c r="J90" s="31"/>
      <c r="K90" s="31"/>
      <c r="L90" s="31"/>
      <c r="M90" s="31"/>
      <c r="N90" s="31"/>
      <c r="O90" s="31"/>
      <c r="P90" s="31"/>
      <c r="Q90" s="31"/>
    </row>
    <row r="91">
      <c r="A91" s="133">
        <v>44789.0</v>
      </c>
      <c r="B91" s="136">
        <v>12933.85</v>
      </c>
      <c r="C91" s="137">
        <v>0.0054</v>
      </c>
      <c r="D91" s="116">
        <v>0.996502</v>
      </c>
      <c r="E91" s="31"/>
      <c r="F91" s="31"/>
      <c r="H91" s="31"/>
      <c r="I91" s="31"/>
      <c r="J91" s="31"/>
      <c r="K91" s="31"/>
      <c r="L91" s="31"/>
      <c r="M91" s="31"/>
      <c r="N91" s="31"/>
      <c r="O91" s="31"/>
      <c r="P91" s="31"/>
      <c r="Q91" s="31"/>
    </row>
    <row r="92">
      <c r="A92" s="133">
        <v>44785.0</v>
      </c>
      <c r="B92" s="134">
        <v>12864.0</v>
      </c>
      <c r="C92" s="135">
        <v>-0.0115</v>
      </c>
      <c r="D92" s="116">
        <v>0.994599</v>
      </c>
      <c r="E92" s="31"/>
      <c r="F92" s="31"/>
      <c r="H92" s="31"/>
      <c r="I92" s="31"/>
      <c r="J92" s="31"/>
      <c r="K92" s="31"/>
      <c r="L92" s="31"/>
      <c r="M92" s="31"/>
      <c r="N92" s="31"/>
      <c r="O92" s="31"/>
      <c r="P92" s="31"/>
      <c r="Q92" s="31"/>
    </row>
    <row r="93">
      <c r="A93" s="133">
        <v>44784.0</v>
      </c>
      <c r="B93" s="136">
        <v>13014.2</v>
      </c>
      <c r="C93" s="137">
        <v>0.0049</v>
      </c>
      <c r="D93" s="116">
        <v>1.011676</v>
      </c>
      <c r="E93" s="31"/>
      <c r="F93" s="31"/>
      <c r="H93" s="31"/>
      <c r="I93" s="31"/>
      <c r="J93" s="31"/>
      <c r="K93" s="31"/>
      <c r="L93" s="31"/>
      <c r="M93" s="31"/>
      <c r="N93" s="31"/>
      <c r="O93" s="31"/>
      <c r="P93" s="31"/>
      <c r="Q93" s="31"/>
    </row>
    <row r="94">
      <c r="A94" s="133">
        <v>44783.0</v>
      </c>
      <c r="B94" s="136">
        <v>12950.7</v>
      </c>
      <c r="C94" s="137">
        <v>8.0E-4</v>
      </c>
      <c r="D94" s="116">
        <v>0.995121</v>
      </c>
      <c r="E94" s="31"/>
      <c r="F94" s="31"/>
      <c r="H94" s="31"/>
      <c r="I94" s="31"/>
      <c r="J94" s="31"/>
      <c r="K94" s="31"/>
      <c r="L94" s="31"/>
      <c r="M94" s="31"/>
      <c r="N94" s="31"/>
      <c r="O94" s="31"/>
      <c r="P94" s="31"/>
      <c r="Q94" s="31"/>
    </row>
    <row r="95">
      <c r="A95" s="138">
        <v>44781.0</v>
      </c>
      <c r="B95" s="136">
        <v>12940.25</v>
      </c>
      <c r="C95" s="137">
        <v>0.0</v>
      </c>
      <c r="D95" s="116">
        <v>0.999193</v>
      </c>
      <c r="E95" s="31"/>
      <c r="F95" s="31"/>
      <c r="H95" s="31"/>
      <c r="I95" s="31"/>
      <c r="J95" s="31"/>
      <c r="K95" s="31"/>
      <c r="L95" s="31"/>
      <c r="M95" s="31"/>
      <c r="N95" s="31"/>
      <c r="O95" s="31"/>
      <c r="P95" s="31"/>
      <c r="Q95" s="31"/>
    </row>
    <row r="96">
      <c r="A96" s="138">
        <v>44778.0</v>
      </c>
      <c r="B96" s="134">
        <v>12939.75</v>
      </c>
      <c r="C96" s="135">
        <v>-0.0033</v>
      </c>
      <c r="D96" s="116">
        <v>0.999961</v>
      </c>
      <c r="E96" s="31"/>
      <c r="F96" s="31"/>
      <c r="H96" s="31"/>
      <c r="I96" s="31"/>
      <c r="J96" s="31"/>
      <c r="K96" s="31"/>
      <c r="L96" s="31"/>
      <c r="M96" s="31"/>
      <c r="N96" s="31"/>
      <c r="O96" s="31"/>
      <c r="P96" s="31"/>
      <c r="Q96" s="31"/>
    </row>
    <row r="97">
      <c r="A97" s="138">
        <v>44777.0</v>
      </c>
      <c r="B97" s="136">
        <v>12982.35</v>
      </c>
      <c r="C97" s="137">
        <v>0.0237</v>
      </c>
      <c r="D97" s="116">
        <v>1.003292</v>
      </c>
      <c r="E97" s="31"/>
      <c r="F97" s="31"/>
      <c r="H97" s="31"/>
      <c r="I97" s="31"/>
      <c r="J97" s="31"/>
      <c r="K97" s="31"/>
      <c r="L97" s="31"/>
      <c r="M97" s="31"/>
      <c r="N97" s="31"/>
      <c r="O97" s="31"/>
      <c r="P97" s="31"/>
      <c r="Q97" s="31"/>
    </row>
    <row r="98">
      <c r="A98" s="138">
        <v>44776.0</v>
      </c>
      <c r="B98" s="134">
        <v>12682.0</v>
      </c>
      <c r="C98" s="135">
        <v>-0.0077</v>
      </c>
      <c r="D98" s="116">
        <v>0.976865</v>
      </c>
      <c r="E98" s="31"/>
      <c r="F98" s="31"/>
      <c r="H98" s="31"/>
      <c r="I98" s="31"/>
      <c r="J98" s="31"/>
      <c r="K98" s="31"/>
      <c r="L98" s="31"/>
      <c r="M98" s="31"/>
      <c r="N98" s="31"/>
      <c r="O98" s="31"/>
      <c r="P98" s="31"/>
      <c r="Q98" s="31"/>
    </row>
    <row r="99">
      <c r="A99" s="138">
        <v>44775.0</v>
      </c>
      <c r="B99" s="136">
        <v>12780.4</v>
      </c>
      <c r="C99" s="137">
        <v>0.0011</v>
      </c>
      <c r="D99" s="116">
        <v>1.007759</v>
      </c>
      <c r="E99" s="31"/>
      <c r="F99" s="31"/>
      <c r="H99" s="31"/>
      <c r="I99" s="31"/>
      <c r="J99" s="31"/>
      <c r="K99" s="31"/>
      <c r="L99" s="31"/>
      <c r="M99" s="31"/>
      <c r="N99" s="31"/>
      <c r="O99" s="31"/>
      <c r="P99" s="31"/>
      <c r="Q99" s="31"/>
    </row>
    <row r="100">
      <c r="A100" s="138">
        <v>44774.0</v>
      </c>
      <c r="B100" s="134">
        <v>12766.85</v>
      </c>
      <c r="C100" s="135">
        <v>-8.0E-4</v>
      </c>
      <c r="D100" s="116">
        <v>0.99894</v>
      </c>
      <c r="E100" s="31"/>
      <c r="F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</row>
    <row r="101">
      <c r="A101" s="133">
        <v>44771.0</v>
      </c>
      <c r="B101" s="136">
        <v>12776.55</v>
      </c>
      <c r="C101" s="137">
        <v>0.0092</v>
      </c>
      <c r="D101" s="116">
        <v>1.00076</v>
      </c>
      <c r="E101" s="31"/>
      <c r="F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</row>
    <row r="102">
      <c r="A102" s="133">
        <v>44770.0</v>
      </c>
      <c r="B102" s="136">
        <v>12660.65</v>
      </c>
      <c r="C102" s="137">
        <v>0.0025</v>
      </c>
      <c r="D102" s="116">
        <v>0.990929</v>
      </c>
      <c r="E102" s="31"/>
      <c r="F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>
      <c r="A103" s="133">
        <v>44769.0</v>
      </c>
      <c r="B103" s="136">
        <v>12628.95</v>
      </c>
      <c r="C103" s="137">
        <v>0.0233</v>
      </c>
      <c r="D103" s="116">
        <v>0.997496</v>
      </c>
      <c r="E103" s="31"/>
      <c r="F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</row>
    <row r="104">
      <c r="A104" s="133">
        <v>44768.0</v>
      </c>
      <c r="B104" s="134">
        <v>12341.9</v>
      </c>
      <c r="C104" s="135">
        <v>-0.0118</v>
      </c>
      <c r="D104" s="116">
        <v>0.97727</v>
      </c>
      <c r="E104" s="31"/>
      <c r="F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</row>
    <row r="105">
      <c r="A105" s="133">
        <v>44767.0</v>
      </c>
      <c r="B105" s="134">
        <v>12488.8</v>
      </c>
      <c r="C105" s="135">
        <v>-0.0102</v>
      </c>
      <c r="D105" s="116">
        <v>1.011903</v>
      </c>
      <c r="E105" s="31"/>
      <c r="F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</row>
    <row r="106">
      <c r="A106" s="133">
        <v>44764.0</v>
      </c>
      <c r="B106" s="134">
        <v>12617.55</v>
      </c>
      <c r="C106" s="135">
        <v>-0.0027</v>
      </c>
      <c r="D106" s="116">
        <v>1.010309</v>
      </c>
      <c r="E106" s="31"/>
      <c r="F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</row>
    <row r="107">
      <c r="A107" s="133">
        <v>44763.0</v>
      </c>
      <c r="B107" s="134">
        <v>12651.75</v>
      </c>
      <c r="C107" s="135">
        <v>-0.0047</v>
      </c>
      <c r="D107" s="116">
        <v>1.002711</v>
      </c>
      <c r="E107" s="31"/>
      <c r="F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</row>
    <row r="108">
      <c r="A108" s="133">
        <v>44762.0</v>
      </c>
      <c r="B108" s="136">
        <v>12711.5</v>
      </c>
      <c r="C108" s="137">
        <v>0.0023</v>
      </c>
      <c r="D108" s="116">
        <v>1.004723</v>
      </c>
      <c r="E108" s="31"/>
      <c r="F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</row>
    <row r="109">
      <c r="A109" s="133">
        <v>44761.0</v>
      </c>
      <c r="B109" s="134">
        <v>12682.2</v>
      </c>
      <c r="C109" s="135">
        <v>-0.0025</v>
      </c>
      <c r="D109" s="116">
        <v>0.997695</v>
      </c>
      <c r="E109" s="31"/>
      <c r="F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</row>
    <row r="110">
      <c r="A110" s="133">
        <v>44760.0</v>
      </c>
      <c r="B110" s="134">
        <v>12713.45</v>
      </c>
      <c r="C110" s="135">
        <v>-0.0015</v>
      </c>
      <c r="D110" s="116">
        <v>1.002464</v>
      </c>
      <c r="E110" s="31"/>
      <c r="F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</row>
    <row r="111">
      <c r="A111" s="133">
        <v>44757.0</v>
      </c>
      <c r="B111" s="136">
        <v>12732.0</v>
      </c>
      <c r="C111" s="137">
        <v>9.0E-4</v>
      </c>
      <c r="D111" s="116">
        <v>1.001459</v>
      </c>
      <c r="E111" s="31"/>
      <c r="F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</row>
    <row r="112">
      <c r="A112" s="133">
        <v>44756.0</v>
      </c>
      <c r="B112" s="136">
        <v>12721.0</v>
      </c>
      <c r="C112" s="137">
        <v>0.0078</v>
      </c>
      <c r="D112" s="116">
        <v>0.999136</v>
      </c>
      <c r="E112" s="31"/>
      <c r="F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</row>
    <row r="113">
      <c r="A113" s="133">
        <v>44755.0</v>
      </c>
      <c r="B113" s="136">
        <v>12622.3</v>
      </c>
      <c r="C113" s="137">
        <v>0.0138</v>
      </c>
      <c r="D113" s="116">
        <v>0.992241</v>
      </c>
      <c r="E113" s="31"/>
      <c r="F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</row>
    <row r="114">
      <c r="A114" s="133">
        <v>44754.0</v>
      </c>
      <c r="B114" s="134">
        <v>12450.65</v>
      </c>
      <c r="C114" s="135">
        <v>-0.0091</v>
      </c>
      <c r="D114" s="116">
        <v>0.986401</v>
      </c>
      <c r="E114" s="31"/>
      <c r="F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</row>
    <row r="115">
      <c r="A115" s="133">
        <v>44753.0</v>
      </c>
      <c r="B115" s="136">
        <v>12564.85</v>
      </c>
      <c r="C115" s="137">
        <v>0.0093</v>
      </c>
      <c r="D115" s="116">
        <v>1.009172</v>
      </c>
      <c r="E115" s="31"/>
      <c r="F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</row>
    <row r="116">
      <c r="A116" s="138">
        <v>44750.0</v>
      </c>
      <c r="B116" s="136">
        <v>12449.45</v>
      </c>
      <c r="C116" s="137">
        <v>0.0048</v>
      </c>
      <c r="D116" s="116">
        <v>0.990816</v>
      </c>
      <c r="E116" s="31"/>
      <c r="F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</row>
    <row r="117">
      <c r="A117" s="138">
        <v>44749.0</v>
      </c>
      <c r="B117" s="136">
        <v>12389.7</v>
      </c>
      <c r="C117" s="137">
        <v>0.0047</v>
      </c>
      <c r="D117" s="116">
        <v>0.995201</v>
      </c>
      <c r="E117" s="31"/>
      <c r="F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</row>
    <row r="118">
      <c r="A118" s="138">
        <v>44748.0</v>
      </c>
      <c r="B118" s="136">
        <v>12331.15</v>
      </c>
      <c r="C118" s="137">
        <v>0.008</v>
      </c>
      <c r="D118" s="116">
        <v>0.995274</v>
      </c>
      <c r="E118" s="31"/>
      <c r="F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</row>
    <row r="119">
      <c r="A119" s="138">
        <v>44747.0</v>
      </c>
      <c r="B119" s="136">
        <v>12233.75</v>
      </c>
      <c r="C119" s="137">
        <v>0.0013</v>
      </c>
      <c r="D119" s="116">
        <v>0.992101</v>
      </c>
      <c r="E119" s="31"/>
      <c r="F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</row>
    <row r="120">
      <c r="A120" s="138">
        <v>44746.0</v>
      </c>
      <c r="B120" s="134">
        <v>12218.2</v>
      </c>
      <c r="C120" s="135">
        <v>-0.0035</v>
      </c>
      <c r="D120" s="116">
        <v>0.998729</v>
      </c>
      <c r="E120" s="31"/>
      <c r="F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</row>
    <row r="121">
      <c r="A121" s="138">
        <v>44743.0</v>
      </c>
      <c r="B121" s="136">
        <v>12260.9</v>
      </c>
      <c r="C121" s="137">
        <v>0.0084</v>
      </c>
      <c r="D121" s="116">
        <v>1.003495</v>
      </c>
      <c r="E121" s="31"/>
      <c r="F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</row>
    <row r="122">
      <c r="A122" s="133">
        <v>44742.0</v>
      </c>
      <c r="B122" s="134">
        <v>12159.35</v>
      </c>
      <c r="C122" s="135">
        <v>-0.0042</v>
      </c>
      <c r="D122" s="116">
        <v>0.991718</v>
      </c>
      <c r="E122" s="31"/>
      <c r="F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</row>
    <row r="123">
      <c r="A123" s="133">
        <v>44741.0</v>
      </c>
      <c r="B123" s="134">
        <v>12210.95</v>
      </c>
      <c r="C123" s="135">
        <v>-3.0E-4</v>
      </c>
      <c r="D123" s="116">
        <v>1.004244</v>
      </c>
      <c r="E123" s="31"/>
      <c r="F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</row>
    <row r="124">
      <c r="A124" s="133">
        <v>44740.0</v>
      </c>
      <c r="B124" s="134">
        <v>12214.55</v>
      </c>
      <c r="C124" s="135">
        <v>-6.0E-4</v>
      </c>
      <c r="D124" s="116">
        <v>1.000295</v>
      </c>
      <c r="E124" s="31"/>
      <c r="F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</row>
    <row r="125">
      <c r="A125" s="133">
        <v>44739.0</v>
      </c>
      <c r="B125" s="136">
        <v>12221.55</v>
      </c>
      <c r="C125" s="137">
        <v>0.0035</v>
      </c>
      <c r="D125" s="116">
        <v>1.000573</v>
      </c>
      <c r="E125" s="31"/>
      <c r="F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</row>
    <row r="126">
      <c r="A126" s="133">
        <v>44736.0</v>
      </c>
      <c r="B126" s="136">
        <v>12178.4</v>
      </c>
      <c r="C126" s="137">
        <v>0.0042</v>
      </c>
      <c r="D126" s="116">
        <v>0.996469</v>
      </c>
      <c r="E126" s="31"/>
      <c r="F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</row>
    <row r="127">
      <c r="A127" s="133">
        <v>44735.0</v>
      </c>
      <c r="B127" s="136">
        <v>12127.2</v>
      </c>
      <c r="C127" s="137">
        <v>0.0158</v>
      </c>
      <c r="D127" s="116">
        <v>0.995796</v>
      </c>
      <c r="E127" s="31"/>
      <c r="F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</row>
    <row r="128">
      <c r="A128" s="133">
        <v>44734.0</v>
      </c>
      <c r="B128" s="134">
        <v>11939.05</v>
      </c>
      <c r="C128" s="135">
        <v>-0.0132</v>
      </c>
      <c r="D128" s="116">
        <v>0.984485</v>
      </c>
      <c r="E128" s="31"/>
      <c r="F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</row>
    <row r="129">
      <c r="A129" s="133">
        <v>44733.0</v>
      </c>
      <c r="B129" s="136">
        <v>12098.35</v>
      </c>
      <c r="C129" s="137">
        <v>0.0211</v>
      </c>
      <c r="D129" s="116">
        <v>1.013343</v>
      </c>
      <c r="E129" s="31"/>
      <c r="F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</row>
    <row r="130">
      <c r="A130" s="133">
        <v>44732.0</v>
      </c>
      <c r="B130" s="136">
        <v>11847.9</v>
      </c>
      <c r="C130" s="137">
        <v>0.0037</v>
      </c>
      <c r="D130" s="116">
        <v>0.979299</v>
      </c>
      <c r="E130" s="31"/>
      <c r="F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</row>
    <row r="131">
      <c r="A131" s="133">
        <v>44729.0</v>
      </c>
      <c r="B131" s="134">
        <v>11803.95</v>
      </c>
      <c r="C131" s="135">
        <v>-0.0218</v>
      </c>
      <c r="D131" s="116">
        <v>0.99629</v>
      </c>
      <c r="E131" s="31"/>
      <c r="F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</row>
    <row r="132">
      <c r="A132" s="133">
        <v>44728.0</v>
      </c>
      <c r="B132" s="134">
        <v>12066.65</v>
      </c>
      <c r="C132" s="135">
        <v>-0.0159</v>
      </c>
      <c r="D132" s="116">
        <v>1.022255</v>
      </c>
      <c r="E132" s="31"/>
      <c r="F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</row>
    <row r="133">
      <c r="A133" s="133">
        <v>44727.0</v>
      </c>
      <c r="B133" s="136">
        <v>12261.35</v>
      </c>
      <c r="C133" s="137">
        <v>0.0035</v>
      </c>
      <c r="D133" s="116">
        <v>1.016135</v>
      </c>
      <c r="E133" s="31"/>
      <c r="F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>
      <c r="A134" s="133">
        <v>44726.0</v>
      </c>
      <c r="B134" s="136">
        <v>12218.5</v>
      </c>
      <c r="C134" s="137">
        <v>0.0022</v>
      </c>
      <c r="D134" s="116">
        <v>0.996505</v>
      </c>
      <c r="E134" s="31"/>
      <c r="F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>
      <c r="A135" s="133">
        <v>44725.0</v>
      </c>
      <c r="B135" s="134">
        <v>12191.85</v>
      </c>
      <c r="C135" s="135">
        <v>-0.0183</v>
      </c>
      <c r="D135" s="116">
        <v>0.997819</v>
      </c>
      <c r="E135" s="31"/>
      <c r="F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</row>
    <row r="136">
      <c r="A136" s="133">
        <v>44722.0</v>
      </c>
      <c r="B136" s="134">
        <v>12419.2</v>
      </c>
      <c r="C136" s="135">
        <v>-0.0037</v>
      </c>
      <c r="D136" s="116">
        <v>1.018648</v>
      </c>
      <c r="E136" s="31"/>
      <c r="F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>
      <c r="A137" s="138">
        <v>44721.0</v>
      </c>
      <c r="B137" s="136">
        <v>12465.9</v>
      </c>
      <c r="C137" s="137">
        <v>0.012</v>
      </c>
      <c r="D137" s="116">
        <v>1.00376</v>
      </c>
      <c r="E137" s="31"/>
      <c r="F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</row>
    <row r="138">
      <c r="A138" s="138">
        <v>44720.0</v>
      </c>
      <c r="B138" s="136">
        <v>12317.8</v>
      </c>
      <c r="C138" s="137">
        <v>0.0031</v>
      </c>
      <c r="D138" s="116">
        <v>0.98812</v>
      </c>
      <c r="E138" s="31"/>
      <c r="F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</row>
    <row r="139">
      <c r="A139" s="138">
        <v>44719.0</v>
      </c>
      <c r="B139" s="134">
        <v>12279.65</v>
      </c>
      <c r="C139" s="135">
        <v>-0.0107</v>
      </c>
      <c r="D139" s="116">
        <v>0.996903</v>
      </c>
      <c r="E139" s="31"/>
      <c r="F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</row>
    <row r="140">
      <c r="A140" s="138">
        <v>44718.0</v>
      </c>
      <c r="B140" s="134">
        <v>12412.4</v>
      </c>
      <c r="C140" s="135">
        <v>-5.0E-4</v>
      </c>
      <c r="D140" s="116">
        <v>1.010811</v>
      </c>
      <c r="E140" s="31"/>
      <c r="F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</row>
    <row r="141">
      <c r="A141" s="138">
        <v>44715.0</v>
      </c>
      <c r="B141" s="134">
        <v>12418.8</v>
      </c>
      <c r="C141" s="135">
        <v>-0.0065</v>
      </c>
      <c r="D141" s="116">
        <v>1.000516</v>
      </c>
      <c r="E141" s="31"/>
      <c r="F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</row>
    <row r="142">
      <c r="A142" s="138">
        <v>44714.0</v>
      </c>
      <c r="B142" s="136">
        <v>12500.35</v>
      </c>
      <c r="C142" s="137">
        <v>0.0045</v>
      </c>
      <c r="D142" s="116">
        <v>1.006567</v>
      </c>
      <c r="E142" s="31"/>
      <c r="F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</row>
    <row r="143">
      <c r="A143" s="138">
        <v>44713.0</v>
      </c>
      <c r="B143" s="134">
        <v>12443.75</v>
      </c>
      <c r="C143" s="135">
        <v>-0.0127</v>
      </c>
      <c r="D143" s="116">
        <v>0.995472</v>
      </c>
      <c r="E143" s="31"/>
      <c r="F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</row>
    <row r="144">
      <c r="A144" s="140">
        <v>44712.0</v>
      </c>
      <c r="B144" s="134">
        <v>12604.45</v>
      </c>
      <c r="C144" s="135">
        <v>-0.0053</v>
      </c>
      <c r="D144" s="116">
        <v>1.012914</v>
      </c>
      <c r="E144" s="31"/>
      <c r="F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</row>
    <row r="145">
      <c r="A145" s="140">
        <v>44711.0</v>
      </c>
      <c r="B145" s="136">
        <v>12671.15</v>
      </c>
      <c r="C145" s="137">
        <v>1.0E-4</v>
      </c>
      <c r="D145" s="116">
        <v>1.005292</v>
      </c>
      <c r="E145" s="31"/>
      <c r="F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</row>
    <row r="146">
      <c r="A146" s="140">
        <v>44708.0</v>
      </c>
      <c r="B146" s="136">
        <v>12669.95</v>
      </c>
      <c r="C146" s="137">
        <v>0.009</v>
      </c>
      <c r="D146" s="116">
        <v>0.999905</v>
      </c>
      <c r="E146" s="31"/>
      <c r="F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</row>
    <row r="147">
      <c r="A147" s="140">
        <v>44707.0</v>
      </c>
      <c r="B147" s="136">
        <v>12557.5</v>
      </c>
      <c r="C147" s="137">
        <v>0.0011</v>
      </c>
      <c r="D147" s="116">
        <v>0.991125</v>
      </c>
      <c r="E147" s="31"/>
      <c r="F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</row>
    <row r="148">
      <c r="A148" s="140">
        <v>44706.0</v>
      </c>
      <c r="B148" s="134">
        <v>12543.85</v>
      </c>
      <c r="C148" s="135">
        <v>-0.0116</v>
      </c>
      <c r="D148" s="116">
        <v>0.998913</v>
      </c>
      <c r="E148" s="31"/>
      <c r="F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</row>
    <row r="149">
      <c r="A149" s="140">
        <v>44705.0</v>
      </c>
      <c r="B149" s="134">
        <v>12691.6</v>
      </c>
      <c r="C149" s="135">
        <v>-0.0153</v>
      </c>
      <c r="D149" s="116">
        <v>1.011779</v>
      </c>
      <c r="E149" s="31"/>
      <c r="F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</row>
    <row r="150">
      <c r="A150" s="140">
        <v>44704.0</v>
      </c>
      <c r="B150" s="134">
        <v>12889.2</v>
      </c>
      <c r="C150" s="135">
        <v>-0.0135</v>
      </c>
      <c r="D150" s="116">
        <v>1.015569</v>
      </c>
      <c r="E150" s="31"/>
      <c r="F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</row>
    <row r="151">
      <c r="A151" s="140">
        <v>44701.0</v>
      </c>
      <c r="B151" s="136">
        <v>13065.5</v>
      </c>
      <c r="C151" s="137">
        <v>0.0369</v>
      </c>
      <c r="D151" s="116">
        <v>1.013678</v>
      </c>
      <c r="E151" s="31"/>
      <c r="F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</row>
    <row r="152">
      <c r="A152" s="140">
        <v>44700.0</v>
      </c>
      <c r="B152" s="134">
        <v>12600.85</v>
      </c>
      <c r="C152" s="135">
        <v>-0.0218</v>
      </c>
      <c r="D152" s="116">
        <v>0.964437</v>
      </c>
      <c r="E152" s="31"/>
      <c r="F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</row>
    <row r="153">
      <c r="A153" s="140">
        <v>44699.0</v>
      </c>
      <c r="B153" s="136">
        <v>12881.55</v>
      </c>
      <c r="C153" s="137">
        <v>0.0106</v>
      </c>
      <c r="D153" s="116">
        <v>1.022276</v>
      </c>
      <c r="E153" s="31"/>
      <c r="F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</row>
    <row r="154">
      <c r="A154" s="140">
        <v>44698.0</v>
      </c>
      <c r="B154" s="136">
        <v>12745.95</v>
      </c>
      <c r="C154" s="137">
        <v>0.0109</v>
      </c>
      <c r="D154" s="116">
        <v>0.989473</v>
      </c>
      <c r="E154" s="31"/>
      <c r="F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</row>
    <row r="155">
      <c r="A155" s="140">
        <v>44697.0</v>
      </c>
      <c r="B155" s="134">
        <v>12608.25</v>
      </c>
      <c r="C155" s="135">
        <v>-0.0017</v>
      </c>
      <c r="D155" s="116">
        <v>0.989197</v>
      </c>
      <c r="E155" s="31"/>
      <c r="F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</row>
    <row r="156">
      <c r="A156" s="140">
        <v>44694.0</v>
      </c>
      <c r="B156" s="136">
        <v>12629.5</v>
      </c>
      <c r="C156" s="137">
        <v>0.0165</v>
      </c>
      <c r="D156" s="116">
        <v>1.001685</v>
      </c>
      <c r="E156" s="31"/>
      <c r="F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</row>
    <row r="157">
      <c r="A157" s="140">
        <v>44693.0</v>
      </c>
      <c r="B157" s="134">
        <v>12424.45</v>
      </c>
      <c r="C157" s="135">
        <v>-0.0106</v>
      </c>
      <c r="D157" s="116">
        <v>0.983764</v>
      </c>
      <c r="E157" s="31"/>
      <c r="F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</row>
    <row r="158">
      <c r="A158" s="140">
        <v>44692.0</v>
      </c>
      <c r="B158" s="134">
        <v>12557.65</v>
      </c>
      <c r="C158" s="135">
        <v>-0.0031</v>
      </c>
      <c r="D158" s="116">
        <v>1.010721</v>
      </c>
      <c r="E158" s="31"/>
      <c r="F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</row>
    <row r="159">
      <c r="A159" s="140">
        <v>44691.0</v>
      </c>
      <c r="B159" s="134">
        <v>12596.3</v>
      </c>
      <c r="C159" s="135">
        <v>-0.0148</v>
      </c>
      <c r="D159" s="116">
        <v>1.003078</v>
      </c>
      <c r="E159" s="31"/>
      <c r="F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</row>
    <row r="160">
      <c r="A160" s="141">
        <v>44690.0</v>
      </c>
      <c r="B160" s="134">
        <v>12785.0</v>
      </c>
      <c r="C160" s="135">
        <v>-0.0028</v>
      </c>
      <c r="D160" s="116">
        <v>1.014981</v>
      </c>
      <c r="E160" s="31"/>
      <c r="F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>
      <c r="A161" s="141">
        <v>44687.0</v>
      </c>
      <c r="B161" s="134">
        <v>12820.9</v>
      </c>
      <c r="C161" s="135">
        <v>-0.0144</v>
      </c>
      <c r="D161" s="116">
        <v>1.002808</v>
      </c>
      <c r="E161" s="31"/>
      <c r="F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</row>
    <row r="162">
      <c r="A162" s="141">
        <v>44686.0</v>
      </c>
      <c r="B162" s="134">
        <v>13008.5</v>
      </c>
      <c r="C162" s="135">
        <v>-0.0077</v>
      </c>
      <c r="D162" s="116">
        <v>1.014632</v>
      </c>
      <c r="E162" s="31"/>
      <c r="F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>
      <c r="A163" s="141">
        <v>44685.0</v>
      </c>
      <c r="B163" s="134">
        <v>13108.8</v>
      </c>
      <c r="C163" s="135">
        <v>-0.0261</v>
      </c>
      <c r="D163" s="116">
        <v>1.00771</v>
      </c>
      <c r="E163" s="31"/>
      <c r="F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</row>
    <row r="164">
      <c r="A164" s="141">
        <v>44683.0</v>
      </c>
      <c r="B164" s="134">
        <v>13460.25</v>
      </c>
      <c r="C164" s="135">
        <v>-2.0E-4</v>
      </c>
      <c r="D164" s="116">
        <v>1.02681</v>
      </c>
      <c r="E164" s="31"/>
      <c r="F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</row>
    <row r="165">
      <c r="A165" s="133">
        <v>44680.0</v>
      </c>
      <c r="B165" s="134">
        <v>13462.85</v>
      </c>
      <c r="C165" s="135">
        <v>-0.0013</v>
      </c>
      <c r="D165" s="116">
        <v>1.000193</v>
      </c>
      <c r="E165" s="31"/>
      <c r="F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</row>
    <row r="166">
      <c r="A166" s="133">
        <v>44679.0</v>
      </c>
      <c r="B166" s="136">
        <v>13480.0</v>
      </c>
      <c r="C166" s="137">
        <v>0.0091</v>
      </c>
      <c r="D166" s="116">
        <v>1.001274</v>
      </c>
      <c r="E166" s="31"/>
      <c r="F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>
      <c r="A167" s="133">
        <v>44678.0</v>
      </c>
      <c r="B167" s="134">
        <v>13358.15</v>
      </c>
      <c r="C167" s="135">
        <v>-0.0064</v>
      </c>
      <c r="D167" s="116">
        <v>0.990961</v>
      </c>
      <c r="E167" s="31"/>
      <c r="F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</row>
    <row r="168">
      <c r="A168" s="133">
        <v>44677.0</v>
      </c>
      <c r="B168" s="136">
        <v>13444.1</v>
      </c>
      <c r="C168" s="137">
        <v>0.0111</v>
      </c>
      <c r="D168" s="116">
        <v>1.006434</v>
      </c>
      <c r="E168" s="31"/>
      <c r="F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>
      <c r="A169" s="133">
        <v>44676.0</v>
      </c>
      <c r="B169" s="134">
        <v>13296.75</v>
      </c>
      <c r="C169" s="135">
        <v>-0.0201</v>
      </c>
      <c r="D169" s="116">
        <v>0.98904</v>
      </c>
      <c r="E169" s="31"/>
      <c r="F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</row>
    <row r="170">
      <c r="A170" s="133">
        <v>44673.0</v>
      </c>
      <c r="B170" s="134">
        <v>13569.85</v>
      </c>
      <c r="C170" s="135">
        <v>-0.0182</v>
      </c>
      <c r="D170" s="116">
        <v>1.020539</v>
      </c>
      <c r="E170" s="31"/>
      <c r="F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</row>
    <row r="171">
      <c r="A171" s="133">
        <v>44672.0</v>
      </c>
      <c r="B171" s="136">
        <v>13821.3</v>
      </c>
      <c r="C171" s="137">
        <v>0.0118</v>
      </c>
      <c r="D171" s="116">
        <v>1.01853</v>
      </c>
      <c r="E171" s="31"/>
      <c r="F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>
      <c r="A172" s="133">
        <v>44671.0</v>
      </c>
      <c r="B172" s="136">
        <v>13660.65</v>
      </c>
      <c r="C172" s="137">
        <v>0.0102</v>
      </c>
      <c r="D172" s="116">
        <v>0.988377</v>
      </c>
      <c r="E172" s="31"/>
      <c r="F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</row>
    <row r="173">
      <c r="A173" s="133">
        <v>44670.0</v>
      </c>
      <c r="B173" s="134">
        <v>13522.45</v>
      </c>
      <c r="C173" s="135">
        <v>-0.0142</v>
      </c>
      <c r="D173" s="116">
        <v>0.989883</v>
      </c>
      <c r="E173" s="31"/>
      <c r="F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</row>
    <row r="174">
      <c r="A174" s="133">
        <v>44669.0</v>
      </c>
      <c r="B174" s="134">
        <v>13717.3</v>
      </c>
      <c r="C174" s="135">
        <v>-0.004</v>
      </c>
      <c r="D174" s="116">
        <v>1.014409</v>
      </c>
      <c r="E174" s="31"/>
      <c r="F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</row>
    <row r="175">
      <c r="A175" s="133">
        <v>44664.0</v>
      </c>
      <c r="B175" s="136">
        <v>13772.75</v>
      </c>
      <c r="C175" s="137">
        <v>0.002</v>
      </c>
      <c r="D175" s="116">
        <v>1.004042</v>
      </c>
      <c r="E175" s="31"/>
      <c r="F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</row>
    <row r="176">
      <c r="A176" s="133">
        <v>44663.0</v>
      </c>
      <c r="B176" s="134">
        <v>13744.65</v>
      </c>
      <c r="C176" s="135">
        <v>-0.0067</v>
      </c>
      <c r="D176" s="116">
        <v>0.99796</v>
      </c>
      <c r="E176" s="31"/>
      <c r="F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</row>
    <row r="177">
      <c r="A177" s="133">
        <v>44662.0</v>
      </c>
      <c r="B177" s="134">
        <v>13837.85</v>
      </c>
      <c r="C177" s="135">
        <v>-1.0E-4</v>
      </c>
      <c r="D177" s="116">
        <v>1.006781</v>
      </c>
      <c r="E177" s="31"/>
      <c r="F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</row>
    <row r="178">
      <c r="A178" s="138">
        <v>44659.0</v>
      </c>
      <c r="B178" s="136">
        <v>13838.6</v>
      </c>
      <c r="C178" s="137">
        <v>0.0017</v>
      </c>
      <c r="D178" s="116">
        <v>1.000054</v>
      </c>
      <c r="E178" s="31"/>
      <c r="F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</row>
    <row r="179">
      <c r="A179" s="138">
        <v>44658.0</v>
      </c>
      <c r="B179" s="136">
        <v>13815.0</v>
      </c>
      <c r="C179" s="137">
        <v>0.0041</v>
      </c>
      <c r="D179" s="116">
        <v>0.998295</v>
      </c>
      <c r="E179" s="31"/>
      <c r="F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</row>
    <row r="180">
      <c r="A180" s="138">
        <v>44657.0</v>
      </c>
      <c r="B180" s="134">
        <v>13758.45</v>
      </c>
      <c r="C180" s="135">
        <v>-0.0037</v>
      </c>
      <c r="D180" s="116">
        <v>0.995907</v>
      </c>
      <c r="E180" s="31"/>
      <c r="F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</row>
    <row r="181">
      <c r="A181" s="138">
        <v>44656.0</v>
      </c>
      <c r="B181" s="136">
        <v>13809.25</v>
      </c>
      <c r="C181" s="137">
        <v>0.0015</v>
      </c>
      <c r="D181" s="116">
        <v>1.003692</v>
      </c>
      <c r="E181" s="31"/>
      <c r="F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>
      <c r="A182" s="138">
        <v>44655.0</v>
      </c>
      <c r="B182" s="136">
        <v>13789.25</v>
      </c>
      <c r="C182" s="137">
        <v>0.0154</v>
      </c>
      <c r="D182" s="116">
        <v>0.998552</v>
      </c>
      <c r="E182" s="31"/>
      <c r="F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</row>
    <row r="183">
      <c r="A183" s="138">
        <v>44652.0</v>
      </c>
      <c r="B183" s="134">
        <v>13579.9</v>
      </c>
      <c r="C183" s="135">
        <v>-3.0E-4</v>
      </c>
      <c r="D183" s="116">
        <v>0.984818</v>
      </c>
      <c r="E183" s="31"/>
      <c r="F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</row>
    <row r="184">
      <c r="A184" s="133">
        <v>44651.0</v>
      </c>
      <c r="B184" s="134">
        <v>13584.1</v>
      </c>
      <c r="C184" s="135">
        <v>-0.0117</v>
      </c>
      <c r="D184" s="116">
        <v>1.000309</v>
      </c>
      <c r="E184" s="31"/>
      <c r="F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</row>
    <row r="185">
      <c r="A185" s="133">
        <v>44650.0</v>
      </c>
      <c r="B185" s="134">
        <v>13745.6</v>
      </c>
      <c r="C185" s="135">
        <v>-0.0019</v>
      </c>
      <c r="D185" s="116">
        <v>1.011889</v>
      </c>
      <c r="E185" s="31"/>
      <c r="F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</row>
    <row r="186">
      <c r="A186" s="133">
        <v>44649.0</v>
      </c>
      <c r="B186" s="136">
        <v>13771.4</v>
      </c>
      <c r="C186" s="137">
        <v>0.0154</v>
      </c>
      <c r="D186" s="116">
        <v>1.001877</v>
      </c>
      <c r="E186" s="31"/>
      <c r="F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</row>
    <row r="187">
      <c r="A187" s="133">
        <v>44648.0</v>
      </c>
      <c r="B187" s="134">
        <v>13562.25</v>
      </c>
      <c r="C187" s="135">
        <v>-0.0033</v>
      </c>
      <c r="D187" s="116">
        <v>0.984813</v>
      </c>
      <c r="E187" s="31"/>
      <c r="F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</row>
    <row r="188">
      <c r="A188" s="133">
        <v>44645.0</v>
      </c>
      <c r="B188" s="134">
        <v>13607.05</v>
      </c>
      <c r="C188" s="135">
        <v>-0.0086</v>
      </c>
      <c r="D188" s="116">
        <v>1.003303</v>
      </c>
      <c r="E188" s="31"/>
      <c r="F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</row>
    <row r="189">
      <c r="A189" s="133">
        <v>44644.0</v>
      </c>
      <c r="B189" s="136">
        <v>13724.5</v>
      </c>
      <c r="C189" s="137">
        <v>0.0114</v>
      </c>
      <c r="D189" s="116">
        <v>1.008632</v>
      </c>
      <c r="E189" s="31"/>
      <c r="F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</row>
    <row r="190">
      <c r="A190" s="133">
        <v>44643.0</v>
      </c>
      <c r="B190" s="136">
        <v>13569.65</v>
      </c>
      <c r="C190" s="137">
        <v>0.0042</v>
      </c>
      <c r="D190" s="116">
        <v>0.988717</v>
      </c>
      <c r="E190" s="31"/>
      <c r="F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</row>
    <row r="191">
      <c r="A191" s="133">
        <v>44642.0</v>
      </c>
      <c r="B191" s="134">
        <v>13513.15</v>
      </c>
      <c r="C191" s="135">
        <v>-0.0027</v>
      </c>
      <c r="D191" s="116">
        <v>0.995836</v>
      </c>
      <c r="E191" s="31"/>
      <c r="F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</row>
    <row r="192">
      <c r="A192" s="133">
        <v>44641.0</v>
      </c>
      <c r="B192" s="136">
        <v>13549.55</v>
      </c>
      <c r="C192" s="137">
        <v>3.0E-4</v>
      </c>
      <c r="D192" s="116">
        <v>1.002694</v>
      </c>
      <c r="E192" s="31"/>
      <c r="F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</row>
    <row r="193">
      <c r="A193" s="133">
        <v>44637.0</v>
      </c>
      <c r="B193" s="136">
        <v>13546.05</v>
      </c>
      <c r="C193" s="137">
        <v>0.0128</v>
      </c>
      <c r="D193" s="116">
        <v>0.999742</v>
      </c>
      <c r="E193" s="31"/>
      <c r="F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</row>
    <row r="194">
      <c r="A194" s="133">
        <v>44636.0</v>
      </c>
      <c r="B194" s="136">
        <v>13374.5</v>
      </c>
      <c r="C194" s="137">
        <v>0.0042</v>
      </c>
      <c r="D194" s="116">
        <v>0.987336</v>
      </c>
      <c r="E194" s="31"/>
      <c r="F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</row>
    <row r="195">
      <c r="A195" s="133">
        <v>44635.0</v>
      </c>
      <c r="B195" s="134">
        <v>13318.85</v>
      </c>
      <c r="C195" s="135">
        <v>-0.0025</v>
      </c>
      <c r="D195" s="116">
        <v>0.995839</v>
      </c>
      <c r="E195" s="31"/>
      <c r="F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</row>
    <row r="196">
      <c r="A196" s="133">
        <v>44634.0</v>
      </c>
      <c r="B196" s="134">
        <v>13351.9</v>
      </c>
      <c r="C196" s="135">
        <v>-0.0035</v>
      </c>
      <c r="D196" s="116">
        <v>1.002481</v>
      </c>
      <c r="E196" s="31"/>
      <c r="F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</row>
    <row r="197">
      <c r="A197" s="133">
        <v>44631.0</v>
      </c>
      <c r="B197" s="136">
        <v>13399.0</v>
      </c>
      <c r="C197" s="137">
        <v>0.0246</v>
      </c>
      <c r="D197" s="116">
        <v>1.003528</v>
      </c>
      <c r="E197" s="31"/>
      <c r="F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</row>
    <row r="198">
      <c r="A198" s="133">
        <v>44630.0</v>
      </c>
      <c r="B198" s="136">
        <v>13077.05</v>
      </c>
      <c r="C198" s="137">
        <v>0.0014</v>
      </c>
      <c r="D198" s="116">
        <v>0.975972</v>
      </c>
      <c r="E198" s="31"/>
      <c r="F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</row>
    <row r="199">
      <c r="A199" s="138">
        <v>44629.0</v>
      </c>
      <c r="B199" s="136">
        <v>13059.25</v>
      </c>
      <c r="C199" s="137">
        <v>0.0167</v>
      </c>
      <c r="D199" s="116">
        <v>0.998639</v>
      </c>
      <c r="E199" s="31"/>
      <c r="F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</row>
    <row r="200">
      <c r="A200" s="138">
        <v>44628.0</v>
      </c>
      <c r="B200" s="136">
        <v>12844.85</v>
      </c>
      <c r="C200" s="137">
        <v>0.0238</v>
      </c>
      <c r="D200" s="116">
        <v>0.983583</v>
      </c>
      <c r="E200" s="31"/>
      <c r="F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</row>
    <row r="201">
      <c r="A201" s="138">
        <v>44627.0</v>
      </c>
      <c r="B201" s="134">
        <v>12546.85</v>
      </c>
      <c r="C201" s="135">
        <v>-0.0042</v>
      </c>
      <c r="D201" s="116">
        <v>0.9768</v>
      </c>
      <c r="E201" s="31"/>
      <c r="F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</row>
    <row r="202">
      <c r="A202" s="138">
        <v>44624.0</v>
      </c>
      <c r="B202" s="134">
        <v>12600.15</v>
      </c>
      <c r="C202" s="135">
        <v>-0.0034</v>
      </c>
      <c r="D202" s="116">
        <v>1.004248</v>
      </c>
      <c r="E202" s="31"/>
      <c r="F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</row>
    <row r="203">
      <c r="A203" s="138">
        <v>44623.0</v>
      </c>
      <c r="B203" s="134">
        <v>12643.75</v>
      </c>
      <c r="C203" s="135">
        <v>-0.0036</v>
      </c>
      <c r="D203" s="116">
        <v>1.00346</v>
      </c>
      <c r="E203" s="31"/>
      <c r="F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</row>
    <row r="204">
      <c r="A204" s="138">
        <v>44622.0</v>
      </c>
      <c r="B204" s="134">
        <v>12689.55</v>
      </c>
      <c r="C204" s="135">
        <v>-0.0184</v>
      </c>
      <c r="D204" s="116">
        <v>1.003622</v>
      </c>
      <c r="E204" s="31"/>
      <c r="F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</row>
    <row r="205">
      <c r="A205" s="133">
        <v>44620.0</v>
      </c>
      <c r="B205" s="136">
        <v>12927.6</v>
      </c>
      <c r="C205" s="137">
        <v>0.0022</v>
      </c>
      <c r="D205" s="116">
        <v>1.01876</v>
      </c>
      <c r="E205" s="31"/>
      <c r="F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</row>
    <row r="206">
      <c r="A206" s="133">
        <v>44617.0</v>
      </c>
      <c r="B206" s="136">
        <v>12899.85</v>
      </c>
      <c r="C206" s="137">
        <v>0.032</v>
      </c>
      <c r="D206" s="116">
        <v>0.997853</v>
      </c>
      <c r="E206" s="31"/>
      <c r="F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>
      <c r="A207" s="133">
        <v>44616.0</v>
      </c>
      <c r="B207" s="134">
        <v>12500.1</v>
      </c>
      <c r="C207" s="135">
        <v>-0.0367</v>
      </c>
      <c r="D207" s="116">
        <v>0.969011</v>
      </c>
      <c r="E207" s="31"/>
      <c r="F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>
      <c r="A208" s="133">
        <v>44615.0</v>
      </c>
      <c r="B208" s="136">
        <v>12976.3</v>
      </c>
      <c r="C208" s="137">
        <v>0.0017</v>
      </c>
      <c r="D208" s="116">
        <v>1.038096</v>
      </c>
      <c r="E208" s="31"/>
      <c r="F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>
      <c r="A209" s="133">
        <v>44614.0</v>
      </c>
      <c r="B209" s="134">
        <v>12954.5</v>
      </c>
      <c r="C209" s="135">
        <v>-0.0058</v>
      </c>
      <c r="D209" s="116">
        <v>0.99832</v>
      </c>
      <c r="E209" s="31"/>
      <c r="F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>
      <c r="A210" s="133">
        <v>44613.0</v>
      </c>
      <c r="B210" s="134">
        <v>13029.9</v>
      </c>
      <c r="C210" s="135">
        <v>-0.0135</v>
      </c>
      <c r="D210" s="116">
        <v>1.00582</v>
      </c>
      <c r="E210" s="31"/>
      <c r="F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>
      <c r="A211" s="133">
        <v>44610.0</v>
      </c>
      <c r="B211" s="134">
        <v>13208.8</v>
      </c>
      <c r="C211" s="135">
        <v>-0.0087</v>
      </c>
      <c r="D211" s="116">
        <v>1.01373</v>
      </c>
      <c r="E211" s="31"/>
      <c r="F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>
      <c r="A212" s="133">
        <v>44609.0</v>
      </c>
      <c r="B212" s="134">
        <v>13324.4</v>
      </c>
      <c r="C212" s="135">
        <v>-0.0075</v>
      </c>
      <c r="D212" s="116">
        <v>1.008752</v>
      </c>
      <c r="E212" s="31"/>
      <c r="F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>
      <c r="A213" s="133">
        <v>44608.0</v>
      </c>
      <c r="B213" s="136">
        <v>13425.1</v>
      </c>
      <c r="C213" s="137">
        <v>0.0051</v>
      </c>
      <c r="D213" s="116">
        <v>1.007558</v>
      </c>
      <c r="E213" s="31"/>
      <c r="F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>
      <c r="A214" s="133">
        <v>44607.0</v>
      </c>
      <c r="B214" s="136">
        <v>13356.9</v>
      </c>
      <c r="C214" s="137">
        <v>0.0079</v>
      </c>
      <c r="D214" s="116">
        <v>0.99492</v>
      </c>
      <c r="E214" s="31"/>
      <c r="F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>
      <c r="A215" s="133">
        <v>44606.0</v>
      </c>
      <c r="B215" s="134">
        <v>13252.15</v>
      </c>
      <c r="C215" s="135">
        <v>-0.0191</v>
      </c>
      <c r="D215" s="116">
        <v>0.992158</v>
      </c>
      <c r="E215" s="31"/>
      <c r="F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>
      <c r="A216" s="133">
        <v>44603.0</v>
      </c>
      <c r="B216" s="134">
        <v>13510.3</v>
      </c>
      <c r="C216" s="135">
        <v>-0.0075</v>
      </c>
      <c r="D216" s="116">
        <v>1.01948</v>
      </c>
      <c r="E216" s="31"/>
      <c r="F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</row>
    <row r="217">
      <c r="A217" s="133">
        <v>44602.0</v>
      </c>
      <c r="B217" s="136">
        <v>13613.05</v>
      </c>
      <c r="C217" s="137">
        <v>0.0032</v>
      </c>
      <c r="D217" s="116">
        <v>1.007605</v>
      </c>
      <c r="E217" s="31"/>
      <c r="F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</row>
    <row r="218">
      <c r="A218" s="138">
        <v>44601.0</v>
      </c>
      <c r="B218" s="136">
        <v>13570.3</v>
      </c>
      <c r="C218" s="137">
        <v>0.0093</v>
      </c>
      <c r="D218" s="116">
        <v>0.99686</v>
      </c>
      <c r="E218" s="31"/>
      <c r="F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</row>
    <row r="219">
      <c r="A219" s="138">
        <v>44600.0</v>
      </c>
      <c r="B219" s="136">
        <v>13444.7</v>
      </c>
      <c r="C219" s="137">
        <v>0.0047</v>
      </c>
      <c r="D219" s="116">
        <v>0.990744</v>
      </c>
      <c r="E219" s="31"/>
      <c r="F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</row>
    <row r="220">
      <c r="A220" s="138">
        <v>44599.0</v>
      </c>
      <c r="B220" s="134">
        <v>13381.7</v>
      </c>
      <c r="C220" s="135">
        <v>-0.0146</v>
      </c>
      <c r="D220" s="116">
        <v>0.995314</v>
      </c>
      <c r="E220" s="31"/>
      <c r="F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>
      <c r="A221" s="138">
        <v>44596.0</v>
      </c>
      <c r="B221" s="134">
        <v>13580.3</v>
      </c>
      <c r="C221" s="135">
        <v>-0.0027</v>
      </c>
      <c r="D221" s="116">
        <v>1.014841</v>
      </c>
      <c r="E221" s="31"/>
      <c r="F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>
      <c r="A222" s="138">
        <v>44595.0</v>
      </c>
      <c r="B222" s="134">
        <v>13617.6</v>
      </c>
      <c r="C222" s="135">
        <v>-0.0019</v>
      </c>
      <c r="D222" s="116">
        <v>1.002747</v>
      </c>
      <c r="E222" s="31"/>
      <c r="F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>
      <c r="A223" s="138">
        <v>44594.0</v>
      </c>
      <c r="B223" s="136">
        <v>13643.65</v>
      </c>
      <c r="C223" s="137">
        <v>0.0123</v>
      </c>
      <c r="D223" s="116">
        <v>1.001913</v>
      </c>
      <c r="E223" s="31"/>
      <c r="F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>
      <c r="A224" s="138">
        <v>44593.0</v>
      </c>
      <c r="B224" s="136">
        <v>13477.5</v>
      </c>
      <c r="C224" s="137">
        <v>0.0226</v>
      </c>
      <c r="D224" s="116">
        <v>0.987822</v>
      </c>
      <c r="E224" s="31"/>
      <c r="F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>
      <c r="A225" s="133">
        <v>44592.0</v>
      </c>
      <c r="B225" s="136">
        <v>13179.9</v>
      </c>
      <c r="C225" s="137">
        <v>0.0152</v>
      </c>
      <c r="D225" s="116">
        <v>0.977919</v>
      </c>
      <c r="E225" s="31"/>
      <c r="F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26">
      <c r="A226" s="133">
        <v>44589.0</v>
      </c>
      <c r="B226" s="136">
        <v>12983.05</v>
      </c>
      <c r="C226" s="137">
        <v>0.0105</v>
      </c>
      <c r="D226" s="116">
        <v>0.985064</v>
      </c>
      <c r="E226" s="31"/>
      <c r="F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</row>
    <row r="227">
      <c r="A227" s="133">
        <v>44588.0</v>
      </c>
      <c r="B227" s="134">
        <v>12847.9</v>
      </c>
      <c r="C227" s="135">
        <v>-0.0187</v>
      </c>
      <c r="D227" s="116">
        <v>0.98959</v>
      </c>
      <c r="E227" s="31"/>
      <c r="F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>
      <c r="A228" s="133">
        <v>44586.0</v>
      </c>
      <c r="B228" s="136">
        <v>13092.1</v>
      </c>
      <c r="C228" s="137">
        <v>0.0072</v>
      </c>
      <c r="D228" s="116">
        <v>1.019007</v>
      </c>
      <c r="E228" s="31"/>
      <c r="F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</row>
    <row r="229">
      <c r="A229" s="133">
        <v>44585.0</v>
      </c>
      <c r="B229" s="134">
        <v>12998.6</v>
      </c>
      <c r="C229" s="135">
        <v>-0.0185</v>
      </c>
      <c r="D229" s="116">
        <v>0.992858</v>
      </c>
      <c r="E229" s="31"/>
      <c r="F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</row>
    <row r="230">
      <c r="A230" s="133">
        <v>44582.0</v>
      </c>
      <c r="B230" s="134">
        <v>13243.05</v>
      </c>
      <c r="C230" s="135">
        <v>-0.0157</v>
      </c>
      <c r="D230" s="116">
        <v>1.018806</v>
      </c>
      <c r="E230" s="31"/>
      <c r="F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</row>
    <row r="231">
      <c r="A231" s="133">
        <v>44581.0</v>
      </c>
      <c r="B231" s="134">
        <v>13454.9</v>
      </c>
      <c r="C231" s="135">
        <v>-0.0166</v>
      </c>
      <c r="D231" s="116">
        <v>1.015997</v>
      </c>
      <c r="E231" s="31"/>
      <c r="F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</row>
    <row r="232">
      <c r="A232" s="133">
        <v>44580.0</v>
      </c>
      <c r="B232" s="134">
        <v>13682.7</v>
      </c>
      <c r="C232" s="135">
        <v>-0.0011</v>
      </c>
      <c r="D232" s="116">
        <v>1.016931</v>
      </c>
      <c r="E232" s="31"/>
      <c r="F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</row>
    <row r="233">
      <c r="A233" s="133">
        <v>44579.0</v>
      </c>
      <c r="B233" s="134">
        <v>13697.6</v>
      </c>
      <c r="C233" s="135">
        <v>-0.0119</v>
      </c>
      <c r="D233" s="116">
        <v>1.001089</v>
      </c>
      <c r="E233" s="31"/>
      <c r="F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</row>
    <row r="234">
      <c r="A234" s="133">
        <v>44578.0</v>
      </c>
      <c r="B234" s="134">
        <v>13862.45</v>
      </c>
      <c r="C234" s="135">
        <v>-0.0073</v>
      </c>
      <c r="D234" s="116">
        <v>1.012035</v>
      </c>
      <c r="E234" s="31"/>
      <c r="F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</row>
    <row r="235">
      <c r="A235" s="133">
        <v>44575.0</v>
      </c>
      <c r="B235" s="134">
        <v>13964.15</v>
      </c>
      <c r="C235" s="135">
        <v>-0.0062</v>
      </c>
      <c r="D235" s="116">
        <v>1.007336</v>
      </c>
      <c r="E235" s="31"/>
      <c r="F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</row>
    <row r="236">
      <c r="A236" s="133">
        <v>44574.0</v>
      </c>
      <c r="B236" s="136">
        <v>14051.15</v>
      </c>
      <c r="C236" s="137">
        <v>0.0157</v>
      </c>
      <c r="D236" s="116">
        <v>1.00623</v>
      </c>
      <c r="E236" s="31"/>
      <c r="F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</row>
    <row r="237">
      <c r="A237" s="133">
        <v>44573.0</v>
      </c>
      <c r="B237" s="134">
        <v>13833.7</v>
      </c>
      <c r="C237" s="135">
        <v>-0.0015</v>
      </c>
      <c r="D237" s="116">
        <v>0.984524</v>
      </c>
      <c r="E237" s="31"/>
      <c r="F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</row>
    <row r="238">
      <c r="A238" s="133">
        <v>44572.0</v>
      </c>
      <c r="B238" s="134">
        <v>13854.25</v>
      </c>
      <c r="C238" s="135">
        <v>-3.0E-4</v>
      </c>
      <c r="D238" s="116">
        <v>1.001486</v>
      </c>
      <c r="E238" s="31"/>
      <c r="F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</row>
    <row r="239">
      <c r="A239" s="133">
        <v>44571.0</v>
      </c>
      <c r="B239" s="136">
        <v>13858.95</v>
      </c>
      <c r="C239" s="137">
        <v>1.0E-4</v>
      </c>
      <c r="D239" s="116">
        <v>1.000339</v>
      </c>
      <c r="E239" s="31"/>
      <c r="F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</row>
    <row r="240">
      <c r="A240" s="138">
        <v>44568.0</v>
      </c>
      <c r="B240" s="134">
        <v>13857.95</v>
      </c>
      <c r="C240" s="135">
        <v>-0.0039</v>
      </c>
      <c r="D240" s="116">
        <v>0.999928</v>
      </c>
      <c r="E240" s="31"/>
      <c r="F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</row>
    <row r="241">
      <c r="A241" s="138">
        <v>44567.0</v>
      </c>
      <c r="B241" s="134">
        <v>13912.25</v>
      </c>
      <c r="C241" s="135">
        <v>-0.0063</v>
      </c>
      <c r="D241" s="116">
        <v>1.003918</v>
      </c>
      <c r="E241" s="31"/>
      <c r="F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</row>
    <row r="242">
      <c r="A242" s="138">
        <v>44566.0</v>
      </c>
      <c r="B242" s="134">
        <v>13999.85</v>
      </c>
      <c r="C242" s="135">
        <v>-0.0029</v>
      </c>
      <c r="D242" s="116">
        <v>1.006297</v>
      </c>
      <c r="E242" s="31"/>
      <c r="F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</row>
    <row r="243">
      <c r="A243" s="138">
        <v>44565.0</v>
      </c>
      <c r="B243" s="134">
        <v>14040.65</v>
      </c>
      <c r="C243" s="135">
        <v>-0.0082</v>
      </c>
      <c r="D243" s="116">
        <v>1.002914</v>
      </c>
      <c r="E243" s="31"/>
      <c r="F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</row>
    <row r="244">
      <c r="A244" s="138">
        <v>44564.0</v>
      </c>
      <c r="B244" s="134">
        <v>14156.4</v>
      </c>
      <c r="C244" s="135">
        <v>-0.0047</v>
      </c>
      <c r="D244" s="116">
        <v>1.008244</v>
      </c>
      <c r="E244" s="31"/>
      <c r="F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</row>
    <row r="245">
      <c r="A245" s="133">
        <v>44561.0</v>
      </c>
      <c r="B245" s="136">
        <v>14223.0</v>
      </c>
      <c r="C245" s="137">
        <v>0.0062</v>
      </c>
      <c r="D245" s="116">
        <v>1.004705</v>
      </c>
      <c r="E245" s="31"/>
      <c r="F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</row>
    <row r="246">
      <c r="A246" s="133">
        <v>44560.0</v>
      </c>
      <c r="B246" s="136">
        <v>14135.5</v>
      </c>
      <c r="C246" s="137">
        <v>0.0044</v>
      </c>
      <c r="D246" s="116">
        <v>0.993848</v>
      </c>
      <c r="E246" s="31"/>
      <c r="F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</row>
    <row r="247">
      <c r="A247" s="133">
        <v>44559.0</v>
      </c>
      <c r="B247" s="136">
        <v>14072.9</v>
      </c>
      <c r="C247" s="137">
        <v>0.0171</v>
      </c>
      <c r="D247" s="116">
        <v>0.995571</v>
      </c>
      <c r="E247" s="31"/>
      <c r="F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</row>
    <row r="248">
      <c r="A248" s="133">
        <v>44558.0</v>
      </c>
      <c r="B248" s="136">
        <v>13836.15</v>
      </c>
      <c r="C248" s="137">
        <v>0.0092</v>
      </c>
      <c r="D248" s="116">
        <v>0.983177</v>
      </c>
      <c r="E248" s="31"/>
      <c r="F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</row>
    <row r="249">
      <c r="A249" s="133">
        <v>44557.0</v>
      </c>
      <c r="B249" s="136">
        <v>13710.15</v>
      </c>
      <c r="C249" s="137">
        <v>0.0162</v>
      </c>
      <c r="D249" s="116">
        <v>0.990893</v>
      </c>
      <c r="E249" s="31"/>
      <c r="F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</row>
    <row r="250">
      <c r="A250" s="133">
        <v>44554.0</v>
      </c>
      <c r="B250" s="134">
        <v>13491.25</v>
      </c>
      <c r="C250" s="135">
        <v>-0.0112</v>
      </c>
      <c r="D250" s="116">
        <v>0.984034</v>
      </c>
      <c r="E250" s="31"/>
      <c r="F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</row>
    <row r="251">
      <c r="A251" s="142">
        <v>44553.0</v>
      </c>
      <c r="B251" s="143">
        <v>13644.5</v>
      </c>
      <c r="C251" s="144">
        <v>0.0071</v>
      </c>
      <c r="D251" s="116">
        <v>1.011359</v>
      </c>
      <c r="E251" s="31"/>
      <c r="F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</row>
  </sheetData>
  <mergeCells count="3">
    <mergeCell ref="A1:E1"/>
    <mergeCell ref="I1:M1"/>
    <mergeCell ref="I27:K3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Chinmay</dc:creator>
</cp:coreProperties>
</file>