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low_SalesOrder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<sst xmlns="http://schemas.openxmlformats.org/spreadsheetml/2006/main" count="31227" uniqueCount="10838">
  <si>
    <t>SKU</t>
  </si>
  <si>
    <t>OrderNumber</t>
  </si>
  <si>
    <t>OrderStatus</t>
  </si>
  <si>
    <t>Customer</t>
  </si>
  <si>
    <t>ContactName</t>
  </si>
  <si>
    <t>Phone</t>
  </si>
  <si>
    <t>Email</t>
  </si>
  <si>
    <t>BillingAddress1</t>
  </si>
  <si>
    <t>BillingAddress2</t>
  </si>
  <si>
    <t>BillingCity</t>
  </si>
  <si>
    <t>BillingState</t>
  </si>
  <si>
    <t>BillingCountry</t>
  </si>
  <si>
    <t>BillingPostalCode</t>
  </si>
  <si>
    <t>BillingAddressRemarks</t>
  </si>
  <si>
    <t>ShipToCompanyName</t>
  </si>
  <si>
    <t>ShippingAddress1</t>
  </si>
  <si>
    <t>ShippingAddress2</t>
  </si>
  <si>
    <t>ShippingCity</t>
  </si>
  <si>
    <t>ShippingState</t>
  </si>
  <si>
    <t>ShippingCountry</t>
  </si>
  <si>
    <t>ShippingPostalCode</t>
  </si>
  <si>
    <t>ShippingAddressRemarks</t>
  </si>
  <si>
    <t>CurrencyCode</t>
  </si>
  <si>
    <t>ExchangeRate</t>
  </si>
  <si>
    <t>OrderDate</t>
  </si>
  <si>
    <t>OrderRemarks</t>
  </si>
  <si>
    <t>Freight</t>
  </si>
  <si>
    <t>InvoicedDate</t>
  </si>
  <si>
    <t>DueDate</t>
  </si>
  <si>
    <t>DatePaid</t>
  </si>
  <si>
    <t>AmountPaid</t>
  </si>
  <si>
    <t>RequestedShipDate</t>
  </si>
  <si>
    <t>PONumber</t>
  </si>
  <si>
    <t>SalesRep</t>
  </si>
  <si>
    <t>Location</t>
  </si>
  <si>
    <t>PricingScheme</t>
  </si>
  <si>
    <t>PaymentTerms</t>
  </si>
  <si>
    <t>PaymentMethod</t>
  </si>
  <si>
    <t>TaxingScheme</t>
  </si>
  <si>
    <t>Tax1Rate</t>
  </si>
  <si>
    <t>Tax2Rate</t>
  </si>
  <si>
    <t>CalculateTax2OnTax1</t>
  </si>
  <si>
    <t>Tax1Name</t>
  </si>
  <si>
    <t>Tax2Name</t>
  </si>
  <si>
    <t>TaxOnShipping</t>
  </si>
  <si>
    <t>Custom1</t>
  </si>
  <si>
    <t>Custom2</t>
  </si>
  <si>
    <t>Custom3</t>
  </si>
  <si>
    <t>ItemName</t>
  </si>
  <si>
    <t>ItemDescription</t>
  </si>
  <si>
    <t>ItemQuantity</t>
  </si>
  <si>
    <t>ItemUnitPrice</t>
  </si>
  <si>
    <t>ItemDiscount</t>
  </si>
  <si>
    <t>ItemSubtotal</t>
  </si>
  <si>
    <t>ItemTaxCode</t>
  </si>
  <si>
    <t>FLX01712</t>
  </si>
  <si>
    <t>Paid</t>
  </si>
  <si>
    <t>GOFE9668640</t>
  </si>
  <si>
    <t>Bot</t>
  </si>
  <si>
    <t>MercadoLibre</t>
  </si>
  <si>
    <t>Mercado Pago</t>
  </si>
  <si>
    <t>Bandeja Porta Sim Charola Compatible iPhone 7 Plus 5.5</t>
  </si>
  <si>
    <t>FLX01249</t>
  </si>
  <si>
    <t>DANIELRCARRANZA</t>
  </si>
  <si>
    <t>Batería Pila 2000mah Nintendo 3ds Xl &amp; Ll + Desarmador</t>
  </si>
  <si>
    <t>FLX02794</t>
  </si>
  <si>
    <t>CACR7756276</t>
  </si>
  <si>
    <t>Flex Botón Encendido Volumen Para Xiaomi Redmi 9</t>
  </si>
  <si>
    <t>FLX00511</t>
  </si>
  <si>
    <t>LUISANGELDIMAS</t>
  </si>
  <si>
    <t>Cable Ribbon Flex Control Playstation 4 Ps4 10 / 12 / 14 Pin</t>
  </si>
  <si>
    <t>FLX00604</t>
  </si>
  <si>
    <t>NEGRORIVERA83</t>
  </si>
  <si>
    <t>Flex Principal Main Lógica Para Xiaomi Redmi Note 10 Pro</t>
  </si>
  <si>
    <t>FLX02412</t>
  </si>
  <si>
    <t>JGTJORGE1</t>
  </si>
  <si>
    <t>Flex Cable Membrana Fpc Ffc Ribbon Cinta 80c 20624 60v 20cm</t>
  </si>
  <si>
    <t>FLX00670</t>
  </si>
  <si>
    <t>ALFERESOSCAR</t>
  </si>
  <si>
    <t>Bandeja Porta Sim Chip Dual Para Xiaomi Redmi Note 10 / 10s</t>
  </si>
  <si>
    <t>FLX00228</t>
  </si>
  <si>
    <t>ALVARADOPINEDAPABLOEFREN</t>
  </si>
  <si>
    <t>Flex Camara Frontal Sensor Proximidad Para iPhone 8 Plus</t>
  </si>
  <si>
    <t>FLX00507</t>
  </si>
  <si>
    <t>JULIOCESARSANDOVALPREZ</t>
  </si>
  <si>
    <t>Membrana Conductiva Control Compatible Ps4 Playstation Flex</t>
  </si>
  <si>
    <t>FLX00464</t>
  </si>
  <si>
    <t>HEMA20240429100241</t>
  </si>
  <si>
    <t>Control Remoto Bluetooth Disparador Obturador Fotos Selfies</t>
  </si>
  <si>
    <t>FLX00043</t>
  </si>
  <si>
    <t>ALEJANDROSOSMEMURILLO</t>
  </si>
  <si>
    <t>Flex Botón Home Jack Audio Antena Galaxy J7 J701 Neo</t>
  </si>
  <si>
    <t>FLX00636</t>
  </si>
  <si>
    <t>LAURAGUTIERREZ022</t>
  </si>
  <si>
    <t>Flex Home Botón Inicio Para iPhone 7 8 / Plus</t>
  </si>
  <si>
    <t>FLX00547</t>
  </si>
  <si>
    <t>SIBR4382045</t>
  </si>
  <si>
    <t>Adhesivo Pegamento Pantalla Display Para iPhone Varios</t>
  </si>
  <si>
    <t>FLX01454</t>
  </si>
  <si>
    <t>VICTOR2000 7</t>
  </si>
  <si>
    <t>Tapa De Baterías Pilas Trasera Control Xbox 360 Oem Blanco</t>
  </si>
  <si>
    <t>JHONY18307</t>
  </si>
  <si>
    <t>FLX00671</t>
  </si>
  <si>
    <t>COMERCIALIZADORA_UG</t>
  </si>
  <si>
    <t>Bandeja Porta Sim Chip Dual Para Xiaomi Redmi Note 10 Pro</t>
  </si>
  <si>
    <t>FLX00076</t>
  </si>
  <si>
    <t>CRAG9424332</t>
  </si>
  <si>
    <t>Flex Centro Carga Usb Microfono Jack Para Galaxy A12 A125 Cr</t>
  </si>
  <si>
    <t>FLX00504</t>
  </si>
  <si>
    <t>SANCHEZALDO666</t>
  </si>
  <si>
    <t>Flex Centro Carga Usb Control Compatible Ps4 Playstation 4</t>
  </si>
  <si>
    <t>FLX01676</t>
  </si>
  <si>
    <t>RAIS2838126</t>
  </si>
  <si>
    <t>Cable Usb Tipo C Carga Rápida 5a Xiaomi Huawei Samsung 2m</t>
  </si>
  <si>
    <t>FLX00261</t>
  </si>
  <si>
    <t>VIIV3889627</t>
  </si>
  <si>
    <t>Flex Centro Puerto Carga Para Moto G8 Power Lite Xt2055-2</t>
  </si>
  <si>
    <t>FLX02305</t>
  </si>
  <si>
    <t>LUCEROBAILN</t>
  </si>
  <si>
    <t>Par Tira Luz Led Fluorescente Multi Modo Para Casco De Moto</t>
  </si>
  <si>
    <t>FLX00503</t>
  </si>
  <si>
    <t>VALERIAAGUILARESQUIVEL</t>
  </si>
  <si>
    <t>FLX00769</t>
  </si>
  <si>
    <t>ANDRSLUNACASTRO</t>
  </si>
  <si>
    <t>Bocina Altavoz Inferior Llamada Para iPhone 7 Plus 8 Plus</t>
  </si>
  <si>
    <t>FLX01384</t>
  </si>
  <si>
    <t>CITLALIHSALGADO0015</t>
  </si>
  <si>
    <t>Espatula Separador Desmonta Reparacion Celular Display Lcd</t>
  </si>
  <si>
    <t>FLX01853</t>
  </si>
  <si>
    <t>CARLOSMORALESGALLARDO</t>
  </si>
  <si>
    <t>Flex Botones Encendido Volumen Para Moto C Plus Xt1725</t>
  </si>
  <si>
    <t>FLX02619</t>
  </si>
  <si>
    <t>MOTAHEREDIAVICTORMANUEL</t>
  </si>
  <si>
    <t>Flex Centro Puerto Carga Usb Control Para Ps4 Playstation 4</t>
  </si>
  <si>
    <t>JUANDEDIOSSANTOSLUCERO</t>
  </si>
  <si>
    <t>FLX02655</t>
  </si>
  <si>
    <t>ANAKARENGONZALEZQUINTERO</t>
  </si>
  <si>
    <t>Flex Encendido Apagado Boton Compatible Oppo A15</t>
  </si>
  <si>
    <t>FLX01125</t>
  </si>
  <si>
    <t>SUPER 821</t>
  </si>
  <si>
    <t>Potenciometro Palanca Joystick Perilla Control Para Xbox One</t>
  </si>
  <si>
    <t>FLX00078</t>
  </si>
  <si>
    <t>BURA2908592</t>
  </si>
  <si>
    <t>Flex Centro Carga Usb Micrófono Para Galaxy Note 8 N950u</t>
  </si>
  <si>
    <t>FLX01705</t>
  </si>
  <si>
    <t>DIAZCHRISTOPHER20220726010234</t>
  </si>
  <si>
    <t>Bandeja Porta Sim Charola Dual Para Oppo A17</t>
  </si>
  <si>
    <t>FLX01670</t>
  </si>
  <si>
    <t>ROSARIOZB</t>
  </si>
  <si>
    <t>Soporte Anillo Sujetador Soporte Celular Smartphone Cuadrado</t>
  </si>
  <si>
    <t>FLX01878</t>
  </si>
  <si>
    <t>GUSTAVOPEREZ.</t>
  </si>
  <si>
    <t>Tapa Trasera Cubierta Para Moto G7 Plus Xt1965</t>
  </si>
  <si>
    <t>FLX01127</t>
  </si>
  <si>
    <t>SAMI5456662</t>
  </si>
  <si>
    <t>Tapa De Baterías Pilas Trasera Para Control Xbox One Oem Eg</t>
  </si>
  <si>
    <t>FLX01434</t>
  </si>
  <si>
    <t>DIEGOOAGUILARRAMIREZ</t>
  </si>
  <si>
    <t>Lente Vidrio Protector Cámara Compatible Xiaomi Poco X3</t>
  </si>
  <si>
    <t>MOJO9364527</t>
  </si>
  <si>
    <t>FLX02613</t>
  </si>
  <si>
    <t>NGELESFIERROS</t>
  </si>
  <si>
    <t>Cable Cargador Para Huawei Watch Fit Band Es 6 7 8 4x Pro 2</t>
  </si>
  <si>
    <t>FLX00595</t>
  </si>
  <si>
    <t>ANDRIKARAMBURO</t>
  </si>
  <si>
    <t>Bandeja Porta Sim Chip Dual Compatible Xiaomi Redmi 9a 9c</t>
  </si>
  <si>
    <t>FLX00677</t>
  </si>
  <si>
    <t>CAGALANTELEVICTORMANUEL</t>
  </si>
  <si>
    <t>SEBASTIANCHICOB</t>
  </si>
  <si>
    <t>FLX01553</t>
  </si>
  <si>
    <t>MITHRANDIRMX</t>
  </si>
  <si>
    <t>Adaptador Convertidor Av A Hdmi Av2hdmi Audio Video</t>
  </si>
  <si>
    <t>FLX01524</t>
  </si>
  <si>
    <t>PEREZVAZQUEZDIOGENESMANUEL</t>
  </si>
  <si>
    <t>Puerto Centro Carga Universal V8 5 Pines Huawei Zte</t>
  </si>
  <si>
    <t>FLX02260</t>
  </si>
  <si>
    <t>HASHIRA1205</t>
  </si>
  <si>
    <t>Batería Pila Recargable Para Nintendo 3ds + Desarmador</t>
  </si>
  <si>
    <t>FLX00808</t>
  </si>
  <si>
    <t>LEMI641239</t>
  </si>
  <si>
    <t>Tapa Trasera Para Huawei P30 Lite</t>
  </si>
  <si>
    <t>FOURTHFAWN</t>
  </si>
  <si>
    <t>FLX00285</t>
  </si>
  <si>
    <t>COTAALAN20230501214721</t>
  </si>
  <si>
    <t>Flex Centro Puerto Carga Micrófono Para Moto G10 G20</t>
  </si>
  <si>
    <t>FLX00190</t>
  </si>
  <si>
    <t>LOGI9253816</t>
  </si>
  <si>
    <t>Flex Camara Frontal Sensor Proximidad Para iPhone 7 A1778</t>
  </si>
  <si>
    <t>FLX01350</t>
  </si>
  <si>
    <t>DEISYARACELILEYVAHERNANDEZ</t>
  </si>
  <si>
    <t>Bateria Pila Para Xiaomi Redmi Note 5 Pro Bn45 4000mah</t>
  </si>
  <si>
    <t>FLX00455</t>
  </si>
  <si>
    <t>JULIANALEJANDROHERNANDEZHUER</t>
  </si>
  <si>
    <t>Pluma Pen Stylus Compatible Galaxy Tab A 10.1 2016 T580 T585</t>
  </si>
  <si>
    <t>CCMA4945464</t>
  </si>
  <si>
    <t>FLX01012</t>
  </si>
  <si>
    <t>BAJO6963244</t>
  </si>
  <si>
    <t>Cople Adaptador Hdmi Hembra Conexión Recta Extension Full Hd</t>
  </si>
  <si>
    <t>FLX01169</t>
  </si>
  <si>
    <t>PELE9135598</t>
  </si>
  <si>
    <t>Herramienta Quitar Remover Eslabón Correa Pernos Relojero</t>
  </si>
  <si>
    <t>FLX01069</t>
  </si>
  <si>
    <t>JOS GONZ</t>
  </si>
  <si>
    <t>Cable Video Hdmi Full Hd 1080p 19p 3d 1.4 1.5 Metros</t>
  </si>
  <si>
    <t>FLX00666</t>
  </si>
  <si>
    <t>BLBE20240303004938</t>
  </si>
  <si>
    <t>Lente Vidrio Cristal Cámara Para Xiaomi Redmi Note 10 Pro</t>
  </si>
  <si>
    <t>FLX02645</t>
  </si>
  <si>
    <t>PC~AR86®</t>
  </si>
  <si>
    <t>Bandeja Porta Sim Charola Dual Para Galaxy A32 A325 4g</t>
  </si>
  <si>
    <t>FLX00800</t>
  </si>
  <si>
    <t>Bandeja Porta Sim Chip Dual Compatible Xiaomi Redmi Note 8</t>
  </si>
  <si>
    <t>FLX00483</t>
  </si>
  <si>
    <t>JESUSYKENYATORRESNAVARRETE</t>
  </si>
  <si>
    <t>Protector Vidrio Cristal Lente Cámara Xiaomi Redmi Note 8</t>
  </si>
  <si>
    <t>VILLAFUERTEALEJO20230921005602</t>
  </si>
  <si>
    <t>FLX02839</t>
  </si>
  <si>
    <t>MEJIALEVI</t>
  </si>
  <si>
    <t>Flex Principal Main Lector Sim Para Moto Edge 30 Xt2203</t>
  </si>
  <si>
    <t>FLX02429</t>
  </si>
  <si>
    <t>ADRIANRODRGUEZFARIAS</t>
  </si>
  <si>
    <t>FLX01396</t>
  </si>
  <si>
    <t>EDUARDOMADRIGALJIMZ</t>
  </si>
  <si>
    <t>Flex Botón Encendido Apagado Xbox One Sensor Extracción Disc</t>
  </si>
  <si>
    <t>FLX00929</t>
  </si>
  <si>
    <t>LODA9924774</t>
  </si>
  <si>
    <t>Tapa Trasera Compatible Con Xiaomi Redmi Note 8</t>
  </si>
  <si>
    <t>FLX00053</t>
  </si>
  <si>
    <t>ESIG20240118115130</t>
  </si>
  <si>
    <t>Flex Centro Puerto Carga Micrófono Galaxy A02s A025f A02g</t>
  </si>
  <si>
    <t>FLX00508</t>
  </si>
  <si>
    <t>RIOSDURAN9</t>
  </si>
  <si>
    <t>FLX00551</t>
  </si>
  <si>
    <t>MODA7049353</t>
  </si>
  <si>
    <t>4 Pata Goma Soporte Inferior Para Tapa Macbook Pro Con Envío</t>
  </si>
  <si>
    <t>cancelled</t>
  </si>
  <si>
    <t>FLX01459</t>
  </si>
  <si>
    <t>ALAN_RIC2</t>
  </si>
  <si>
    <t>Tapa Trasera Para Moto G6 Plus Xt1926 + Adhesivo</t>
  </si>
  <si>
    <t>FLX00528</t>
  </si>
  <si>
    <t>JORGITO_DEL_MAZO</t>
  </si>
  <si>
    <t>Flex Antena Coaxial Señal Wifi Para iPad 3 / 4</t>
  </si>
  <si>
    <t>MBARROSOC</t>
  </si>
  <si>
    <t>FLX02574</t>
  </si>
  <si>
    <t>JAIMEALEJANDROIBEZROJAS</t>
  </si>
  <si>
    <t>Adaptador Cable Usb Hembra Compatible Xbox Classic Clasico</t>
  </si>
  <si>
    <t>FLX00621</t>
  </si>
  <si>
    <t>LUIZZN07</t>
  </si>
  <si>
    <t>EE20240611015817</t>
  </si>
  <si>
    <t>FLX00121</t>
  </si>
  <si>
    <t>LORENAHERNANDEZMONTIEL</t>
  </si>
  <si>
    <t>Flex Botón Volumen Encendido Para Huawei Y7 2019</t>
  </si>
  <si>
    <t>FLX01119</t>
  </si>
  <si>
    <t>STEPHECHEGA</t>
  </si>
  <si>
    <t>Soporte Anillo Sujetador Holder Para Dedo Celular Gota Metal</t>
  </si>
  <si>
    <t>FLX01116</t>
  </si>
  <si>
    <t>FLX02836</t>
  </si>
  <si>
    <t>LUNALUIS20220619200213</t>
  </si>
  <si>
    <t>Flex Encendido Huella Botón Compatible Galaxy A14 5g A146</t>
  </si>
  <si>
    <t>FLX02826</t>
  </si>
  <si>
    <t>DZLU2789262</t>
  </si>
  <si>
    <t>Flex Centro Puerto Carga Rapida Compatible Xiaomi 12t Pro</t>
  </si>
  <si>
    <t>FLX00465</t>
  </si>
  <si>
    <t>FIGUEROAJULIO41</t>
  </si>
  <si>
    <t>Flex Camara Frontal Sensor Para iPhone 8 A1863 A1905</t>
  </si>
  <si>
    <t>FLX02545</t>
  </si>
  <si>
    <t>LÓPEZPEDRO20221005215523</t>
  </si>
  <si>
    <t>Flex Centro Puerto Carga Rapida Para Galaxy A03 Core A032 Ic</t>
  </si>
  <si>
    <t>FLX01218</t>
  </si>
  <si>
    <t>HERNANDEZAGUSTIN20221023144639</t>
  </si>
  <si>
    <t>Cable Red Cat7 Rj45 Utp Ethernet 10ft Xbox Ps5 Router Modem</t>
  </si>
  <si>
    <t>FLX00500</t>
  </si>
  <si>
    <t>GUSTAVODEAVILAALVARADO</t>
  </si>
  <si>
    <t>GAGU8930252</t>
  </si>
  <si>
    <t>ENRIQUEZANDRES20221206010255</t>
  </si>
  <si>
    <t>FLX00502</t>
  </si>
  <si>
    <t>DANIELNGELESGONZLEZ</t>
  </si>
  <si>
    <t>FLX00844</t>
  </si>
  <si>
    <t>MARCELOANDRESRICO</t>
  </si>
  <si>
    <t>Flex Huella Botón Encendido Para Xiaomi Mi 11 Lite 5g Ne</t>
  </si>
  <si>
    <t>FLX01007</t>
  </si>
  <si>
    <t>DAMIAN_DOMINGUEZ3312</t>
  </si>
  <si>
    <t>Kit Desarmador Espátula Control T6 T8 T10 Xbox One 360 Envío</t>
  </si>
  <si>
    <t>FLX02235</t>
  </si>
  <si>
    <t>ALEJANDRAMTZ3003</t>
  </si>
  <si>
    <t>Repuesto Pila Batería Para iPad Air 1 iPad 5 / 6 / 7 / 8</t>
  </si>
  <si>
    <t>FLX00115</t>
  </si>
  <si>
    <t>GAJA2791566</t>
  </si>
  <si>
    <t>Flex Puerto Centro Carga Micrófono Huawei Y9 2019 Jkm-lx3</t>
  </si>
  <si>
    <t>VIAL405118</t>
  </si>
  <si>
    <t>FLX02674</t>
  </si>
  <si>
    <t>LAVA2749491</t>
  </si>
  <si>
    <t>Flex Centro Puerto Carga Para Oppo A57 A77 K10 5g</t>
  </si>
  <si>
    <t>FLX01146</t>
  </si>
  <si>
    <t>SMFE8762793</t>
  </si>
  <si>
    <t>Tripie Soporte Base Flexible Celular Universal Xiaomi Huawei</t>
  </si>
  <si>
    <t>FLX02209</t>
  </si>
  <si>
    <t>GUDI9386462</t>
  </si>
  <si>
    <t>Flex Camara Frontal Sensor Proximidad Para iPhone 7 Plus</t>
  </si>
  <si>
    <t>FLX00796</t>
  </si>
  <si>
    <t>GAAR4398525</t>
  </si>
  <si>
    <t>Bandeja Porta Sim Charola Chip Para Galaxy A02s A025</t>
  </si>
  <si>
    <t>FLX01015</t>
  </si>
  <si>
    <t>ADALBR1910</t>
  </si>
  <si>
    <t>Adaptador Audio Rca Y Splitter Macho Hembra Jack Plug</t>
  </si>
  <si>
    <t>FLX01017</t>
  </si>
  <si>
    <t>Adaptador Balun Rca Audio Video Av Hembra Terminal Bocina</t>
  </si>
  <si>
    <t>FLX00819</t>
  </si>
  <si>
    <t>CAMI9520918</t>
  </si>
  <si>
    <t>Bandeja Porta Sim Charola Dual Para Moto E7 Plus</t>
  </si>
  <si>
    <t>RUBIOJORGE41</t>
  </si>
  <si>
    <t>FLX00596</t>
  </si>
  <si>
    <t>RAMOSJOSE20230118153702</t>
  </si>
  <si>
    <t>Bandeja Porta Sim Charola Chip Dual Galaxy A51 A71 A515</t>
  </si>
  <si>
    <t>VAKLACTIK_20</t>
  </si>
  <si>
    <t>RIVERALEONADRIAN7</t>
  </si>
  <si>
    <t>FLX00632</t>
  </si>
  <si>
    <t>HEEM9382334</t>
  </si>
  <si>
    <t>Bandeja Porta Sim Charola Chip Compatib Xiaomi Note 9s 9 Pro</t>
  </si>
  <si>
    <t>FLX01689</t>
  </si>
  <si>
    <t>LEONELREYESARTEAGA</t>
  </si>
  <si>
    <t>Flex Centro Carga Micrófono Para Moto E6s Xt2053</t>
  </si>
  <si>
    <t>NUDA5305195</t>
  </si>
  <si>
    <t>FLX02332</t>
  </si>
  <si>
    <t>MARCOSLOPEZOF</t>
  </si>
  <si>
    <t>Puerto Centro Carga Universal Usb C 16 Pin Celular Chino</t>
  </si>
  <si>
    <t>FLX02659</t>
  </si>
  <si>
    <t>JIIV8059198</t>
  </si>
  <si>
    <t>Bandeja Charola Porta Sim Chip Dual Para Moto G30 Xt2129</t>
  </si>
  <si>
    <t>FLX01072</t>
  </si>
  <si>
    <t>LOMI6363843</t>
  </si>
  <si>
    <t>Bateria Pila Para Nintendo Switch Ra-003 4310mah</t>
  </si>
  <si>
    <t>FLX00140</t>
  </si>
  <si>
    <t>GALU7786958</t>
  </si>
  <si>
    <t>Flex Puerto Centro Carga Mic Para Huawei Y6s Y6 Prime 2019</t>
  </si>
  <si>
    <t>FLX02644</t>
  </si>
  <si>
    <t>FRMO6897688</t>
  </si>
  <si>
    <t>FLX00215</t>
  </si>
  <si>
    <t>GUOS3563929</t>
  </si>
  <si>
    <t>Botón Flex Inicio Home Botón Para iPhone 6 / 6 Plus</t>
  </si>
  <si>
    <t>FLX01063</t>
  </si>
  <si>
    <t>Tornillos Par Pentalobe 0.8 Pantalla Lcd Para iPhone 6s Plus</t>
  </si>
  <si>
    <t>FLX01164</t>
  </si>
  <si>
    <t>CO20240626202135</t>
  </si>
  <si>
    <t>Espátula Metálica Flexible Mango Para Desmontar Cristales</t>
  </si>
  <si>
    <t>FLX02680</t>
  </si>
  <si>
    <t>JUANCARLOSTORRES4195</t>
  </si>
  <si>
    <t>Flex Centro Puerto Carga Microfono Para iPhone 11</t>
  </si>
  <si>
    <t>FLX00142</t>
  </si>
  <si>
    <t>GUER20240106212350</t>
  </si>
  <si>
    <t>Flex Encendido On Off Para Galaxy A12 A125 M12 M125</t>
  </si>
  <si>
    <t>FLX00439</t>
  </si>
  <si>
    <t>SERGIORIVERAESPARZA</t>
  </si>
  <si>
    <t>Tapa Trasera Compatible Con Moto One Vision Xt1970 Adhesivo</t>
  </si>
  <si>
    <t>FLX02555</t>
  </si>
  <si>
    <t>JORGEMILIORTIZ05</t>
  </si>
  <si>
    <t>Batería Pila Reemplazo Para Jbl Charge 5 Gsp-1s3p-ch4d</t>
  </si>
  <si>
    <t>FLX01260</t>
  </si>
  <si>
    <t>LMUCMX</t>
  </si>
  <si>
    <t>Cable Adaptador Video Display Port Compatible Con Hdmi</t>
  </si>
  <si>
    <t>FLX01126</t>
  </si>
  <si>
    <t>OG20240811135312</t>
  </si>
  <si>
    <t>FLX02481</t>
  </si>
  <si>
    <t>VARGUEZJUAN</t>
  </si>
  <si>
    <t>Flex Botón Encendido Para Galaxy G610 G570 J5 J7 Prime</t>
  </si>
  <si>
    <t>FLX02211</t>
  </si>
  <si>
    <t>JHONNATANCORTESCHAVARRO</t>
  </si>
  <si>
    <t>Espátula Rigida Reparar Abrir Celulares Tablets Reballing</t>
  </si>
  <si>
    <t>FLX02253</t>
  </si>
  <si>
    <t>CIBER SANTIZAZ</t>
  </si>
  <si>
    <t>Flex Centro Puerto Carga Rápida Para Moto G8 Power Lite Ic</t>
  </si>
  <si>
    <t>FLX00461</t>
  </si>
  <si>
    <t>BAPV 6454</t>
  </si>
  <si>
    <t>Divisor Adaptador Audio Estéreo 3.5mm Microfono Audífono Aux</t>
  </si>
  <si>
    <t>FLX02196</t>
  </si>
  <si>
    <t>ROAX2119343</t>
  </si>
  <si>
    <t>Flex Centro Puerto Carga Para Galaxy Tab A 8.0 T290 / T295</t>
  </si>
  <si>
    <t>FLX00676</t>
  </si>
  <si>
    <t>JORGEARMIN58</t>
  </si>
  <si>
    <t>FLX01233</t>
  </si>
  <si>
    <t>PADILLAALEJANDRO20230822120213</t>
  </si>
  <si>
    <t>Cristal Vidrio Touch Digitalizador Para iPad 5 2017 A1822 23</t>
  </si>
  <si>
    <t>HERNANDEZJESUS20230614235957</t>
  </si>
  <si>
    <t>FLX01326</t>
  </si>
  <si>
    <t>NIRU2904740</t>
  </si>
  <si>
    <t>Repuesto Batería Pila Para Nintendo Gameboy Advance Gba Sp</t>
  </si>
  <si>
    <t>FLX00166</t>
  </si>
  <si>
    <t>VIVEROSGRISELDA20230815012429</t>
  </si>
  <si>
    <t>Flex Puerto Carga Usb Micrófono Para Huawei Nova 5t Yal</t>
  </si>
  <si>
    <t>GODI6747521</t>
  </si>
  <si>
    <t>FLX00605</t>
  </si>
  <si>
    <t>HEHU9771150</t>
  </si>
  <si>
    <t>Flex Principal Main Video Para Xiaomi Poco X3 / X3 Pro</t>
  </si>
  <si>
    <t>FLX00466</t>
  </si>
  <si>
    <t>MARIOALBERTOVILLANUEVACEJA</t>
  </si>
  <si>
    <t>Flex Botón Encendido Volumen Zte Blade V10 Vita</t>
  </si>
  <si>
    <t>FLX01378</t>
  </si>
  <si>
    <t>JUANGCERVANTESR</t>
  </si>
  <si>
    <t>Touch Screen Digitalizador Nintendo Switch</t>
  </si>
  <si>
    <t>URRE6161268</t>
  </si>
  <si>
    <t>FLX00933</t>
  </si>
  <si>
    <t>SIAL20240106155952</t>
  </si>
  <si>
    <t>Flex Centro Puerto Carga Para Zte Blade 20 V Smart 2050</t>
  </si>
  <si>
    <t>FLX02504</t>
  </si>
  <si>
    <t>GS20240603002739</t>
  </si>
  <si>
    <t>Cable Adaptador Display Thunderbolt Hdmi Para Mac Pro Air</t>
  </si>
  <si>
    <t>CARLOS_HERNANDEZ29</t>
  </si>
  <si>
    <t>FLX02298</t>
  </si>
  <si>
    <t>MELOCROM1</t>
  </si>
  <si>
    <t>Cable Av Audio Video Rca Para Xbox Clásico 1</t>
  </si>
  <si>
    <t>FLX00575</t>
  </si>
  <si>
    <t>SG20240713134003</t>
  </si>
  <si>
    <t>Lente Vidrio Cristal Cámara Para Huawei Y7a P Smart 2021</t>
  </si>
  <si>
    <t>FLX02570</t>
  </si>
  <si>
    <t>DZFE9786288</t>
  </si>
  <si>
    <t>Batería Pila Para Jbl Go 2 Mlp284154</t>
  </si>
  <si>
    <t>JOSLUISRAMREZCARDENAS</t>
  </si>
  <si>
    <t>FLX01170</t>
  </si>
  <si>
    <t>JACKOSK</t>
  </si>
  <si>
    <t>Kit 4 Prensa Sujetador Fijador Reparación Pantalla Display</t>
  </si>
  <si>
    <t>FLX02261</t>
  </si>
  <si>
    <t>CHOWDERAGUIRRE24</t>
  </si>
  <si>
    <t>Reemplazo Batería Pila Para Jbl Charge 3 Gsp1029102a 330sl</t>
  </si>
  <si>
    <t>FLX02685</t>
  </si>
  <si>
    <t>EMIMORALESG264</t>
  </si>
  <si>
    <t>Flex Encendido Volumen Carga Inalambrica Nfc Para iPhone X</t>
  </si>
  <si>
    <t>FLX00505</t>
  </si>
  <si>
    <t>SAIDLOPEZ45</t>
  </si>
  <si>
    <t>FLX00931</t>
  </si>
  <si>
    <t>CAMA20240312194208</t>
  </si>
  <si>
    <t>4 Stencil Bga Reballing 154 Cpu Celular Tablet Ic Universal</t>
  </si>
  <si>
    <t>FLX01880</t>
  </si>
  <si>
    <t>ISRAELCORTES2010</t>
  </si>
  <si>
    <t>Tapa Trasera Cubierta Para Moto One Play P30 Xt1941</t>
  </si>
  <si>
    <t>JUAREZMARIO20221011162342</t>
  </si>
  <si>
    <t>FLX02297</t>
  </si>
  <si>
    <t>MONICATERESACHAVIRAOROZCO</t>
  </si>
  <si>
    <t>Flex Membrana Botón Para Joycon Nintendo Switch Zr Zl L</t>
  </si>
  <si>
    <t>FLX00794</t>
  </si>
  <si>
    <t>KARMAPOLICE22</t>
  </si>
  <si>
    <t>Membrana Flex Botón Joycon Nintendo Switch Zr Zl L</t>
  </si>
  <si>
    <t>MDSQQ</t>
  </si>
  <si>
    <t>ALRI6230340</t>
  </si>
  <si>
    <t>FLX00770</t>
  </si>
  <si>
    <t>ENRIQUEVGA</t>
  </si>
  <si>
    <t>Vidrio Cristal Lente Cámara Para Xiaomi Redmi Note 7</t>
  </si>
  <si>
    <t>FLX01551</t>
  </si>
  <si>
    <t>KLEANJRZ</t>
  </si>
  <si>
    <t>Adaptador Convertidor 3.5mm Hembra A 6.35mm Macho Mono</t>
  </si>
  <si>
    <t>FLX02681</t>
  </si>
  <si>
    <t>AMORPHISBLACK752007</t>
  </si>
  <si>
    <t>Flex Botón Encendido Volumen Para Xiaomi Redmi Note 8</t>
  </si>
  <si>
    <t>OSCAR53GARCIA</t>
  </si>
  <si>
    <t>GAJO2715966</t>
  </si>
  <si>
    <t>FLX00520</t>
  </si>
  <si>
    <t>AGUILARSANDI20221105004937</t>
  </si>
  <si>
    <t>Receptor Inalámbrico Bluetooth 3.5mm Auto Estéreo Auxiliar</t>
  </si>
  <si>
    <t>FLX00845</t>
  </si>
  <si>
    <t>LOFR2676144</t>
  </si>
  <si>
    <t>FLX02220</t>
  </si>
  <si>
    <t>LEBY16806</t>
  </si>
  <si>
    <t>Cable Carga Usb Tipo C 3.1 2a 30cm Barato Huawei Xiaomi</t>
  </si>
  <si>
    <t>FLX02859</t>
  </si>
  <si>
    <t>STUGONZLEZ</t>
  </si>
  <si>
    <t>Flex Cable Control Para Playstation 5 Ps5 Microfono Bdm L R</t>
  </si>
  <si>
    <t>CAKRO</t>
  </si>
  <si>
    <t>FLX02631</t>
  </si>
  <si>
    <t>MARTINEZLETICIA20230322163714</t>
  </si>
  <si>
    <t>Flex Centro Puerto Carga Rapida Para Zte V10 Vita</t>
  </si>
  <si>
    <t>JAFR3549423</t>
  </si>
  <si>
    <t>ALEX_CORE_</t>
  </si>
  <si>
    <t>FLX01701</t>
  </si>
  <si>
    <t>TRIS580594</t>
  </si>
  <si>
    <t>Bandeja Porta Sim Charola Dual Para Galaxy A13 A135</t>
  </si>
  <si>
    <t>FLX02603</t>
  </si>
  <si>
    <t>BRITOLALO</t>
  </si>
  <si>
    <t>Probador Tristar Tester Centro Carga Android Para iPhone U2</t>
  </si>
  <si>
    <t>FLX00176</t>
  </si>
  <si>
    <t>CELULANDIA MX</t>
  </si>
  <si>
    <t>Flex Centro Carga Microfono Para iPhone 8 A1863 A1905 A1906</t>
  </si>
  <si>
    <t>FLX00160</t>
  </si>
  <si>
    <t>AGAX2908088</t>
  </si>
  <si>
    <t>Flex Botón Encendido Volumen Huawei Y9 Prime 2019</t>
  </si>
  <si>
    <t>JACF82</t>
  </si>
  <si>
    <t>FLX00090</t>
  </si>
  <si>
    <t>GAMERJOSEHP20231111152857</t>
  </si>
  <si>
    <t>Flex Botón Encendido Apagado Galaxy J6 J8 J4+ J4 Plus J600</t>
  </si>
  <si>
    <t>FLX01369</t>
  </si>
  <si>
    <t>HEPE3385783</t>
  </si>
  <si>
    <t>Flex Centro Puerto Carga Rapida Para Galaxy A13 5g A136</t>
  </si>
  <si>
    <t>ROMANALEJANDRO20221220181330</t>
  </si>
  <si>
    <t>IANSANCHEZ06</t>
  </si>
  <si>
    <t>FLX01392</t>
  </si>
  <si>
    <t>ANDRADEGUADALUPE20220714004844</t>
  </si>
  <si>
    <t>Flex Centro Puerto Carga Microfono Para LG K42 K52</t>
  </si>
  <si>
    <t>PSP_Y_MAS</t>
  </si>
  <si>
    <t>FLX02608</t>
  </si>
  <si>
    <t>Flex Membrana Boton Conductora Para Control Ps4 Playstation</t>
  </si>
  <si>
    <t>FLX01026</t>
  </si>
  <si>
    <t>ORMA6137886</t>
  </si>
  <si>
    <t>Palanca Joystick Perilla Aluminio Control Para Xbox One</t>
  </si>
  <si>
    <t>ELODIOBBOX</t>
  </si>
  <si>
    <t>FLX01714</t>
  </si>
  <si>
    <t>JOSMARTNEZVELZQUEZ</t>
  </si>
  <si>
    <t>Flex Centro Puerto Carga Microfono Para Zte Blade A51 2021</t>
  </si>
  <si>
    <t>FLX01247</t>
  </si>
  <si>
    <t>CANCER1910</t>
  </si>
  <si>
    <t>Bateria Pila Para iPod Classic Video 60 80 120gb Delgada</t>
  </si>
  <si>
    <t>FLX02832</t>
  </si>
  <si>
    <t>ONTIVEROSGUSTAVO20231106163223</t>
  </si>
  <si>
    <t>Flex Centro Puerto Carga Rapida Compatible Galaxy A23 A235</t>
  </si>
  <si>
    <t>FLX02364</t>
  </si>
  <si>
    <t>HEIR8046492</t>
  </si>
  <si>
    <t>Flex Cable Membrana Fpc Ffc Cinta Ribbon 80c 20624 60v 10cm</t>
  </si>
  <si>
    <t>FLX01076</t>
  </si>
  <si>
    <t>ALMADELIAMOJICAMARTNEZ</t>
  </si>
  <si>
    <t>Adaptador Convertidor Video Hdmi Dvi D Dvi I 24+1 24+5 Dual</t>
  </si>
  <si>
    <t>FLX00510</t>
  </si>
  <si>
    <t>MUL1607898</t>
  </si>
  <si>
    <t>FLX00543</t>
  </si>
  <si>
    <t>GAHU47974</t>
  </si>
  <si>
    <t>Lente Cristal Vidrio Protector Cámara Para iPhone 7 / 8 Plus</t>
  </si>
  <si>
    <t>FLX02833</t>
  </si>
  <si>
    <t>Flex Centro Puerto Carga Rapida Compatible Galaxy A23 A236</t>
  </si>
  <si>
    <t>NOVEDADESYDIDACTICOSCARAMAU</t>
  </si>
  <si>
    <t>FLX02611</t>
  </si>
  <si>
    <t>GOIG8995760</t>
  </si>
  <si>
    <t>RADA-MAN-TIS</t>
  </si>
  <si>
    <t>Bandeja Charola Porta Sim Dual Para Xiaomi Redmi Note 10 10s</t>
  </si>
  <si>
    <t>FLX00501</t>
  </si>
  <si>
    <t>ULIZEZ6497</t>
  </si>
  <si>
    <t>OV20240719213032</t>
  </si>
  <si>
    <t>ESAINZCIUDADMADERAS</t>
  </si>
  <si>
    <t>FLX01980</t>
  </si>
  <si>
    <t>E-BEST TECNOLOGIA</t>
  </si>
  <si>
    <t>5 Pcs Capacitor Electrolitico 6.3v 1800uf 0.8cm</t>
  </si>
  <si>
    <t>FLX02006</t>
  </si>
  <si>
    <t>LEALJESUS20220627004111</t>
  </si>
  <si>
    <t>Kit 16 Herramientas Desarmar Abrir Tablets Celulares Reparar</t>
  </si>
  <si>
    <t>FLX00773</t>
  </si>
  <si>
    <t>OSOS8529089</t>
  </si>
  <si>
    <t>Flex Botón Encendido Volumen Para Huawei Y9s Stk</t>
  </si>
  <si>
    <t>FERNANDO OLEA49</t>
  </si>
  <si>
    <t>FA20240811004325</t>
  </si>
  <si>
    <t>FLX02624</t>
  </si>
  <si>
    <t>OMARLUCEO</t>
  </si>
  <si>
    <t>MAJO37164</t>
  </si>
  <si>
    <t>CAJO20240326130837</t>
  </si>
  <si>
    <t>GOBR858870</t>
  </si>
  <si>
    <t>FLX01536</t>
  </si>
  <si>
    <t>LIR470138</t>
  </si>
  <si>
    <t>5 Adhesivo Pegamento Tira Batería Pila iPhone 6 6s 7 4.7</t>
  </si>
  <si>
    <t>GAROUZA</t>
  </si>
  <si>
    <t>FLX01964</t>
  </si>
  <si>
    <t>LARAGOMEZLUIS</t>
  </si>
  <si>
    <t>Repuesto Bat Para Moto G6 Play Xt1922 E5 Xt1944 Bl270</t>
  </si>
  <si>
    <t>FLX02651</t>
  </si>
  <si>
    <t>MCANDTECHNOLOGY SOLUCIONESTEC</t>
  </si>
  <si>
    <t>Flex Membrana Botón Joycon Para Nintendo Switch Sl Sr De Iz</t>
  </si>
  <si>
    <t>FLX02650</t>
  </si>
  <si>
    <t>FLX01086</t>
  </si>
  <si>
    <t>DOMINGUEZFERNANDO2022092600075</t>
  </si>
  <si>
    <t>Palanca Joystick Perilla Control Joycon Para Nintendo Switch</t>
  </si>
  <si>
    <t>MARTIN_TEC1</t>
  </si>
  <si>
    <t>FLX00208</t>
  </si>
  <si>
    <t>SPARTAN CEL</t>
  </si>
  <si>
    <t>Flex Bocina Auricular Sensor Proximidad Para iPhone X Ten</t>
  </si>
  <si>
    <t>FLX02495</t>
  </si>
  <si>
    <t>-FORAJIDO-</t>
  </si>
  <si>
    <t>Cable Vga 1.5m Pc Tv Laptop Proyector Económico</t>
  </si>
  <si>
    <t>LOPEZSANDY20230605003105</t>
  </si>
  <si>
    <t>JESSADRINTORRES</t>
  </si>
  <si>
    <t>FLX00038</t>
  </si>
  <si>
    <t>CAJU2328731</t>
  </si>
  <si>
    <t>Flex Botón Encendido Volumen Para Galaxy A20s A207</t>
  </si>
  <si>
    <t>FLX00620</t>
  </si>
  <si>
    <t>URIELOSIRISAQUINOCHAPAN</t>
  </si>
  <si>
    <t>FLX00664</t>
  </si>
  <si>
    <t>CAMACHOMOIS</t>
  </si>
  <si>
    <t>Flex Botón Encendido Volumen Zte Blade Z Max Z982 V Ultra</t>
  </si>
  <si>
    <t>XPRESSION_3D</t>
  </si>
  <si>
    <t>MENDOZA986</t>
  </si>
  <si>
    <t>LINCECSAR</t>
  </si>
  <si>
    <t>FLX02816</t>
  </si>
  <si>
    <t>ROVI2366167</t>
  </si>
  <si>
    <t>Flex Centro Puerto Carga Rapida Para Galaxy A72 4g 5g A725 6</t>
  </si>
  <si>
    <t>FLX00240</t>
  </si>
  <si>
    <t>ALONSOMARTÍNEZ</t>
  </si>
  <si>
    <t>Flex Centro Puerto Carga Microfono Xiaomi Redmi Note 8</t>
  </si>
  <si>
    <t>FERNANDOAF</t>
  </si>
  <si>
    <t>ESPINOZALUIS20231213113216</t>
  </si>
  <si>
    <t>ORTIZJAMIN</t>
  </si>
  <si>
    <t>CAAM8849019</t>
  </si>
  <si>
    <t>FLX00138</t>
  </si>
  <si>
    <t>FP20240801231445</t>
  </si>
  <si>
    <t>Flex Centro Puerto Carga Usb Micrófono Huawei Mate 20 Lite</t>
  </si>
  <si>
    <t>LÓPEZSAULO20221031151217</t>
  </si>
  <si>
    <t>VAJO9883076</t>
  </si>
  <si>
    <t>HYDE18</t>
  </si>
  <si>
    <t>FLX01353</t>
  </si>
  <si>
    <t>LUISCHI82</t>
  </si>
  <si>
    <t>Bateria Pila Xiaomi Redmi Note 4x Bn43 4000mah</t>
  </si>
  <si>
    <t>FLX01406</t>
  </si>
  <si>
    <t>RARA8445555</t>
  </si>
  <si>
    <t>Juego 4 Pata Goma Soporte Macbook Retina A1425 A1398 A1502 Color Negro</t>
  </si>
  <si>
    <t>FLX02595</t>
  </si>
  <si>
    <t>CASANTERNET</t>
  </si>
  <si>
    <t>Flex Botones Volumen Para Oppo A54</t>
  </si>
  <si>
    <t>ESTVEZMIRANDA</t>
  </si>
  <si>
    <t>FLX00077</t>
  </si>
  <si>
    <t>GARCÍACRISTIAN20220829143325</t>
  </si>
  <si>
    <t>Flex Centro Puerto Carga Micrófono Para Galaxy Note 8 N950f</t>
  </si>
  <si>
    <t>MAYRAALEJANDRAROLDANMARTINEZ</t>
  </si>
  <si>
    <t>LOPEZJAIME20230209195330</t>
  </si>
  <si>
    <t>CHILUCAS_3A</t>
  </si>
  <si>
    <t>FLX02393</t>
  </si>
  <si>
    <t>ITZELGUADALUPEMEJIAGARRIDO</t>
  </si>
  <si>
    <t>Flex Cable Membrana Fpc Ffc Ribbon 80c 20624 60v 15cm Recto</t>
  </si>
  <si>
    <t>HUGOETOJAH4EVER</t>
  </si>
  <si>
    <t>FLX02684</t>
  </si>
  <si>
    <t>MIGUELHACHO</t>
  </si>
  <si>
    <t>Flex Centro Puerto Carga Rápida Para Galaxy A13 A135 4g</t>
  </si>
  <si>
    <t>FLX02554</t>
  </si>
  <si>
    <t>CARLOSHUMBERTOGONZALEZARECHI</t>
  </si>
  <si>
    <t>Refacción Pila Batería Para Jbl Charge 4 Id998 1nr19/66-3</t>
  </si>
  <si>
    <t>FLX02689</t>
  </si>
  <si>
    <t>SANTOSEDUARDO20230412121517</t>
  </si>
  <si>
    <t>Flex Encendido Apagado Boton Para Oppo A12</t>
  </si>
  <si>
    <t>CAOC5840916</t>
  </si>
  <si>
    <t>CAOR2853605</t>
  </si>
  <si>
    <t>FLX00205</t>
  </si>
  <si>
    <t>SHKA2175491</t>
  </si>
  <si>
    <t>Flex Bocina Auricular Sensor Proximidad Para iPhone XS Max</t>
  </si>
  <si>
    <t>FLX02678</t>
  </si>
  <si>
    <t>NASA4308122</t>
  </si>
  <si>
    <t>Bandeja Porta Sim Charola Dual Para Galaxy A23 A236 5g</t>
  </si>
  <si>
    <t>FLX02300</t>
  </si>
  <si>
    <t>RABR9533167</t>
  </si>
  <si>
    <t>Cable Av Audio Video Para Xbox 360 E Slim Rca</t>
  </si>
  <si>
    <t>FLX02777</t>
  </si>
  <si>
    <t>JULIOVARGASRAMREZ</t>
  </si>
  <si>
    <t>Centro Puerto Carga Para Macbook Pro Retina A1398</t>
  </si>
  <si>
    <t>FLX00452</t>
  </si>
  <si>
    <t>MALDONADOOLIVER20231121223838</t>
  </si>
  <si>
    <t>Pluma Lápiz Óptico Stylus S Pen Galaxy Note 9 N9600</t>
  </si>
  <si>
    <t>JESLOPEZURREA</t>
  </si>
  <si>
    <t>FLX00643</t>
  </si>
  <si>
    <t>GARCIAIRMA20220924202728</t>
  </si>
  <si>
    <t>Boton Encendido / Volumen Para Xiaomi Redmi Note 7 Pro</t>
  </si>
  <si>
    <t>FLX02575</t>
  </si>
  <si>
    <t>LEALCRISTINA20230606121742</t>
  </si>
  <si>
    <t>Bandeja Porta Sim Charola Dual Para Galaxy A22 A225</t>
  </si>
  <si>
    <t>FLX02262</t>
  </si>
  <si>
    <t>EDNASGO</t>
  </si>
  <si>
    <t>Bandeja Porta Sim Charola Chip Dual Para Galaxy A51 A71 A515</t>
  </si>
  <si>
    <t>FLX02865</t>
  </si>
  <si>
    <t>ESPINOSAGIL20230322143452</t>
  </si>
  <si>
    <t>2 Tornillo Disco Duro Ssd M.2 Nvme Hard Drive Tarjeta Madre</t>
  </si>
  <si>
    <t>RETAROSY20230717131344</t>
  </si>
  <si>
    <t>FLX02673</t>
  </si>
  <si>
    <t>ESMA6400654</t>
  </si>
  <si>
    <t>Flex Centro Puerto Carga Compatible Oppo A54 A55 5g</t>
  </si>
  <si>
    <t>FLX01271</t>
  </si>
  <si>
    <t>OSCARZNERI</t>
  </si>
  <si>
    <t>2 Mica Protector Lente Camara Trasera Galaxy Todos Modelos</t>
  </si>
  <si>
    <t>FLX02208</t>
  </si>
  <si>
    <t>TERESITADEJESSMARTNEZRAM</t>
  </si>
  <si>
    <t>Flex Camara Frontal Sensor Proximidad iPhone 8 A1863 A1905</t>
  </si>
  <si>
    <t>FLX02550</t>
  </si>
  <si>
    <t>HERNANDEZDAVIS20220722220844</t>
  </si>
  <si>
    <t>Flex Centro Puerto Carga Rapida Para Galaxy A03 A037</t>
  </si>
  <si>
    <t>FLX01198</t>
  </si>
  <si>
    <t>PAMY7483053</t>
  </si>
  <si>
    <t>Adhesivo Pegamento Batería Pila Para iPhone Varios Modelos</t>
  </si>
  <si>
    <t>CARLOSRAULCUEVAS</t>
  </si>
  <si>
    <t>HAIS2778559</t>
  </si>
  <si>
    <t>FLX00422</t>
  </si>
  <si>
    <t>JRAMOS52488</t>
  </si>
  <si>
    <t>Lente Cristal Vidrio Protector Cámara Galaxy S20 Ultra G988</t>
  </si>
  <si>
    <t>HERNANDEZARTEMIO20230405152305</t>
  </si>
  <si>
    <t>FLX00082</t>
  </si>
  <si>
    <t>GAFE7657980</t>
  </si>
  <si>
    <t>Flex Puerto Centro Carga Para Galaxy Tab 4 10.1 T530 T535</t>
  </si>
  <si>
    <t>FLX00220</t>
  </si>
  <si>
    <t>Flex Encendido Volumen Silencio Sensor Para iPhone 6s A1633</t>
  </si>
  <si>
    <t>FLX00608</t>
  </si>
  <si>
    <t>URIELCALDERONBANDERAS</t>
  </si>
  <si>
    <t>Flex Puerto Carga Micrófono Para Xiaomi Mi 10t Redmi K30s</t>
  </si>
  <si>
    <t>FLX01752</t>
  </si>
  <si>
    <t>OF20240624144510</t>
  </si>
  <si>
    <t>Haing 3.0  Sata, Ide 3.5 &amp; 2.5 Usb 3.0 Color Negro</t>
  </si>
  <si>
    <t>FLX02543</t>
  </si>
  <si>
    <t>PÉREZROLANDO20220603180108</t>
  </si>
  <si>
    <t>Flex Centro Puerto Carga Rapida Para Galaxy A04 A045</t>
  </si>
  <si>
    <t>FLX02727</t>
  </si>
  <si>
    <t>MAGDALENAJAZMINLOPEZMARTINEZ</t>
  </si>
  <si>
    <t>MEFE5094927</t>
  </si>
  <si>
    <t>TOTES4788</t>
  </si>
  <si>
    <t>RIJO8426421</t>
  </si>
  <si>
    <t>FLX00645</t>
  </si>
  <si>
    <t>Flex Centro Puerto Carga Para Xiaomi Redmi Note 8 Pro</t>
  </si>
  <si>
    <t>FLX00555</t>
  </si>
  <si>
    <t>DAV_VI2009</t>
  </si>
  <si>
    <t>Bandeja Charola Porta Sim Compatible Huawei Y9 Prime 2019</t>
  </si>
  <si>
    <t>ROMAN940</t>
  </si>
  <si>
    <t>FLX01884</t>
  </si>
  <si>
    <t>CESARVILLASENOR4</t>
  </si>
  <si>
    <t>Tornillos Kit Juego Tapa Para Macbook Pro A1278 A1286 /a1297</t>
  </si>
  <si>
    <t>MAESESPLINTER</t>
  </si>
  <si>
    <t>FLX01390</t>
  </si>
  <si>
    <t>QUIROGAJESUS20230212172423</t>
  </si>
  <si>
    <t>Bateria Pila Reemplazo Para Jbl Flip 4 Gsp87269301</t>
  </si>
  <si>
    <t>BARRERADANIEL52</t>
  </si>
  <si>
    <t>GAAN4568412</t>
  </si>
  <si>
    <t>FLX02815</t>
  </si>
  <si>
    <t>ROAG7766701</t>
  </si>
  <si>
    <t>Flex Centro Puerto Carga Rapida Para Moto G53 5g Xt2335</t>
  </si>
  <si>
    <t>FLX01523</t>
  </si>
  <si>
    <t>LALU9502975</t>
  </si>
  <si>
    <t>10 Capuchon Joystick Perilla Goma Control Para Xbox One</t>
  </si>
  <si>
    <t>CASTILLOROMEROMARCOANTONIO</t>
  </si>
  <si>
    <t>FLX00788</t>
  </si>
  <si>
    <t>SOLCOMSTE</t>
  </si>
  <si>
    <t>Lente Vidrio Cristal Cámara Para Huawei Y9s</t>
  </si>
  <si>
    <t>FLX02819</t>
  </si>
  <si>
    <t>RIFE20240423011814</t>
  </si>
  <si>
    <t>Flex Centro Puerto Carga Rapida Para Vivo Y11s V2028</t>
  </si>
  <si>
    <t>BEATRIZADRIANATRINIDADESPINO</t>
  </si>
  <si>
    <t>IBARRAERICK20230104193919</t>
  </si>
  <si>
    <t>FLX00713</t>
  </si>
  <si>
    <t>HEGI3788630</t>
  </si>
  <si>
    <t>Bandeja Porta Sim Charola Para Huawei Nova 3</t>
  </si>
  <si>
    <t>LUVVKYLAANN</t>
  </si>
  <si>
    <t>JOBR7095289</t>
  </si>
  <si>
    <t>FLX00723</t>
  </si>
  <si>
    <t>LAGUILAR3880</t>
  </si>
  <si>
    <t>Bandeja Porta Sim Charola Para Xiaomi Poco X3</t>
  </si>
  <si>
    <t>FLX02598</t>
  </si>
  <si>
    <t>OTONIELANDRADECASAS</t>
  </si>
  <si>
    <t>Flex Centro Puerto Carga Rapida Para Galaxy A04s A047</t>
  </si>
  <si>
    <t>ROJO7287175</t>
  </si>
  <si>
    <t>HUYO7941273</t>
  </si>
  <si>
    <t>FLX02544</t>
  </si>
  <si>
    <t>RIFR7014700</t>
  </si>
  <si>
    <t>Flex Centro Puerto Carga Compatible Lenovo Tab M8 Tb-8505f</t>
  </si>
  <si>
    <t>FLX00295</t>
  </si>
  <si>
    <t>MEED3547103</t>
  </si>
  <si>
    <t>Flex Centro Puerto Carga Micrófono Xperia Xa1 Ultra 21 22 23</t>
  </si>
  <si>
    <t>FLX00046</t>
  </si>
  <si>
    <t>GOGE1836813</t>
  </si>
  <si>
    <t>Flex Jack Audio Microfono Galaxy J600 J8 J810 A6 A600 2018</t>
  </si>
  <si>
    <t>FLX00021</t>
  </si>
  <si>
    <t>RERO2208817</t>
  </si>
  <si>
    <t>Flex Centro Puerto Carga Microfono Jack Para Galaxy A7 A750</t>
  </si>
  <si>
    <t>FLX02621</t>
  </si>
  <si>
    <t>CRAL3854097</t>
  </si>
  <si>
    <t>FLJA7346536</t>
  </si>
  <si>
    <t>FLX01255</t>
  </si>
  <si>
    <t>NOEPERERA</t>
  </si>
  <si>
    <t>Repuesto Batería Pila Compatible Con iPad Air 1 / 5 6 7 8</t>
  </si>
  <si>
    <t>SAAVEDRACARLOS77</t>
  </si>
  <si>
    <t>FLX02552</t>
  </si>
  <si>
    <t>HELU20240208125305</t>
  </si>
  <si>
    <t>Tira Luz Decorativa Led Luminosa Casco Moto Seguridad</t>
  </si>
  <si>
    <t>FLX00718</t>
  </si>
  <si>
    <t>MIED6771842</t>
  </si>
  <si>
    <t>Cable Adaptador Convertidor Usb Ps/2 Hembra Mouse Teclado</t>
  </si>
  <si>
    <t>VAGACTIV</t>
  </si>
  <si>
    <t>FLX02795</t>
  </si>
  <si>
    <t>SERGIOALBERTOVAZQUEZMORALES</t>
  </si>
  <si>
    <t>Flex Centro Puerto Carga Rapida Para Galaxy A14 A145 4g</t>
  </si>
  <si>
    <t>FLX02831</t>
  </si>
  <si>
    <t>JOSEANTONIOSANTIAGOPALOMINO</t>
  </si>
  <si>
    <t>Flex Centro Puerto Carga Rapida Compatibe LG K22 Plus Lmk200</t>
  </si>
  <si>
    <t>SACR6558687</t>
  </si>
  <si>
    <t>JUANMIGUELVALDEZJIMNEZ</t>
  </si>
  <si>
    <t>FLX00478</t>
  </si>
  <si>
    <t>ROMEROKARLA83</t>
  </si>
  <si>
    <t>Juego Kit Tornillos Macbook Air A1370 A1465 A1369 A1466</t>
  </si>
  <si>
    <t>ALRU20240208044758</t>
  </si>
  <si>
    <t>OLAD1900790</t>
  </si>
  <si>
    <t>FLX02747</t>
  </si>
  <si>
    <t>FER_BALEON</t>
  </si>
  <si>
    <t>Flex Boton Encendido Para Hp Da0u83pb6e0 14-n 15-f Pavilion</t>
  </si>
  <si>
    <t>EMILIOALBERTOLUNAMORA</t>
  </si>
  <si>
    <t>FLX01227</t>
  </si>
  <si>
    <t>JAVIER998922</t>
  </si>
  <si>
    <t>Cristal Digitalizador Touch iPad 3 4 + Adhesivo A1416 A1458</t>
  </si>
  <si>
    <t>MIIGUELAANGEL120</t>
  </si>
  <si>
    <t>FLX02814</t>
  </si>
  <si>
    <t>WOLF059</t>
  </si>
  <si>
    <t>Flex Centro Puerto Carga Rapida Para Moto Edge 20 Xt2143</t>
  </si>
  <si>
    <t>FLX01344</t>
  </si>
  <si>
    <t>TILTLIC</t>
  </si>
  <si>
    <t>Batería Pila Original 105mah iPod Nano 6 Gen A1366 616-0531</t>
  </si>
  <si>
    <t>FLX02890</t>
  </si>
  <si>
    <t>YEMILKARIN</t>
  </si>
  <si>
    <t>Lente Vidrio Cámara Para Xiaomi Redmi Note 9s 9 Pro</t>
  </si>
  <si>
    <t>FLX00194</t>
  </si>
  <si>
    <t>JESUSOMARGILMORALES</t>
  </si>
  <si>
    <t>Flex Centro Puerto Carga Micrófono Para iPhone XR A1984 2105</t>
  </si>
  <si>
    <t>MALE112543</t>
  </si>
  <si>
    <t>FLX00747</t>
  </si>
  <si>
    <t>FLX00468</t>
  </si>
  <si>
    <t>JUANANTONIOALBORTANTE</t>
  </si>
  <si>
    <t>Auricular Bocina Frontal Llamadas Para iPhone 7 Plus 8 Plus</t>
  </si>
  <si>
    <t>ERICDIAZPONCET</t>
  </si>
  <si>
    <t>FLX00825</t>
  </si>
  <si>
    <t>GABU000810</t>
  </si>
  <si>
    <t>COSMOS7695</t>
  </si>
  <si>
    <t>CHIS433372</t>
  </si>
  <si>
    <t>MOIV7106831</t>
  </si>
  <si>
    <t>FLX01171</t>
  </si>
  <si>
    <t>LOPEZMARIA20230715165812</t>
  </si>
  <si>
    <t>Par Grapa Prensa Fijador Reparación Pantalla Celular</t>
  </si>
  <si>
    <t>FLX00546</t>
  </si>
  <si>
    <t>MIGUELANGELARRIETAMADRID</t>
  </si>
  <si>
    <t>Adhesivo Pegamento Pantalla Display Para iPhone 6s 7 8 4.7</t>
  </si>
  <si>
    <t>EFRAIN1996</t>
  </si>
  <si>
    <t>FLX00437</t>
  </si>
  <si>
    <t>LUISALEJANDROBALBUENAMEDINA</t>
  </si>
  <si>
    <t>Flex Lector Juego Cartucho Compatible Nintendo Switch</t>
  </si>
  <si>
    <t>FLX02752</t>
  </si>
  <si>
    <t>AVAR9139443</t>
  </si>
  <si>
    <t>Centro Puerto Jack Carga Para Hp 799735-f51 13-s 14-ce Envy</t>
  </si>
  <si>
    <t>VICTOREDUARDOPEREZMEJIA</t>
  </si>
  <si>
    <t>FLX00499</t>
  </si>
  <si>
    <t>BRYAN DELEON</t>
  </si>
  <si>
    <t>Par Tapa Capuchon Perilla Jostick Para Control De Game Cube</t>
  </si>
  <si>
    <t>ANAR4169095</t>
  </si>
  <si>
    <t>SLVDRLLNS</t>
  </si>
  <si>
    <t>FLX02547</t>
  </si>
  <si>
    <t>IMAC20240301122207</t>
  </si>
  <si>
    <t>Flex Centro Puerto Carga Rapida Para Zte Blade V30 Vita 8030</t>
  </si>
  <si>
    <t>FLX01056</t>
  </si>
  <si>
    <t>CUDA20240111143443</t>
  </si>
  <si>
    <t>Pinza Apertura Separador Pantalla Lcd Ventosa Celular Tablet</t>
  </si>
  <si>
    <t>CRUZANTONIO20230909195503</t>
  </si>
  <si>
    <t>FLX02503</t>
  </si>
  <si>
    <t>LOJO9496369</t>
  </si>
  <si>
    <t>Pila Batería Para Jbl Flip 3 Gsp872693</t>
  </si>
  <si>
    <t>UG20240801133903</t>
  </si>
  <si>
    <t>FLX00450</t>
  </si>
  <si>
    <t>ALONDRAANGEL081594</t>
  </si>
  <si>
    <t>Pluma Lápiz Óptico Stylus S Pen Oem Galaxy Note 5 N920 Ne</t>
  </si>
  <si>
    <t>FLX00781</t>
  </si>
  <si>
    <t>MARTINEZBELEN20221122013859</t>
  </si>
  <si>
    <t>Lente Vidrio Cristal Cámara Para Xiaomi Poco M3 Pro 5g</t>
  </si>
  <si>
    <t>FLX02228</t>
  </si>
  <si>
    <t>DOAB1118899</t>
  </si>
  <si>
    <t>Bandeja Porta Sim Charola Chip Dual Para Moto E6 Play Xt2029</t>
  </si>
  <si>
    <t>FLX01178</t>
  </si>
  <si>
    <t>GARCIAORLANDO20211203014822</t>
  </si>
  <si>
    <t>Cable Adaptador Mini Displayport A Hdmi Para Mac</t>
  </si>
  <si>
    <t>FLX00637</t>
  </si>
  <si>
    <t>PAJE572128</t>
  </si>
  <si>
    <t>Flex Boton Encendido Volumen Para Moto G6 Play / E5</t>
  </si>
  <si>
    <t>DEJOSE20230912150334</t>
  </si>
  <si>
    <t>SALINASJULIO20230906130631</t>
  </si>
  <si>
    <t>FLX01358</t>
  </si>
  <si>
    <t>CLARASANTOS530</t>
  </si>
  <si>
    <t>Batería Recargable Compatible Psp Vita Playstation 2210mah</t>
  </si>
  <si>
    <t>FLX02763</t>
  </si>
  <si>
    <t>SPARTAN-117-MC</t>
  </si>
  <si>
    <t>10 Pcs Palanca Joystick Capuchon Goma Control Para Xbox 360</t>
  </si>
  <si>
    <t>SANCHEZLUIS20221024150931</t>
  </si>
  <si>
    <t>FLX02361</t>
  </si>
  <si>
    <t>KARLACASTILLO53</t>
  </si>
  <si>
    <t>Flex Cable Membrana Fpc Ffc Ribbon 80c 20624 60v 10cm</t>
  </si>
  <si>
    <t>CASTROANGEL20231005152450</t>
  </si>
  <si>
    <t>CERVANTESANDRES20221120174422</t>
  </si>
  <si>
    <t>CUKA7479534</t>
  </si>
  <si>
    <t>FLX02257</t>
  </si>
  <si>
    <t>ROBERTOISAACMENDOZAMONTIEL</t>
  </si>
  <si>
    <t>Batería Pila 1043mah iPod Touch 6 6g A1641 A1574 00428</t>
  </si>
  <si>
    <t>FLX00279</t>
  </si>
  <si>
    <t>GAJO2905729</t>
  </si>
  <si>
    <t>Flex Centro Carga Micrófono Compatible Moto G9 Play Xt2083</t>
  </si>
  <si>
    <t>SEAB5247622</t>
  </si>
  <si>
    <t>DAVID SANDS</t>
  </si>
  <si>
    <t>FLX01033</t>
  </si>
  <si>
    <t>MAYANIVALLEJOALVARADO</t>
  </si>
  <si>
    <t>Juego Kit 9 Pinzas Antiestática Anticorrosivas Reparación</t>
  </si>
  <si>
    <t>MTZE1993</t>
  </si>
  <si>
    <t>BAUTISTAOSCAR20230619170814</t>
  </si>
  <si>
    <t>SOTONATHALIA20221203023334</t>
  </si>
  <si>
    <t>FLX00721</t>
  </si>
  <si>
    <t>OSORIODANIEL20230902175422</t>
  </si>
  <si>
    <t>Bandeja Porta Sim Charola Chip Dual Para Xiaomi Redmi 9</t>
  </si>
  <si>
    <t>GIPR20240309071919</t>
  </si>
  <si>
    <t>FLX01339</t>
  </si>
  <si>
    <t>JOSREFUGIORODRIGUEZ</t>
  </si>
  <si>
    <t>Batería Pila Para iPad 2 3.8v 6930mah A1395 A1396 A1376</t>
  </si>
  <si>
    <t>FLX02676</t>
  </si>
  <si>
    <t>LOSA5012310</t>
  </si>
  <si>
    <t>Flex Encendido Apagado Para Galaxy A12 A125 M12 M125</t>
  </si>
  <si>
    <t>FLX00561</t>
  </si>
  <si>
    <t>PEJO7578964</t>
  </si>
  <si>
    <t>Bandeja Charola Porta Nano Sim Para iPhone X A1865 A1901</t>
  </si>
  <si>
    <t>DIAZEDITH20230426222020</t>
  </si>
  <si>
    <t>FLX02667</t>
  </si>
  <si>
    <t>EDDYKORE</t>
  </si>
  <si>
    <t>Lente Vidrio Cristal Cámara Para Xiaomi Poco M4 Pro</t>
  </si>
  <si>
    <t>FLX00758</t>
  </si>
  <si>
    <t>GEANDE GRANDE</t>
  </si>
  <si>
    <t>Bandeja Charola Porta Sim Dual Sd Para Galaxy A12 A125</t>
  </si>
  <si>
    <t>RCB2020</t>
  </si>
  <si>
    <t>HEFR5156178</t>
  </si>
  <si>
    <t>LOPEZJONATHAN20230914223730</t>
  </si>
  <si>
    <t>KC20240724000033</t>
  </si>
  <si>
    <t>ACOSTABLADIMIR20221206025513</t>
  </si>
  <si>
    <t>LUGHER2015</t>
  </si>
  <si>
    <t>FLX02776</t>
  </si>
  <si>
    <t>CABALLEROSALVADOR19</t>
  </si>
  <si>
    <t>Bateria Pila Para AirPods Pro 2 A2084 Y A2083</t>
  </si>
  <si>
    <t>FLX01554</t>
  </si>
  <si>
    <t>CARRILLOFERNANDO20230917114229</t>
  </si>
  <si>
    <t>Adaptador Convertidor Hdmi A Av Hdmi2av Audio Video Flexcop</t>
  </si>
  <si>
    <t>FLX02589</t>
  </si>
  <si>
    <t>GAIS5858774</t>
  </si>
  <si>
    <t>Flex Centro Puerto Carga Para Xiaomi Redmi Note 10 / 10s</t>
  </si>
  <si>
    <t>FLX01301</t>
  </si>
  <si>
    <t>LUISALBERTOHERRERASALAZAR</t>
  </si>
  <si>
    <t>Adaptador Otg Micro Usb Memorias Accesorios Android</t>
  </si>
  <si>
    <t>FLX00086</t>
  </si>
  <si>
    <t>Flex Conector Puerto Carga Usb Galaxy Tab S 10.5 T800 T805</t>
  </si>
  <si>
    <t>CERVANTESTALLER20230918204220</t>
  </si>
  <si>
    <t>ACDA5607055</t>
  </si>
  <si>
    <t>FLX00525</t>
  </si>
  <si>
    <t>GOST4493151</t>
  </si>
  <si>
    <t>Flex Botón Inicio Home Para iPad Mini 3 Negro A1599 A1600 Fx</t>
  </si>
  <si>
    <t>VAAB7885620</t>
  </si>
  <si>
    <t>Flex Centro Carga Micrófono Para Moto G10 G20 Xt2127 Xt2128</t>
  </si>
  <si>
    <t>FLX02077</t>
  </si>
  <si>
    <t>USIEL.</t>
  </si>
  <si>
    <t>Flex Centro Puerto Carga Para Moto E7 Plus Rápida Ic</t>
  </si>
  <si>
    <t>FLX02076</t>
  </si>
  <si>
    <t>BRIONESZUIGALORENZO</t>
  </si>
  <si>
    <t>Flex Centro Carga Micrófono Moto G Pro / G Stylus Xt2043</t>
  </si>
  <si>
    <t>VAZQUEZDIEGO20221104182515</t>
  </si>
  <si>
    <t>FLX01704</t>
  </si>
  <si>
    <t>SOTOGONZALEZJUANJOSE</t>
  </si>
  <si>
    <t>FLX00458</t>
  </si>
  <si>
    <t>JAGUARPOOL</t>
  </si>
  <si>
    <t>Riel Carga Flex Lateral Izq Dcho Para Nintendo Switch Joycon</t>
  </si>
  <si>
    <t>GRAFICOJR</t>
  </si>
  <si>
    <t>Cable Adaptador Mini Displayport A Hdmi Para Macbook</t>
  </si>
  <si>
    <t>FLX00221</t>
  </si>
  <si>
    <t>GOJE6175233</t>
  </si>
  <si>
    <t>Flex Centro Puerto De Carga Compatible iPhone XS Max</t>
  </si>
  <si>
    <t>FLX01107</t>
  </si>
  <si>
    <t>CRUZMAGIN</t>
  </si>
  <si>
    <t>Cable Adaptador Convertidor Usb Tipo C 3.1 A Vga</t>
  </si>
  <si>
    <t>FLX01180</t>
  </si>
  <si>
    <t>MALDONADOVALENCIAJUANCARLOS</t>
  </si>
  <si>
    <t>Cable Carga Usb Tipo C 2a 30cm Para Huawei Xiaomi Moto Zte</t>
  </si>
  <si>
    <t>RAMOSALAN20230120181055</t>
  </si>
  <si>
    <t>FLX02546</t>
  </si>
  <si>
    <t>MEVI1049470</t>
  </si>
  <si>
    <t>Flex Centro Puerto Carga Rapida Para Zte Blade V30 9030 Ic</t>
  </si>
  <si>
    <t>FLX02512</t>
  </si>
  <si>
    <t>SOAG5479155</t>
  </si>
  <si>
    <t>FLX02808</t>
  </si>
  <si>
    <t>ADRIANCAT117</t>
  </si>
  <si>
    <t>Flex Centro Puerto Carga Rapida Para Xiaomi Redmi 9t 9 Power</t>
  </si>
  <si>
    <t>DOMINGUEZLORENZA20230310201927</t>
  </si>
  <si>
    <t>FLX01253</t>
  </si>
  <si>
    <t>EFFIGY_CCR2005</t>
  </si>
  <si>
    <t>Bateria Pila Galaxy Tab S2 8 T710 T715 Eb-bt710ab 4000mah</t>
  </si>
  <si>
    <t>MARIADELOSNGELESOCHOA</t>
  </si>
  <si>
    <t>FLX01700</t>
  </si>
  <si>
    <t>FCOHPM</t>
  </si>
  <si>
    <t>Bandeja Porta Sim Charola Dual Para Galaxy A30s A307</t>
  </si>
  <si>
    <t>DCARMONALARA</t>
  </si>
  <si>
    <t>FLX01360</t>
  </si>
  <si>
    <t>Bocina Altavoz Inferior De Llamada Para iPhone 8 A1905 A1863</t>
  </si>
  <si>
    <t>FLX00237</t>
  </si>
  <si>
    <t>RESO20240102131450</t>
  </si>
  <si>
    <t>Flex Centro Puerto Carga Microfono Xiaomi Redmi S2 / Y2</t>
  </si>
  <si>
    <t>HERO2229920</t>
  </si>
  <si>
    <t>LUIS.GARXIA</t>
  </si>
  <si>
    <t>SOLANOJUAN20220909200138</t>
  </si>
  <si>
    <t>FLX02668</t>
  </si>
  <si>
    <t>ROAL6158262</t>
  </si>
  <si>
    <t>Lente Vidrio Cristal Cámara Para Xiaomi Poco X3 Gt</t>
  </si>
  <si>
    <t>RIC_PEREZPADILLA</t>
  </si>
  <si>
    <t>FLX02755</t>
  </si>
  <si>
    <t>TORO6222914</t>
  </si>
  <si>
    <t>Flex Botón Encendido Volumen Para Huawei Y9a</t>
  </si>
  <si>
    <t>KTS_45</t>
  </si>
  <si>
    <t>JOSEAVILACORDERO1</t>
  </si>
  <si>
    <t>FLX00668</t>
  </si>
  <si>
    <t>NAVAANA20221017214420</t>
  </si>
  <si>
    <t>Bandeja Porta Sim Charola Dual Para Galaxy A32 A325 4g Fxp</t>
  </si>
  <si>
    <t>FLX00697</t>
  </si>
  <si>
    <t>TAIGAISAKA</t>
  </si>
  <si>
    <t>SERGIORUIZMARQUEZBUAP</t>
  </si>
  <si>
    <t>FLX02845</t>
  </si>
  <si>
    <t>LEODIAZAGUILAR</t>
  </si>
  <si>
    <t>Bandeja Porta Sim Charola Chip Dual Para E7 E7i Power Xt2097</t>
  </si>
  <si>
    <t>AS20240724155308</t>
  </si>
  <si>
    <t>FLX00506</t>
  </si>
  <si>
    <t>FLX00463</t>
  </si>
  <si>
    <t>RAEM7412694</t>
  </si>
  <si>
    <t>5 Pin Centro Carga Galaxy J1 J3 J4 J5 J7 J8 T350 A10 A750</t>
  </si>
  <si>
    <t>FLX02628</t>
  </si>
  <si>
    <t>AIORIA APA</t>
  </si>
  <si>
    <t>Bocina Altavoz Inferior Para Moto G6 / G6 Play Xt1922 Xt1925</t>
  </si>
  <si>
    <t>FLX02590</t>
  </si>
  <si>
    <t>MANUELRMO12</t>
  </si>
  <si>
    <t>Flex Centro Puerto Carga Rápida Para Xiaomi Redmi 10c</t>
  </si>
  <si>
    <t>FLX00640</t>
  </si>
  <si>
    <t>TAMAYOALAN395</t>
  </si>
  <si>
    <t>Boton Encendido Volumen Para Moto G7 Play Xt1952</t>
  </si>
  <si>
    <t>FLX01220</t>
  </si>
  <si>
    <t>PEEM9002020</t>
  </si>
  <si>
    <t>Cable Red Cat7 Rj45 Utp Ethernet 22.8m Xbox Ps5 Router Modem</t>
  </si>
  <si>
    <t>SAMA5778876</t>
  </si>
  <si>
    <t>MTVI843366</t>
  </si>
  <si>
    <t>FLX00597</t>
  </si>
  <si>
    <t>HEDA6244609</t>
  </si>
  <si>
    <t>FLX02766</t>
  </si>
  <si>
    <t>GAFE41909</t>
  </si>
  <si>
    <t>Cable Cargador Para Macbook Pro Usb C 100w Carga Rapida 1.8m</t>
  </si>
  <si>
    <t>FLX02599</t>
  </si>
  <si>
    <t>VAZQEZANDRES</t>
  </si>
  <si>
    <t>Flex Centro Puerto Carga Rapida Para Oneplus Nord N100</t>
  </si>
  <si>
    <t>CALO_JI</t>
  </si>
  <si>
    <t>CRCA1042352</t>
  </si>
  <si>
    <t>GAAN5051089</t>
  </si>
  <si>
    <t>JAHIR2002AC</t>
  </si>
  <si>
    <t>FLX00647</t>
  </si>
  <si>
    <t>LUISALBERTOFREGOSOMORA</t>
  </si>
  <si>
    <t>Lente Cristal Vidrio Camara Para Oppo A32 / A53 4g S</t>
  </si>
  <si>
    <t>FLX02722</t>
  </si>
  <si>
    <t>AN20240816160300</t>
  </si>
  <si>
    <t>Bandeja Porta Sim Charola Dual Compatible Xiaomi Redmi 10c</t>
  </si>
  <si>
    <t>ANN1219</t>
  </si>
  <si>
    <t>FLX02271</t>
  </si>
  <si>
    <t>GON52RED</t>
  </si>
  <si>
    <t>Adaptador Clavija Corriente Cargador iPad Macbook Pro Air</t>
  </si>
  <si>
    <t>FLX02492</t>
  </si>
  <si>
    <t>MFD0807</t>
  </si>
  <si>
    <t>Pantalla Display Lcd Touch Para Galaxy Tab A 8.0 T290 T295</t>
  </si>
  <si>
    <t>MNDEZJUAN13</t>
  </si>
  <si>
    <t>FLX00349</t>
  </si>
  <si>
    <t>MOGUELGASPAR20221204025844</t>
  </si>
  <si>
    <t>Flex Encendido Apagado Boton Para Oppo A15</t>
  </si>
  <si>
    <t>FLX00926</t>
  </si>
  <si>
    <t>ACCA778257</t>
  </si>
  <si>
    <t>Tapa Trasera Cubierta Cristal Para iPhone X A1865 A1901</t>
  </si>
  <si>
    <t>FLX02579</t>
  </si>
  <si>
    <t>ORALIAHDZ15</t>
  </si>
  <si>
    <t>Bandeja Porta Sim Charola Dual Para Galaxy A24 A245</t>
  </si>
  <si>
    <t>FLX02015</t>
  </si>
  <si>
    <t>FERNANDO QUEST</t>
  </si>
  <si>
    <t>Flex Botón Inicio Home Oro Para iPhone 6 / 6 Plus</t>
  </si>
  <si>
    <t>FLX00659</t>
  </si>
  <si>
    <t>CECE4259268</t>
  </si>
  <si>
    <t>Pluma Stylus Para Samsung Galaxy Note 20 20+ Plus Ultra</t>
  </si>
  <si>
    <t>FLX00440</t>
  </si>
  <si>
    <t>HAZAELANGELES</t>
  </si>
  <si>
    <t>Adaptador Clavija Corriente Cargador Para iPad / Macbook Pro</t>
  </si>
  <si>
    <t>FLX02392</t>
  </si>
  <si>
    <t>GESOT73</t>
  </si>
  <si>
    <t>CHRISTIANTRIANAGUTIRREZ</t>
  </si>
  <si>
    <t>HUGOITZAEPEREZSOSA</t>
  </si>
  <si>
    <t>KIKEZ_911</t>
  </si>
  <si>
    <t>FLX01070</t>
  </si>
  <si>
    <t>JONALOCOTE17</t>
  </si>
  <si>
    <t>Pila Batería Control Joy Compatible Con Nintendo Switch</t>
  </si>
  <si>
    <t>MARIONARCISOVILAMELGAR</t>
  </si>
  <si>
    <t>FLX02764</t>
  </si>
  <si>
    <t>FLX01142</t>
  </si>
  <si>
    <t>CHAIREZJUANCARLOS</t>
  </si>
  <si>
    <t>Pegamento Líquido Óptico Transparente Uv Loca 50 Ml 50g</t>
  </si>
  <si>
    <t>MD20240719142139</t>
  </si>
  <si>
    <t>GOGOCESAR68</t>
  </si>
  <si>
    <t>CARLOSALBERTOHERNANDEZCASTRE</t>
  </si>
  <si>
    <t>FLX00678</t>
  </si>
  <si>
    <t>NUYA20231222170223</t>
  </si>
  <si>
    <t>Bandeja Charola Porta Sim Compatible Huawei Y6p 2020</t>
  </si>
  <si>
    <t>FGONZALEZ6679</t>
  </si>
  <si>
    <t>DAN0976HOTMAILCOM</t>
  </si>
  <si>
    <t>FLX02326</t>
  </si>
  <si>
    <t>ARCELUCERO20230531114916</t>
  </si>
  <si>
    <t>Espátula Herramienta Plástica Desmontar Touch Cristal Tablet</t>
  </si>
  <si>
    <t>TECNOBROS GADGETSTORE</t>
  </si>
  <si>
    <t>YEEM1827449</t>
  </si>
  <si>
    <t>AMYAQUINO</t>
  </si>
  <si>
    <t>FLX02371</t>
  </si>
  <si>
    <t>MORITZGALINDI</t>
  </si>
  <si>
    <t>DILANDAU2007</t>
  </si>
  <si>
    <t>FRANCOJUAN20230202211740</t>
  </si>
  <si>
    <t>ROBCGARCIA</t>
  </si>
  <si>
    <t>FLX02812</t>
  </si>
  <si>
    <t>TERANJORGE20231119213126</t>
  </si>
  <si>
    <t>Flex Centro Puerto Carga Rapida Para Xiaomi Redmi Note 11 S</t>
  </si>
  <si>
    <t>SUSEJ42SUSEJ42</t>
  </si>
  <si>
    <t>ENRIQUEZALDAIR</t>
  </si>
  <si>
    <t>GUTIRREZALBERTO58</t>
  </si>
  <si>
    <t>HUERTAHANSEL</t>
  </si>
  <si>
    <t>ITZIRYMONTSERRATHLPEZMAZAT</t>
  </si>
  <si>
    <t>FLX00022</t>
  </si>
  <si>
    <t>SORIAABRAHAM20231103145949</t>
  </si>
  <si>
    <t>Flex Encendido Apagado Botón Galaxy A10s A107</t>
  </si>
  <si>
    <t>FLX00622</t>
  </si>
  <si>
    <t>ME20240621122709</t>
  </si>
  <si>
    <t>FLX01317</t>
  </si>
  <si>
    <t>Batería Pila Huawei P10 Lite P Smart Y6 Y7 2018 Hb366481ecw</t>
  </si>
  <si>
    <t>CHAN6962065</t>
  </si>
  <si>
    <t>AVECIASOSIEL</t>
  </si>
  <si>
    <t>FLX00785</t>
  </si>
  <si>
    <t>MAAN8582066</t>
  </si>
  <si>
    <t>Lente Protector Vidrio Cámara Para Xiaomi Redmi Note 11 Flxc</t>
  </si>
  <si>
    <t>MARGARITORIVERAVELAZCO</t>
  </si>
  <si>
    <t>GOJO5913405</t>
  </si>
  <si>
    <t>FLX01118</t>
  </si>
  <si>
    <t>LUZSIORDIA</t>
  </si>
  <si>
    <t>DOUBTCRAZY</t>
  </si>
  <si>
    <t>FLX00574</t>
  </si>
  <si>
    <t>ESOUVENIR</t>
  </si>
  <si>
    <t>Lente Protector Cámara Vidrio Para Xiaomi Redmi Note 10 5g</t>
  </si>
  <si>
    <t>RANDELSANCHEZ11</t>
  </si>
  <si>
    <t>ALEXORTIZROJAS024</t>
  </si>
  <si>
    <t>FLX01155</t>
  </si>
  <si>
    <t>ROJO7244703</t>
  </si>
  <si>
    <t>Rollo Cinta Doble Cara Reparación Celular 55mts 2mm Rojo Fx</t>
  </si>
  <si>
    <t>FLX00363</t>
  </si>
  <si>
    <t>ALFLEDEZMA2010</t>
  </si>
  <si>
    <t>Flex Puerto Centro Carga Para Nokia 7.1 Ta-1096 Ta-1085</t>
  </si>
  <si>
    <t>LEONARDOANAYATREJO</t>
  </si>
  <si>
    <t>REBR9538044</t>
  </si>
  <si>
    <t>ESQUIVELEDGAR20230925161404</t>
  </si>
  <si>
    <t>FLX02164</t>
  </si>
  <si>
    <t>VALENTHINO</t>
  </si>
  <si>
    <t>Protector Vidrio Cristal Lente Cámara Para iPhone 7 / 8</t>
  </si>
  <si>
    <t>FLX02311</t>
  </si>
  <si>
    <t>QUINTEROJESUS20230901181034</t>
  </si>
  <si>
    <t>Cable Adaptador Usb Hdmi Tv Transmisor Video Televisión Mhl</t>
  </si>
  <si>
    <t>DIVAS_O</t>
  </si>
  <si>
    <t>MOVY271016</t>
  </si>
  <si>
    <t>FLX00812</t>
  </si>
  <si>
    <t>GERARDOTORIBIOFLORES</t>
  </si>
  <si>
    <t>Flex Centro Puerto Carga Para iPad Mini A1432 A1454 A1455</t>
  </si>
  <si>
    <t>MACH5010963</t>
  </si>
  <si>
    <t>SYMBIAN5</t>
  </si>
  <si>
    <t>ANALAURACEJA</t>
  </si>
  <si>
    <t>FLX01216</t>
  </si>
  <si>
    <t>VILLEGASCARLOS20230830135105</t>
  </si>
  <si>
    <t>Cable Red Cat7 Rj45 Utp Ethernet 3ft Xbox Ps5 Router Modem</t>
  </si>
  <si>
    <t>HIPANDRO</t>
  </si>
  <si>
    <t>FLX01352</t>
  </si>
  <si>
    <t>JT.CARRASQUEDO</t>
  </si>
  <si>
    <t>Bateria Pila Xiaomi Redmi Note 3 Pro Bm46 3900mah</t>
  </si>
  <si>
    <t>FLX00443</t>
  </si>
  <si>
    <t>AGFE20240317171023</t>
  </si>
  <si>
    <t>Tapa Trasera Compatible Con Moto G6 Play Xt1922 + Adhesivo</t>
  </si>
  <si>
    <t>CU20240603005828</t>
  </si>
  <si>
    <t>HERNANDEZLUIZ20230214174304</t>
  </si>
  <si>
    <t>FLX01273</t>
  </si>
  <si>
    <t>ICARO1002</t>
  </si>
  <si>
    <t>Batería Pila 700mah iPod Classic Video 60 80 120gb 616-0232</t>
  </si>
  <si>
    <t>ADRIANMITCHEL</t>
  </si>
  <si>
    <t>MARTNARIASMARTNEZ</t>
  </si>
  <si>
    <t>HEFL3727238</t>
  </si>
  <si>
    <t>CHARMYOUJEWELS</t>
  </si>
  <si>
    <t>DAN-DAN7575</t>
  </si>
  <si>
    <t>GUTIERREZDENISSE20230510141909</t>
  </si>
  <si>
    <t>RAJO5203523</t>
  </si>
  <si>
    <t>ALED7916446</t>
  </si>
  <si>
    <t>ORED1767691</t>
  </si>
  <si>
    <t>NEGRETEGIDDIANI20210524185414</t>
  </si>
  <si>
    <t>SALASOSCARSALAS</t>
  </si>
  <si>
    <t>ORMI613971</t>
  </si>
  <si>
    <t>ERIXSHOPS</t>
  </si>
  <si>
    <t>ALQUICIRA ADRIAN</t>
  </si>
  <si>
    <t>FLX02822</t>
  </si>
  <si>
    <t>NAYODRAMIREZ</t>
  </si>
  <si>
    <t>Flex Centro Puerto Carga Para Xiaomi Redmi 12 4g</t>
  </si>
  <si>
    <t>RADA3212173</t>
  </si>
  <si>
    <t>FLX02275</t>
  </si>
  <si>
    <t>SARS3190760</t>
  </si>
  <si>
    <t>10 Pza Pin Puerto Centro Carga Universal V8 5 Pin Huawei Zte</t>
  </si>
  <si>
    <t>FLX01699</t>
  </si>
  <si>
    <t>CIBERPLANET05</t>
  </si>
  <si>
    <t>JAVIERJARAMILLO0992</t>
  </si>
  <si>
    <t>LEC1143628</t>
  </si>
  <si>
    <t>FLX00762</t>
  </si>
  <si>
    <t>SOLISNURI20220118225140</t>
  </si>
  <si>
    <t>Flex Botón De Home Para iPhone 6s 6s Plus Envio Gratis</t>
  </si>
  <si>
    <t>FLX01110</t>
  </si>
  <si>
    <t>VEGA.ITZEL</t>
  </si>
  <si>
    <t>Cable Usb Impresora A / B Macho 1.5m Escaner</t>
  </si>
  <si>
    <t>HEAL744477</t>
  </si>
  <si>
    <t>FLX01018</t>
  </si>
  <si>
    <t>COLU5344699</t>
  </si>
  <si>
    <t>Adaptador Audio Rca Hembra Cople</t>
  </si>
  <si>
    <t>FLX01991</t>
  </si>
  <si>
    <t>CESARMTZ1628</t>
  </si>
  <si>
    <t>Protector Vidrio Cristal Lente Cámara Para Moto E7 Xt2095</t>
  </si>
  <si>
    <t>MOCA20240212014434</t>
  </si>
  <si>
    <t>FLX00829</t>
  </si>
  <si>
    <t>FABIANGOMEZ1412</t>
  </si>
  <si>
    <t>Puerto Pin Centro Carga Universal Usb C 3.1 16 Pin 4 Patas</t>
  </si>
  <si>
    <t>WCOLUMBA</t>
  </si>
  <si>
    <t>Pluma Pen Stylus Para Galaxy Tab A 10.1 2016 T580 T585 S</t>
  </si>
  <si>
    <t>PUENTEEDUARDO20230624143118</t>
  </si>
  <si>
    <t>RICARDOADRICARDOAD</t>
  </si>
  <si>
    <t>FLX01978</t>
  </si>
  <si>
    <t>MARCOANTONIONOYOLAHERNNDEZ</t>
  </si>
  <si>
    <t>Lente Protector Cristal Camara Para Motorola Moto G7 Power</t>
  </si>
  <si>
    <t>FLX00626</t>
  </si>
  <si>
    <t>MIKETAFOYA</t>
  </si>
  <si>
    <t>Kit Herramientas 19 Pzas Celular Tablet Reparación Espátulas</t>
  </si>
  <si>
    <t>MANRIQUEOSCAR20221102090125</t>
  </si>
  <si>
    <t>JUANSCHEIDL</t>
  </si>
  <si>
    <t>FLX00462</t>
  </si>
  <si>
    <t>DEAN20240315083208</t>
  </si>
  <si>
    <t>SUSYSK</t>
  </si>
  <si>
    <t>PFR1065612</t>
  </si>
  <si>
    <t>RAHA5315815</t>
  </si>
  <si>
    <t>TREVIÑONOEL20220917201014</t>
  </si>
  <si>
    <t>FLX02849</t>
  </si>
  <si>
    <t>TOCA1858070</t>
  </si>
  <si>
    <t>Membrana Conductiva Control Para Ps5 Playstation 5 Flex</t>
  </si>
  <si>
    <t>ROBLEDOVIRGINIA20230905001811</t>
  </si>
  <si>
    <t>HELERIAMARIANA</t>
  </si>
  <si>
    <t>FLX00007</t>
  </si>
  <si>
    <t>AZAELMENDOZA5</t>
  </si>
  <si>
    <t>Flex Centro Carga Microfono Jack Galaxy A51 Sm-a515 A515</t>
  </si>
  <si>
    <t>BLAR3576125</t>
  </si>
  <si>
    <t>JORGEOSVALDOLUJAN</t>
  </si>
  <si>
    <t>OLIVARESKAREN20231209022808</t>
  </si>
  <si>
    <t>Bandeja Charola Porta Sim Para Htc Desire 626 826</t>
  </si>
  <si>
    <t>JORGERUEDA5</t>
  </si>
  <si>
    <t>MARIAISABELALEMANPEREZ</t>
  </si>
  <si>
    <t>WENDYROCIOBECERRA</t>
  </si>
  <si>
    <t>LEINXDVERDE</t>
  </si>
  <si>
    <t>OLLI2465789</t>
  </si>
  <si>
    <t>JOSERUNO</t>
  </si>
  <si>
    <t>HENRYLIN1190</t>
  </si>
  <si>
    <t>TRRU8284905</t>
  </si>
  <si>
    <t>MANUELALEJANDROSANCHEZSOLORI</t>
  </si>
  <si>
    <t>JCOLOMBRES AMIGON</t>
  </si>
  <si>
    <t>FLX00861</t>
  </si>
  <si>
    <t>CLAUDIA_106</t>
  </si>
  <si>
    <t>Pluma Lápiz Óptico Stylus Pen Para Galaxy Tab A P350 550</t>
  </si>
  <si>
    <t>FLX00057</t>
  </si>
  <si>
    <t>CAMPOSOLGA20221116150026</t>
  </si>
  <si>
    <t>Flex Puerto Centro Carga Micrófono Galaxy Note 3 N900t</t>
  </si>
  <si>
    <t>ESAL20240128122002</t>
  </si>
  <si>
    <t>PM20240815202541</t>
  </si>
  <si>
    <t>FLX02707</t>
  </si>
  <si>
    <t>Puerto Entrada Conector Hdmi Para Playstation 5 Ps5</t>
  </si>
  <si>
    <t>ADRIANRODEACASTILLO</t>
  </si>
  <si>
    <t>HECTOR_DGR</t>
  </si>
  <si>
    <t>FLX01726</t>
  </si>
  <si>
    <t>RUCR3276231</t>
  </si>
  <si>
    <t>Bandeja Porta Sim Chip Dual Galaxy A52 A525</t>
  </si>
  <si>
    <t>SHISHENGSHEN20220906225030</t>
  </si>
  <si>
    <t>LORD_DAERON</t>
  </si>
  <si>
    <t>MANUELESCANDARFLORESBATREZ</t>
  </si>
  <si>
    <t>FLX01723</t>
  </si>
  <si>
    <t>EALUJAS</t>
  </si>
  <si>
    <t>Bandeja Charola Porta Sim Para iPhone 11 12 13 14 Pro Max</t>
  </si>
  <si>
    <t>FLX01544</t>
  </si>
  <si>
    <t>INFINITYPOWERELECTRONICS</t>
  </si>
  <si>
    <t>5 Pin Puerto Centro Carga Para Galaxy A33 A52 A53 A72 A73</t>
  </si>
  <si>
    <t>HUERTADAVID20230816214702</t>
  </si>
  <si>
    <t>FLX02657</t>
  </si>
  <si>
    <t>JUANJOSETUYUBALIPI</t>
  </si>
  <si>
    <t>Pluma Stylus Compatible Con Galaxy S23 Ultra Sm-s918</t>
  </si>
  <si>
    <t>FLX00927</t>
  </si>
  <si>
    <t>CALU7273198</t>
  </si>
  <si>
    <t>FLX00147</t>
  </si>
  <si>
    <t>DANIELPAHUAANDRADE</t>
  </si>
  <si>
    <t>Flex Centro Puerto Carga Micrófono Huawei P10 Lite Was-lx3</t>
  </si>
  <si>
    <t>FLX02289</t>
  </si>
  <si>
    <t>Tapa Trasera Cristal Para Huawei P10 Lite</t>
  </si>
  <si>
    <t>BUJO3724297</t>
  </si>
  <si>
    <t>FLX00198</t>
  </si>
  <si>
    <t>MAIXBOX_5</t>
  </si>
  <si>
    <t>Flex Centro Carga Jack Audio Micrófono Para iPhone 6s Plus</t>
  </si>
  <si>
    <t>CHIFEROO</t>
  </si>
  <si>
    <t>ASC-OCT</t>
  </si>
  <si>
    <t>FLX00879</t>
  </si>
  <si>
    <t>MAJU20240228152108</t>
  </si>
  <si>
    <t>Flex Botón Home Extensión Conexión Para iPhone 6 Plus 5.5</t>
  </si>
  <si>
    <t>SERSAVAL</t>
  </si>
  <si>
    <t>FLX01442</t>
  </si>
  <si>
    <t>CONO2625986</t>
  </si>
  <si>
    <t>Pantalla Lcd Digitalizador Touchscreen iPod 4 Blanco Negro</t>
  </si>
  <si>
    <t>FLX00807</t>
  </si>
  <si>
    <t>ENRIQUE_MEDELLIND</t>
  </si>
  <si>
    <t>Flex Centro Puerto Carga Para Zte Blade Smart V20 8010</t>
  </si>
  <si>
    <t>FUANCHITOS</t>
  </si>
  <si>
    <t>FLX01869</t>
  </si>
  <si>
    <t>ALDEIESTRADA</t>
  </si>
  <si>
    <t>Lente Protector Vidrio Cristal Cámara Para Xiaomi Mi A3</t>
  </si>
  <si>
    <t>FC20240723155542</t>
  </si>
  <si>
    <t>FLX00113</t>
  </si>
  <si>
    <t>GARCIASHAYRI20220825200225</t>
  </si>
  <si>
    <t>Flex Centro Puerto Carga Micrófono Para Huawei Y5 2019 Flxcp</t>
  </si>
  <si>
    <t>OSCAR_KB</t>
  </si>
  <si>
    <t>SAJU7454157</t>
  </si>
  <si>
    <t>JUANPABLOZARAGOZACABRERA</t>
  </si>
  <si>
    <t>GOAN5574910</t>
  </si>
  <si>
    <t>LOMELI5</t>
  </si>
  <si>
    <t>AO20240802154941</t>
  </si>
  <si>
    <t>RIDA314863</t>
  </si>
  <si>
    <t>Lente Cristal Vidrio Protector Cámara Galaxy S20 Ultra</t>
  </si>
  <si>
    <t>TREJOMIGUEL20221205175516</t>
  </si>
  <si>
    <t>FLX00656</t>
  </si>
  <si>
    <t>MM20240528123219</t>
  </si>
  <si>
    <t>GAID20240124224929</t>
  </si>
  <si>
    <t>FLX01455</t>
  </si>
  <si>
    <t>LBE2783815</t>
  </si>
  <si>
    <t>FLX00736</t>
  </si>
  <si>
    <t>CHOKO_DERC</t>
  </si>
  <si>
    <t>Espatula Separador Desmonta Qianli Reparacion Celular Tablet</t>
  </si>
  <si>
    <t>FOCOSOFT</t>
  </si>
  <si>
    <t>FLX00843</t>
  </si>
  <si>
    <t>CAVA5812642</t>
  </si>
  <si>
    <t>FLX01302</t>
  </si>
  <si>
    <t>HJUANN87</t>
  </si>
  <si>
    <t>FLX00116</t>
  </si>
  <si>
    <t>LOPEZJESUS20230804162858</t>
  </si>
  <si>
    <t>Flex Puerto Carga Usb C Micrófono Huawei Y9 Prime 2019</t>
  </si>
  <si>
    <t>BARRONESPERANZA</t>
  </si>
  <si>
    <t>FLX02472</t>
  </si>
  <si>
    <t>J-VILLELA</t>
  </si>
  <si>
    <t>Flex Cable Membrana Fpc Ffc Ribbon 80c 20624 60v 30cm Recto</t>
  </si>
  <si>
    <t>ESCOBEDOFERNANDO20230531194706</t>
  </si>
  <si>
    <t>AL20240815150007</t>
  </si>
  <si>
    <t>S1I3NT</t>
  </si>
  <si>
    <t>FLX02484</t>
  </si>
  <si>
    <t>DOCANDROIDPLAYA</t>
  </si>
  <si>
    <t>10 Llave Sim Tool Para Extracción Bandeja Tarjeta Sim Card</t>
  </si>
  <si>
    <t>ISMAEL2MX</t>
  </si>
  <si>
    <t>FLX02837</t>
  </si>
  <si>
    <t>INFRANET01</t>
  </si>
  <si>
    <t>Flex Bocina Auricular Para iPhone 11 Pro A2215 A2217 A2160</t>
  </si>
  <si>
    <t>ARTUROALCAZARVILLALOBOS</t>
  </si>
  <si>
    <t>FCO_CEL2010</t>
  </si>
  <si>
    <t>MIGUELNORIEGAHDZ</t>
  </si>
  <si>
    <t>SHULA MIA</t>
  </si>
  <si>
    <t>MOAD6441393</t>
  </si>
  <si>
    <t>REJO5976505</t>
  </si>
  <si>
    <t>ICE TIGGER</t>
  </si>
  <si>
    <t>FLX00774</t>
  </si>
  <si>
    <t>BEATRIZPREZDELANGEL</t>
  </si>
  <si>
    <t>Flex Main Principal Para Galaxy Tab A 10.1 T510 T515</t>
  </si>
  <si>
    <t>JOSTM.85-21</t>
  </si>
  <si>
    <t>FLX02649</t>
  </si>
  <si>
    <t>SOLISLAZARO20220328013413</t>
  </si>
  <si>
    <t>10 Pin Puerto Centro Carga Para Galaxy A20 A30 A50 A70</t>
  </si>
  <si>
    <t>FLX01691</t>
  </si>
  <si>
    <t>ANIMAIGNIS84</t>
  </si>
  <si>
    <t>Bandeja Porta Sim Charola Para Moto G10 Xt2127</t>
  </si>
  <si>
    <t>FLX01258</t>
  </si>
  <si>
    <t>KORSKAY69</t>
  </si>
  <si>
    <t>Batería Pila iPad Mini 4 A1538 A1550 A1546 5124mah</t>
  </si>
  <si>
    <t>DOMINGUEZCHRISTIAN202312131035</t>
  </si>
  <si>
    <t>FLBE5836315</t>
  </si>
  <si>
    <t>ORAN430046</t>
  </si>
  <si>
    <t>SOFIABERRONESLARA</t>
  </si>
  <si>
    <t>FIXPC19</t>
  </si>
  <si>
    <t>JAV24JORDAN</t>
  </si>
  <si>
    <t>METALEGNA</t>
  </si>
  <si>
    <t>JESUSIVANSOTOMOLINA</t>
  </si>
  <si>
    <t>FLX02016</t>
  </si>
  <si>
    <t>ZEROSTATUS</t>
  </si>
  <si>
    <t>Flex Botón Encendido Apagado Xbox One Sensor Extraer Juego</t>
  </si>
  <si>
    <t>BUENDIAMARCO20231122031001</t>
  </si>
  <si>
    <t>KAZE-MELEE</t>
  </si>
  <si>
    <t>ZL20240803205631</t>
  </si>
  <si>
    <t>FLX00932</t>
  </si>
  <si>
    <t>AGMA3741044</t>
  </si>
  <si>
    <t>Flex Centro Puerto Carga Compatible Alcatel 3x 5048 5048a</t>
  </si>
  <si>
    <t>PAAL130888</t>
  </si>
  <si>
    <t>LUISPEREYRADELACRUZ</t>
  </si>
  <si>
    <t>FLX02272</t>
  </si>
  <si>
    <t>5 Pin Puerto Centro Carga Para Galaxy A33 A52 A53 A72 A73 Fx</t>
  </si>
  <si>
    <t>FLX00065</t>
  </si>
  <si>
    <t>Flex Centro Puerto Carga Para Galaxy Tab A 10.1 T510 T515</t>
  </si>
  <si>
    <t>FLX00128</t>
  </si>
  <si>
    <t>VEAL5000135</t>
  </si>
  <si>
    <t>Flex Botón Volumen Encendido Huawei Y6 2018 Atu-lx3</t>
  </si>
  <si>
    <t>CLAOCHANCHAN</t>
  </si>
  <si>
    <t>ZILVER_30</t>
  </si>
  <si>
    <t>FLX01957</t>
  </si>
  <si>
    <t>RARIASDELGADO</t>
  </si>
  <si>
    <t>Batería Pila Para iPad Mini 2 A1489 A1490 A1491 6470mah</t>
  </si>
  <si>
    <t>FLX00122</t>
  </si>
  <si>
    <t>CARENHERNNDEZDOMINGUEZ</t>
  </si>
  <si>
    <t>Flex Botón De Encendido Y Volumen Huawei Y9 2019 Fla Lx3</t>
  </si>
  <si>
    <t>FLX01667</t>
  </si>
  <si>
    <t>AGUILERAJUAN20220614181344</t>
  </si>
  <si>
    <t>REAL20240201032635</t>
  </si>
  <si>
    <t>MOJE7338064</t>
  </si>
  <si>
    <t>JOSBALDIVIA</t>
  </si>
  <si>
    <t>FLX01666</t>
  </si>
  <si>
    <t>ESAL7342202</t>
  </si>
  <si>
    <t>JONH_WESKER</t>
  </si>
  <si>
    <t>FLX01019</t>
  </si>
  <si>
    <t>ALVARADOMARIA20230125134929</t>
  </si>
  <si>
    <t>FLX01089</t>
  </si>
  <si>
    <t>RJU1909187</t>
  </si>
  <si>
    <t>FLX01152</t>
  </si>
  <si>
    <t>OSWALDILLO23</t>
  </si>
  <si>
    <t>Kit 3 Espátula Metálica Desmontar Touch Cristal Tablet</t>
  </si>
  <si>
    <t>FLX01450</t>
  </si>
  <si>
    <t>GOGE4586390</t>
  </si>
  <si>
    <t>5 Pin Centro Carga Para Galaxy J1 J3 J4 J5 J7 T350 A10 A750</t>
  </si>
  <si>
    <t>FLX01245</t>
  </si>
  <si>
    <t>JORGEPEREZ301</t>
  </si>
  <si>
    <t>Batería Pila Para Galaxy Tab S6 / Lite S5e T860 P610 T720</t>
  </si>
  <si>
    <t>JUJU9170343</t>
  </si>
  <si>
    <t>FLSE1015485</t>
  </si>
  <si>
    <t>FLX01252</t>
  </si>
  <si>
    <t>AVILA AG</t>
  </si>
  <si>
    <t>Bateria Pila Galaxy Tab A 10.1 Eb-bt585abe T580 T585 2016</t>
  </si>
  <si>
    <t>ELMUNDODELTERROR059</t>
  </si>
  <si>
    <t>ADRIAN_080788</t>
  </si>
  <si>
    <t>GRUPO LASERTINK</t>
  </si>
  <si>
    <t>SALDANA CRISTIAN2022</t>
  </si>
  <si>
    <t>DANIEL020783</t>
  </si>
  <si>
    <t>CARMONAMERCEDES20221003194734</t>
  </si>
  <si>
    <t>FLX02691</t>
  </si>
  <si>
    <t>JORGELUISPREZVALLEJO</t>
  </si>
  <si>
    <t>FLX01006</t>
  </si>
  <si>
    <t>EDWINFERNANDOBARRAZAMADRID</t>
  </si>
  <si>
    <t>Cable Adaptador Usb Puerto Paralelo Db25 Impresora 1.8mtrs</t>
  </si>
  <si>
    <t>ERICKOSIELSILVA</t>
  </si>
  <si>
    <t>FLX00124</t>
  </si>
  <si>
    <t>MINERVITHA8</t>
  </si>
  <si>
    <t>Flex Botón Volumen Encendido Huawei P20 Lite Ane-lx3 Nova E3</t>
  </si>
  <si>
    <t>FLX00610</t>
  </si>
  <si>
    <t>MUSICO MIRANDA</t>
  </si>
  <si>
    <t>Flex Centro Puerto Carga Compatible Galaxy Tab A7 8.7 T220</t>
  </si>
  <si>
    <t>TELLEZIVAN20221013144032</t>
  </si>
  <si>
    <t>FLX00025</t>
  </si>
  <si>
    <t>Flex Centro Puerto Carga Microfono Para Galaxy A20s A207</t>
  </si>
  <si>
    <t>ADEDIAZFUENTES</t>
  </si>
  <si>
    <t>REYESMARLENE20231030112611</t>
  </si>
  <si>
    <t>MOSQUEDAPRADOJOSEIGNACIO</t>
  </si>
  <si>
    <t>FLX00269</t>
  </si>
  <si>
    <t>SUAREZCRUZ20220517235240</t>
  </si>
  <si>
    <t>Flex Centro Puerto Carga Usb Micrófono Para Moto E5 Plus</t>
  </si>
  <si>
    <t>FLX01706</t>
  </si>
  <si>
    <t>MAMA5033652</t>
  </si>
  <si>
    <t>Bandeja Charola Porta Sim Chip Dual Para Xiaomi Note 11</t>
  </si>
  <si>
    <t>LORENAALANIZNAVARRO</t>
  </si>
  <si>
    <t>YANIRAFLIX</t>
  </si>
  <si>
    <t>Pantalla Display Lcd Touch Para Galaxy Tab A 8.0 T290 T295 F</t>
  </si>
  <si>
    <t>FLX01357</t>
  </si>
  <si>
    <t>JESUSELIASLIRATAPIA</t>
  </si>
  <si>
    <t>Batería Pila Para Zte Max Z982 V Ultra Li3940t44p8h937238</t>
  </si>
  <si>
    <t>CARITO_RMZ_CORTES</t>
  </si>
  <si>
    <t>FLX00289</t>
  </si>
  <si>
    <t>LUZCLARITAGOMEZMORALES</t>
  </si>
  <si>
    <t>Flex Centro Carga Usb Micrófono Compatible Moto E7 Xt2095</t>
  </si>
  <si>
    <t>APOLONIOMENDEZ</t>
  </si>
  <si>
    <t>EV20240813023634</t>
  </si>
  <si>
    <t>AVILAMA20231024132341</t>
  </si>
  <si>
    <t>FLX02549</t>
  </si>
  <si>
    <t>MUKL7702564</t>
  </si>
  <si>
    <t>Flex Centro Puerto Carga Rapida Para Galaxy A03s A307f C/ Ic</t>
  </si>
  <si>
    <t>CHAPISISABELRA</t>
  </si>
  <si>
    <t>FLX00635</t>
  </si>
  <si>
    <t>CORTESJONATHAN20221229152528</t>
  </si>
  <si>
    <t>GLEZLUIS20220819083819</t>
  </si>
  <si>
    <t>ROMA9598940</t>
  </si>
  <si>
    <t>FLX00607</t>
  </si>
  <si>
    <t>CHUNCHUMARO2</t>
  </si>
  <si>
    <t>Flex Principal Main Lógica Para Xiaomi Redmi Note 10 / 10s</t>
  </si>
  <si>
    <t>BESTSELLER9213</t>
  </si>
  <si>
    <t>KR20240815024046</t>
  </si>
  <si>
    <t>ECAEP</t>
  </si>
  <si>
    <t>PANDA075</t>
  </si>
  <si>
    <t>FLX02490</t>
  </si>
  <si>
    <t>BARI6158253</t>
  </si>
  <si>
    <t>GOJO4756349</t>
  </si>
  <si>
    <t>RICHIESQUIVEL45</t>
  </si>
  <si>
    <t>CAAR877563</t>
  </si>
  <si>
    <t>Pluma Stylus Para Samsung Galaxy S23 Ultra Sm-s918</t>
  </si>
  <si>
    <t>FLX00571</t>
  </si>
  <si>
    <t>ELGUTTY6613</t>
  </si>
  <si>
    <t>MADA6500756</t>
  </si>
  <si>
    <t>FLX01717</t>
  </si>
  <si>
    <t>ZUFL4518174</t>
  </si>
  <si>
    <t>Bandeja Charola Porta Sim Para iPhone 5 5s Se A1428 A1533</t>
  </si>
  <si>
    <t>OSITHOESPONJA1</t>
  </si>
  <si>
    <t>JCHABLE83680</t>
  </si>
  <si>
    <t>MANUELJIMENEZF</t>
  </si>
  <si>
    <t>ROPE8223575</t>
  </si>
  <si>
    <t>FLX01393</t>
  </si>
  <si>
    <t>MAJU4094119</t>
  </si>
  <si>
    <t>Flex Centro Puerto Carga Para Oppo A32 A33 A53 A11s 2020 4g</t>
  </si>
  <si>
    <t>JOSMANUELRODRGUEZDELACRU</t>
  </si>
  <si>
    <t>TOBR1393942</t>
  </si>
  <si>
    <t>JUANADELAPAZTORRES</t>
  </si>
  <si>
    <t>COMPU EDOMX</t>
  </si>
  <si>
    <t>FLX01405</t>
  </si>
  <si>
    <t>NEBICANT00</t>
  </si>
  <si>
    <t>Juego 4 Pata Goma Soporte Inferior Para Macbook Air Retina</t>
  </si>
  <si>
    <t>SAMBINGO</t>
  </si>
  <si>
    <t>INZBTS26</t>
  </si>
  <si>
    <t>GARAYDENYS20230812112246</t>
  </si>
  <si>
    <t>FLX02304</t>
  </si>
  <si>
    <t>PG20240814234706</t>
  </si>
  <si>
    <t>Cable Extensión Colilla Usb De Control Compatible Xbox 360</t>
  </si>
  <si>
    <t>HERRERAADRIAN20230706010146</t>
  </si>
  <si>
    <t>FLX01032</t>
  </si>
  <si>
    <t>ANGELQUIROZRAZO</t>
  </si>
  <si>
    <t>Adhesivo Pegamento Tira Batería Pila Para iPhone 6 6s 7 4.7</t>
  </si>
  <si>
    <t>FLX02222</t>
  </si>
  <si>
    <t>REBI20240304174530</t>
  </si>
  <si>
    <t>Cable Generico Carga Sincronización Compatible iPod Shuffle</t>
  </si>
  <si>
    <t>MESA5060162</t>
  </si>
  <si>
    <t>FLX00827</t>
  </si>
  <si>
    <t>COAN5938389</t>
  </si>
  <si>
    <t>Protector Vidrio Cristal Lente Cámara Para iPhone XS/ Xs Max</t>
  </si>
  <si>
    <t>REFACCIONES KINO</t>
  </si>
  <si>
    <t>ANDRESIVANTEJEDABUENDIA</t>
  </si>
  <si>
    <t>RARA20240417225043</t>
  </si>
  <si>
    <t>FLX02740</t>
  </si>
  <si>
    <t>MELI1048480</t>
  </si>
  <si>
    <t>Soporte Anillo Sujetador Soporte Holder Celular Smartphone</t>
  </si>
  <si>
    <t>DANIELINOSCENCIO</t>
  </si>
  <si>
    <t>MORO20240404094229</t>
  </si>
  <si>
    <t>TOLEDOADELAIDA20230619205139</t>
  </si>
  <si>
    <t>GERARDOAGUSTINGUERREROOCHOA</t>
  </si>
  <si>
    <t>SAN1984</t>
  </si>
  <si>
    <t>Flex Centro Puerto Carga Rapida Para Galaxy A23 4g A235</t>
  </si>
  <si>
    <t>EDUARDOMARTNEZROMN</t>
  </si>
  <si>
    <t>MOVIPAPELERIA</t>
  </si>
  <si>
    <t>FER_CABRERA72</t>
  </si>
  <si>
    <t>FLX00139</t>
  </si>
  <si>
    <t>ROCKBYTEQUINTANILLA</t>
  </si>
  <si>
    <t>Flex Puerto Centro Carga Micrófono Para Huawei Y7p 2020 Art</t>
  </si>
  <si>
    <t>FLX00811</t>
  </si>
  <si>
    <t>FRANCISCOJAVIERORTIZQUEZADA</t>
  </si>
  <si>
    <t>IVAN_MAGAÑA</t>
  </si>
  <si>
    <t>COMPUFIXING</t>
  </si>
  <si>
    <t>FLX00649</t>
  </si>
  <si>
    <t>PEREZROSA20220614012833</t>
  </si>
  <si>
    <t>Flex Membrana Lector Tarjeta Micro Sd Nintendo Switch</t>
  </si>
  <si>
    <t>IDIOTBOY_117</t>
  </si>
  <si>
    <t>DARKALEL10</t>
  </si>
  <si>
    <t>ZAMA7431755</t>
  </si>
  <si>
    <t>LICEABEATRIZ20230219152447</t>
  </si>
  <si>
    <t>CARACATUM</t>
  </si>
  <si>
    <t>QUMA9544851</t>
  </si>
  <si>
    <t>PEREZDARIO20221122224836</t>
  </si>
  <si>
    <t>FLX01088</t>
  </si>
  <si>
    <t>ROMERONORBERTOAZUL</t>
  </si>
  <si>
    <t>Palanca Joystick Perilla Goma Para Control De Xbox One Eg</t>
  </si>
  <si>
    <t>FLX02424</t>
  </si>
  <si>
    <t>HERNANDEZJESUS20231022220753</t>
  </si>
  <si>
    <t>FLX00755</t>
  </si>
  <si>
    <t>ISAN20240321193707</t>
  </si>
  <si>
    <t>Pluma Stylus Compatible Samsung Galaxy Note 10 10+ Plus</t>
  </si>
  <si>
    <t>RAYKIROMERO</t>
  </si>
  <si>
    <t>ENRIQUEGUSTAVO20220829201714</t>
  </si>
  <si>
    <t>FLX00826</t>
  </si>
  <si>
    <t>GABRIELPEREZ994</t>
  </si>
  <si>
    <t>FERNANDAMADROO</t>
  </si>
  <si>
    <t>FLX01117</t>
  </si>
  <si>
    <t>NUEVOALDO</t>
  </si>
  <si>
    <t>ACOSTAROMEROJORGE</t>
  </si>
  <si>
    <t>Membrana Flex Botones Control Para Playstation 4 Ps4</t>
  </si>
  <si>
    <t>ALANRODRIGOVAZQUEZMARTINEZ</t>
  </si>
  <si>
    <t>PECA9139767</t>
  </si>
  <si>
    <t>ABURTORAMOS</t>
  </si>
  <si>
    <t>CARLOS PRINCE</t>
  </si>
  <si>
    <t>GEORGE7X</t>
  </si>
  <si>
    <t>VALENZUELAGUSTAVO60</t>
  </si>
  <si>
    <t>FLX00290</t>
  </si>
  <si>
    <t>HM20241</t>
  </si>
  <si>
    <t>Flex Centro Carga Usb Micrófono Para Moto E7 Power Xt2097</t>
  </si>
  <si>
    <t>AQUINOLUIS20221019204943</t>
  </si>
  <si>
    <t>FLX00576</t>
  </si>
  <si>
    <t>CODA7121022</t>
  </si>
  <si>
    <t>Protector Vidrio Cristal Lente Cámara Para Moto G8 Plus</t>
  </si>
  <si>
    <t>SOLANOJESUSOSVALDO</t>
  </si>
  <si>
    <t>FLX01305</t>
  </si>
  <si>
    <t>HORA4982623</t>
  </si>
  <si>
    <t>FELIPEDEJESUSRODRIGUEZNUEZ</t>
  </si>
  <si>
    <t>CRIISSTT18</t>
  </si>
  <si>
    <t>PAAD5648026</t>
  </si>
  <si>
    <t>FLX02690</t>
  </si>
  <si>
    <t>HERNANDEZFRANCISCO202206301611</t>
  </si>
  <si>
    <t>Flex Centro Puerto Carga Rapida Para Moto G Power 3rd Xt2165</t>
  </si>
  <si>
    <t>ALEI7042061</t>
  </si>
  <si>
    <t>RASECROJO</t>
  </si>
  <si>
    <t>GETZEMANI</t>
  </si>
  <si>
    <t>USHO_USHO</t>
  </si>
  <si>
    <t>ALFREDOMARTINEZOLVERA</t>
  </si>
  <si>
    <t>FLX02501</t>
  </si>
  <si>
    <t>Par Palanca Joystick Aluminio Control Para Xbox One Ps4</t>
  </si>
  <si>
    <t>FLX00471</t>
  </si>
  <si>
    <t>BAEZRITA20220930102852</t>
  </si>
  <si>
    <t>Flex Botón Inicio Home Para iPad Mini 4 Air 2 Negro A1538</t>
  </si>
  <si>
    <t>NANCYCITLALYREYNACONTRERAS</t>
  </si>
  <si>
    <t>KICERCAN</t>
  </si>
  <si>
    <t>FUENTESRUBEN20230209211144</t>
  </si>
  <si>
    <t>FLX02721</t>
  </si>
  <si>
    <t>RORA5203517</t>
  </si>
  <si>
    <t>FLX00672</t>
  </si>
  <si>
    <t>SAMUS4</t>
  </si>
  <si>
    <t>TELLO_24NOV</t>
  </si>
  <si>
    <t>FLX02197</t>
  </si>
  <si>
    <t>LORAARTURO</t>
  </si>
  <si>
    <t>Flex Centro Carga Usb Microfono Jack Galaxy A70 A705</t>
  </si>
  <si>
    <t>EIVZ</t>
  </si>
  <si>
    <t>ALOS8805174</t>
  </si>
  <si>
    <t>HERNANGERMANMORALES</t>
  </si>
  <si>
    <t>FLX01235</t>
  </si>
  <si>
    <t>RIGOBERTOTORRESPEREZ</t>
  </si>
  <si>
    <t>Cristal Vidrio Touch Digitalizador Para iPad 6 2018 A1893 94</t>
  </si>
  <si>
    <t>MOHI3489021</t>
  </si>
  <si>
    <t>MEHE2204889</t>
  </si>
  <si>
    <t>ATP_MX</t>
  </si>
  <si>
    <t>SOJO3551335</t>
  </si>
  <si>
    <t>FLX00778</t>
  </si>
  <si>
    <t>PATRICIAMONTEJANOSANCHEZ</t>
  </si>
  <si>
    <t>Lente Cristal Vidrio Protector Cámara Para Galaxy A02</t>
  </si>
  <si>
    <t>FLX00187</t>
  </si>
  <si>
    <t>GAGR5105254</t>
  </si>
  <si>
    <t>Flex Centro Puerto Carga Para iPhone 7 Plus A1784 A1785</t>
  </si>
  <si>
    <t>FLX01444</t>
  </si>
  <si>
    <t>ARLEXERASTOVALDES</t>
  </si>
  <si>
    <t>Pantalla Display Lcd Con Touch iPod Touch 5 6 + Herramientas</t>
  </si>
  <si>
    <t>EDGAR1999AGOSTO</t>
  </si>
  <si>
    <t>TECNOLOGIAS ACULCO</t>
  </si>
  <si>
    <t>KOLIMAAN</t>
  </si>
  <si>
    <t>NI20240810162147</t>
  </si>
  <si>
    <t>ARMANDO_HDERNANDEZ27</t>
  </si>
  <si>
    <t>MANTARASANGEL</t>
  </si>
  <si>
    <t>DAN1066</t>
  </si>
  <si>
    <t>AXELISAACFLORESLPEZ</t>
  </si>
  <si>
    <t>GIRUGAJUAN</t>
  </si>
  <si>
    <t>SAED6728231</t>
  </si>
  <si>
    <t>DIST_COMPUPAQ</t>
  </si>
  <si>
    <t>PONCERUBEN20220721213542</t>
  </si>
  <si>
    <t>JESUSALEJANDROLEIJAMANCILLAS</t>
  </si>
  <si>
    <t>FLX02199</t>
  </si>
  <si>
    <t>ALIS1060081</t>
  </si>
  <si>
    <t>Flex Centro Carga Usb Microfono Jack Para Galaxy A10s A107</t>
  </si>
  <si>
    <t>TORRESJORGE20231207070821</t>
  </si>
  <si>
    <t>NEKOKIMX</t>
  </si>
  <si>
    <t>SAMA20231215131520</t>
  </si>
  <si>
    <t>LAMARCAIVAN20230114202653</t>
  </si>
  <si>
    <t>LOHU1052994</t>
  </si>
  <si>
    <t>RORO452229</t>
  </si>
  <si>
    <t>ADRINCORONA</t>
  </si>
  <si>
    <t>FLX01168</t>
  </si>
  <si>
    <t>ESER230648</t>
  </si>
  <si>
    <t>10 Espátula Separadora Display Pantalla Touch Reparación X10</t>
  </si>
  <si>
    <t>CELLPHONEPHREEK</t>
  </si>
  <si>
    <t>HECTORALEMANREGALADO</t>
  </si>
  <si>
    <t>JICE4955588</t>
  </si>
  <si>
    <t>AZAZ20240523230312</t>
  </si>
  <si>
    <t>MANIAKOBRIAN123</t>
  </si>
  <si>
    <t>FLX02556</t>
  </si>
  <si>
    <t>FERNANDO JUX</t>
  </si>
  <si>
    <t>FLX00185</t>
  </si>
  <si>
    <t>ALFREDOSORIANOLEMUS</t>
  </si>
  <si>
    <t>Flex Centro Puerto Carga Microfono Para iPhone 8 Plus A1897</t>
  </si>
  <si>
    <t>FLX00000</t>
  </si>
  <si>
    <t>SAMI800611</t>
  </si>
  <si>
    <t>Flex Centro Puerto Carga Micrófono Jack Audio Galaxy A01</t>
  </si>
  <si>
    <t>FLX00530</t>
  </si>
  <si>
    <t>CAAL4381152</t>
  </si>
  <si>
    <t>Flex Botón Inicio Home Para iPad Mini 3 A1599 A1600 A1601</t>
  </si>
  <si>
    <t>TECNOPHONE MOBILE</t>
  </si>
  <si>
    <t>TSUCESARDP</t>
  </si>
  <si>
    <t>FLX02511</t>
  </si>
  <si>
    <t>DANIELALONSO809</t>
  </si>
  <si>
    <t>Cristal Digitalizador Touch Screen Para Alcatel 8094 3t 10</t>
  </si>
  <si>
    <t>FLX00456</t>
  </si>
  <si>
    <t>LUPA820010</t>
  </si>
  <si>
    <t>SOLISGUADALUPE20230630144328</t>
  </si>
  <si>
    <t>FLX02398</t>
  </si>
  <si>
    <t>ABARCAANALI20230828103851</t>
  </si>
  <si>
    <t>DIED20240129152445</t>
  </si>
  <si>
    <t>ABIGAILLUCASVZQUEZ</t>
  </si>
  <si>
    <t>FLX00638</t>
  </si>
  <si>
    <t>JOSFRANCISCOGONZLEZWONG</t>
  </si>
  <si>
    <t>NETWIFI2012</t>
  </si>
  <si>
    <t>REYESABRAHAM20230629235159</t>
  </si>
  <si>
    <t>ANTONUÑE</t>
  </si>
  <si>
    <t>PEREDAKARINA20220612161115</t>
  </si>
  <si>
    <t>ENSO1996068</t>
  </si>
  <si>
    <t>HEED3749045</t>
  </si>
  <si>
    <t>ALEXHARDYROM</t>
  </si>
  <si>
    <t>FLX02610</t>
  </si>
  <si>
    <t>DIEGOLOOLGOLD</t>
  </si>
  <si>
    <t>FLX01332</t>
  </si>
  <si>
    <t>ACRODOLFO75</t>
  </si>
  <si>
    <t>Repuesto Bateria Control Para Sony Playstation 4 Slim / Pro</t>
  </si>
  <si>
    <t>ESTRADASAENZJORGELUIS</t>
  </si>
  <si>
    <t>URAN1987256</t>
  </si>
  <si>
    <t>AGUILAR_RUIZ90</t>
  </si>
  <si>
    <t>LUISDANIEL.PERALTA</t>
  </si>
  <si>
    <t>FLX01673</t>
  </si>
  <si>
    <t>CHIO36</t>
  </si>
  <si>
    <t>Soporte Anillo Sujetador Holder Dedo Celular Metal Circular</t>
  </si>
  <si>
    <t>LS20240705093535</t>
  </si>
  <si>
    <t>MCERVANTESG2</t>
  </si>
  <si>
    <t>EESIU2000</t>
  </si>
  <si>
    <t>FLX00529</t>
  </si>
  <si>
    <t>Flex Camara Frontal Sensor Proximidad Para iPhone 6s Plus</t>
  </si>
  <si>
    <t>SANCHEZADOLFO20231204032635</t>
  </si>
  <si>
    <t>FLX01876</t>
  </si>
  <si>
    <t>CLICK_JP</t>
  </si>
  <si>
    <t>Rollo Adhesivo Pegamento Cinta Doble Touch Celular 50mt 2mm</t>
  </si>
  <si>
    <t>LORENZO CONTRERAS</t>
  </si>
  <si>
    <t>ZAULMATURANA</t>
  </si>
  <si>
    <t>MAURICIOGPEALANISFLORES</t>
  </si>
  <si>
    <t>MIGUELANGELHUERTALEYVA</t>
  </si>
  <si>
    <t>JIMENEZJIMENEZ12333333333399I8</t>
  </si>
  <si>
    <t>FLX01310</t>
  </si>
  <si>
    <t>MIGUELALEXIS20210501190224</t>
  </si>
  <si>
    <t>Batería Para Huawei Mate 9 / Pro Y7 Y9 Prime Hb396689ecw</t>
  </si>
  <si>
    <t>FLX01242</t>
  </si>
  <si>
    <t>LOZOYA130</t>
  </si>
  <si>
    <t>Batería Pila Para Galaxy Tab A7 10.4 T500 T505</t>
  </si>
  <si>
    <t>FLX01077</t>
  </si>
  <si>
    <t>FUAX20231222230011</t>
  </si>
  <si>
    <t>YURIELAROBLES</t>
  </si>
  <si>
    <t>LMAD2007</t>
  </si>
  <si>
    <t>FLX00588</t>
  </si>
  <si>
    <t>MONINA1292</t>
  </si>
  <si>
    <t>Flex Centro Puerto Carga Rapida Para Tcl 10l T770 Lite</t>
  </si>
  <si>
    <t>FRANCISCORAMIREZGRO</t>
  </si>
  <si>
    <t>MORJ_86</t>
  </si>
  <si>
    <t>BENITOCELFIX20220611135448</t>
  </si>
  <si>
    <t>LUKAS3211</t>
  </si>
  <si>
    <t>PAULESCALANTEHILL</t>
  </si>
  <si>
    <t>FLX02626</t>
  </si>
  <si>
    <t>LOPEZHAYDEE20231126202759</t>
  </si>
  <si>
    <t>Flex Centro Puerto Carga Rapida Para Zte Blade A5 2020</t>
  </si>
  <si>
    <t>MIGUELCELLPC</t>
  </si>
  <si>
    <t>TOFE7310538</t>
  </si>
  <si>
    <t>HEFE326269</t>
  </si>
  <si>
    <t>FLX00606</t>
  </si>
  <si>
    <t>CAMA3819177</t>
  </si>
  <si>
    <t>Flex Principal Main Para Xiaomi Redmi Note 9s Poco M2 Pro 9</t>
  </si>
  <si>
    <t>MONTALVOELIAN20221224021014</t>
  </si>
  <si>
    <t>MAGA5561376</t>
  </si>
  <si>
    <t>DR_DUCKY</t>
  </si>
  <si>
    <t>KATY970204</t>
  </si>
  <si>
    <t>ANTONIOPEDRO20230319005920</t>
  </si>
  <si>
    <t>VIAL3965735</t>
  </si>
  <si>
    <t>MAGAÑAFRANCIS20220901173451</t>
  </si>
  <si>
    <t>ESCARCEGAJESÚS20220824161740</t>
  </si>
  <si>
    <t>FLX02818</t>
  </si>
  <si>
    <t>CANTINCAGONTRAN20210726035235</t>
  </si>
  <si>
    <t>Flex Centro Puerto Carga Rapida Para Galaxy A33 5g A336</t>
  </si>
  <si>
    <t>JMARPACHECO59470</t>
  </si>
  <si>
    <t>ADANEMANUELBELLOMERINO</t>
  </si>
  <si>
    <t>FAUSRS4104</t>
  </si>
  <si>
    <t>ULISESAGUSTNDUEASRUIZ</t>
  </si>
  <si>
    <t>FLX02726</t>
  </si>
  <si>
    <t>CJ20240711025521</t>
  </si>
  <si>
    <t>JUANCARLOSRODEASANCHEZ</t>
  </si>
  <si>
    <t>FLX00448</t>
  </si>
  <si>
    <t>Tapa Trasera + Adhesivo Para Moto G7 Power Xt1955</t>
  </si>
  <si>
    <t>AMAURISANCHEZOJEDA</t>
  </si>
  <si>
    <t>FLX02647</t>
  </si>
  <si>
    <t>Flex Cable Control Para Playstation 4 Ps4 10 / 12 / 14 Pines</t>
  </si>
  <si>
    <t>TOVI5870386</t>
  </si>
  <si>
    <t>FLX01303</t>
  </si>
  <si>
    <t>CASTILLOMARIA20230323182323</t>
  </si>
  <si>
    <t>Adaptador Audio Rca Splitter Macho Jack 6.35mm Estereo Plug</t>
  </si>
  <si>
    <t>ANTONYREDEMPTION</t>
  </si>
  <si>
    <t>GARU6533530</t>
  </si>
  <si>
    <t>ANGELGABRIELHERNNDEZFLORES</t>
  </si>
  <si>
    <t>MENDIOLAJORGE20230216112623</t>
  </si>
  <si>
    <t>FLX00814</t>
  </si>
  <si>
    <t>BASA2795043</t>
  </si>
  <si>
    <t>Flex Centro Puerto Carga Para Galaxy Note 10 Plus N976b/n</t>
  </si>
  <si>
    <t>ORAMIREZ20628</t>
  </si>
  <si>
    <t>CAER9487170</t>
  </si>
  <si>
    <t>BAUTISTARICARDO20230617181010</t>
  </si>
  <si>
    <t>FLX01166</t>
  </si>
  <si>
    <t>AG20240728213824</t>
  </si>
  <si>
    <t>Tapete Tapiz Silicon Reparación Celular Tablet Anticorrosivo</t>
  </si>
  <si>
    <t>CRAL9064630</t>
  </si>
  <si>
    <t>YUCAS11</t>
  </si>
  <si>
    <t>ELSHOPPER2007</t>
  </si>
  <si>
    <t>MMORENOGG</t>
  </si>
  <si>
    <t>FLX01028</t>
  </si>
  <si>
    <t>HE20240807134018</t>
  </si>
  <si>
    <t>Batería Pila Oem 5000mah Galaxy Tab E 9.6 T560 T561 T567</t>
  </si>
  <si>
    <t>FLX00842</t>
  </si>
  <si>
    <t>YARA5550661</t>
  </si>
  <si>
    <t>Soporte Anillo Sujetador Holder Magnetico Celular Smartphone</t>
  </si>
  <si>
    <t>FLX02850</t>
  </si>
  <si>
    <t>PABLOXX260412</t>
  </si>
  <si>
    <t>Membrana Conductiva Control Compatible Ps5 Playstation Flex</t>
  </si>
  <si>
    <t>ALMAPATRICIAMG</t>
  </si>
  <si>
    <t>RUGERIOJUAN20220808171454</t>
  </si>
  <si>
    <t>FLX00265</t>
  </si>
  <si>
    <t>LEONARDOCESARMUOZCRUZ</t>
  </si>
  <si>
    <t>Puerto Centro Carga Micro Usb Motorola Moto G3 Xt1540 Envío</t>
  </si>
  <si>
    <t>JIJU2363391</t>
  </si>
  <si>
    <t>FLX01324</t>
  </si>
  <si>
    <t>ESCR8514980</t>
  </si>
  <si>
    <t>Batería Pila Compatible Con Nintendo 3ds Xl 3ds Ll</t>
  </si>
  <si>
    <t>ALEXANDERTORRES2D</t>
  </si>
  <si>
    <t>LOL1639260</t>
  </si>
  <si>
    <t>NESTORCHAVEZ261</t>
  </si>
  <si>
    <t>LUNAJOSUE20230604185002</t>
  </si>
  <si>
    <t>SCARFACE33123</t>
  </si>
  <si>
    <t>FLX00630</t>
  </si>
  <si>
    <t>GORA20240301124047</t>
  </si>
  <si>
    <t>Adhesivo Pegamento Pantalla Display Para iPhone 6s 7 8 Plus</t>
  </si>
  <si>
    <t>OREL1612642</t>
  </si>
  <si>
    <t>FLX00790</t>
  </si>
  <si>
    <t>REXA7407029</t>
  </si>
  <si>
    <t>Lente Protector Vidrio Cámara Para Xiaomi Redmi Note 11s</t>
  </si>
  <si>
    <t>MIGUEL000HOLA</t>
  </si>
  <si>
    <t>ALONDRAYENIFERPERALTAHERNAND</t>
  </si>
  <si>
    <t>CASTELLANOANGEL20230831130140</t>
  </si>
  <si>
    <t>FIOS3677290</t>
  </si>
  <si>
    <t>FLX02844</t>
  </si>
  <si>
    <t>JUDITHALEJANDRARUBIOPARTIDA</t>
  </si>
  <si>
    <t>Bandeja Porta Sim Charola Chip Dual Para Moto E20 Xt2155</t>
  </si>
  <si>
    <t>MARTINEZJIMNEZLUISENRIQUE</t>
  </si>
  <si>
    <t>BUVAARMANDO</t>
  </si>
  <si>
    <t>JAVIERACOSTATREVIÑO</t>
  </si>
  <si>
    <t>GAAL9405311</t>
  </si>
  <si>
    <t>FLX00357</t>
  </si>
  <si>
    <t>VINELYEMANUELLOPEZSOTO</t>
  </si>
  <si>
    <t>Bandeja Porta Sim Charola Sd Compatible Huawei P30 Lite</t>
  </si>
  <si>
    <t>NALOIDE</t>
  </si>
  <si>
    <t>JIDE4866065</t>
  </si>
  <si>
    <t>GAJO20240321150023</t>
  </si>
  <si>
    <t>RIAL20240516142541</t>
  </si>
  <si>
    <t>CARRILLOHARO</t>
  </si>
  <si>
    <t>FLX00553</t>
  </si>
  <si>
    <t>TECHNOLOGY05</t>
  </si>
  <si>
    <t>Bandeja Porta Sim Charola Dual Galaxy A10s A105</t>
  </si>
  <si>
    <t>FLX00268</t>
  </si>
  <si>
    <t>VÍCTOR GARCÍA</t>
  </si>
  <si>
    <t>Flex Centro Carga Micrófono Compatible Moto E6s Xt2053</t>
  </si>
  <si>
    <t>RANF2012</t>
  </si>
  <si>
    <t>FLX00787</t>
  </si>
  <si>
    <t>RISA3298300</t>
  </si>
  <si>
    <t>Lente Vidrio Cristal Cámara Para Galaxy A11 A115</t>
  </si>
  <si>
    <t>BENITESZABDI20230911232924</t>
  </si>
  <si>
    <t>FLX01879</t>
  </si>
  <si>
    <t>ROIS4490796</t>
  </si>
  <si>
    <t>MENDOZAMARIA20231201171434</t>
  </si>
  <si>
    <t>ANGELESANGEL20230621182203</t>
  </si>
  <si>
    <t>FLX01135</t>
  </si>
  <si>
    <t>ALICIACG2604</t>
  </si>
  <si>
    <t>Kit 16 Herramientas Reparar Tablets Celular Torx Pentalobe</t>
  </si>
  <si>
    <t>IGNACIOSERRANO266</t>
  </si>
  <si>
    <t>ROLJAIMES</t>
  </si>
  <si>
    <t>ROEN673243</t>
  </si>
  <si>
    <t>CAOS20240315155520</t>
  </si>
  <si>
    <t>SOUJIIRO</t>
  </si>
  <si>
    <t>CRAZY4CHANEL124</t>
  </si>
  <si>
    <t>FLX01240</t>
  </si>
  <si>
    <t>MAILTRABAJO2519</t>
  </si>
  <si>
    <t>Batería Pila Para Galaxy Tab A 10.1 2019 T510 T511 T512 T515</t>
  </si>
  <si>
    <t>MIRANDAVICTOR20220706191525</t>
  </si>
  <si>
    <t>RORA6306666</t>
  </si>
  <si>
    <t>GM20240618175524</t>
  </si>
  <si>
    <t>FLX00789</t>
  </si>
  <si>
    <t>Lente Vidrio Protector Cámara Trasera Para Moto E20 Xt2155</t>
  </si>
  <si>
    <t>ALBERTRG24</t>
  </si>
  <si>
    <t>Flex Bocina Auricular Para iPhone 11 A2111 A2221 A2223</t>
  </si>
  <si>
    <t>SAMUEL_14_30</t>
  </si>
  <si>
    <t>NUEZHERNANDEZJOSEADAN</t>
  </si>
  <si>
    <t>RAJO9162725</t>
  </si>
  <si>
    <t>LOMA6502195</t>
  </si>
  <si>
    <t>FLX01073</t>
  </si>
  <si>
    <t>CURANDERO710</t>
  </si>
  <si>
    <t>Flex Centro Puerto Carga Compatible Alcatel 1s 5024</t>
  </si>
  <si>
    <t>FLX02538</t>
  </si>
  <si>
    <t>ALVAREZDENISSE20231008214211</t>
  </si>
  <si>
    <t>Lente Vidrio Cristal Cámara Para Xiaomi Redmi Note 10 Pro Fx</t>
  </si>
  <si>
    <t>EDWARASUNAYUKI</t>
  </si>
  <si>
    <t>FLX00641</t>
  </si>
  <si>
    <t>AYLE20231228002940</t>
  </si>
  <si>
    <t>GRACILIANOELIZABETH20220525214</t>
  </si>
  <si>
    <t>Flex Encendido Apagado Compatible Galaxy A12 A125 M12 M125</t>
  </si>
  <si>
    <t>GUAN4341626</t>
  </si>
  <si>
    <t>FLX01556</t>
  </si>
  <si>
    <t>CORDOVAJOSE20230930173050</t>
  </si>
  <si>
    <t>ADRIAN22101985GG</t>
  </si>
  <si>
    <t>LIMAJULIO51</t>
  </si>
  <si>
    <t>FLX00617</t>
  </si>
  <si>
    <t>GAVE20240305163937</t>
  </si>
  <si>
    <t>Kit Juego 19 Tornillos Xbox One Torx T6 T8</t>
  </si>
  <si>
    <t>FLX02014</t>
  </si>
  <si>
    <t>IVANYAHIR20220723141050</t>
  </si>
  <si>
    <t>Flex Jack Audio Microfono Para Galaxy J6 J8 A6 2018</t>
  </si>
  <si>
    <t>FLX00203</t>
  </si>
  <si>
    <t>VAMA8839171</t>
  </si>
  <si>
    <t>Flex Antena Señal Wifi Para iPhone 8 Plus A1864 A1897 A1898</t>
  </si>
  <si>
    <t>JJJA8918719</t>
  </si>
  <si>
    <t>FLX01725</t>
  </si>
  <si>
    <t>MEDA1267422</t>
  </si>
  <si>
    <t>FUMA5364482</t>
  </si>
  <si>
    <t>JOSEANTONIOGARCIASIFUENTES</t>
  </si>
  <si>
    <t>FLX01174</t>
  </si>
  <si>
    <t>GA20240803150042</t>
  </si>
  <si>
    <t>Pantalla Display Lcd Touch Compatible Xiaomi Redmi Note 4 4x</t>
  </si>
  <si>
    <t>OTEROCHAVA20230606153405</t>
  </si>
  <si>
    <t>MASVCBR</t>
  </si>
  <si>
    <t>FLX02714</t>
  </si>
  <si>
    <t>RAFAELBARRNLPEZ</t>
  </si>
  <si>
    <t>Flex Centro Puerto Carga Para Tcl Alcatel Revvl 4 Plus 5062</t>
  </si>
  <si>
    <t>JYSUSANTONIO</t>
  </si>
  <si>
    <t>PD20240811170850</t>
  </si>
  <si>
    <t>ZALU4319450</t>
  </si>
  <si>
    <t>FLX01093</t>
  </si>
  <si>
    <t>GES5662690</t>
  </si>
  <si>
    <t>Centro Puerto Carga De Control Xbox One Micro Usb Conector</t>
  </si>
  <si>
    <t>ELLUISARIAS</t>
  </si>
  <si>
    <t>FLX00368</t>
  </si>
  <si>
    <t>EL20240801013034</t>
  </si>
  <si>
    <t>Flex Centro Puerto Carga Para Moto E6 Plus Xt2025-1</t>
  </si>
  <si>
    <t>MAURICIOULISESPEREZ</t>
  </si>
  <si>
    <t>FLX00256</t>
  </si>
  <si>
    <t>MALU8187677</t>
  </si>
  <si>
    <t>Flex Botones Encendido Volumen Para Moto G6 Plus Xt1926</t>
  </si>
  <si>
    <t>LABE4849108</t>
  </si>
  <si>
    <t>FLX00105</t>
  </si>
  <si>
    <t>MAJO5563817</t>
  </si>
  <si>
    <t>Flex Puerto Centro Entrada Carga Usb Huawei P20 Lite Ane-lx3</t>
  </si>
  <si>
    <t>CEER2915141</t>
  </si>
  <si>
    <t>KC20240627233437</t>
  </si>
  <si>
    <t>BETOS9966</t>
  </si>
  <si>
    <t>DUFA7743770</t>
  </si>
  <si>
    <t>MANUELAUGUSTOSANCHEZAGUIRRE</t>
  </si>
  <si>
    <t>HERBLACKHER20230116185628</t>
  </si>
  <si>
    <t>CRLU20240521154525</t>
  </si>
  <si>
    <t>YTORRESMONTERO</t>
  </si>
  <si>
    <t>FLX02741</t>
  </si>
  <si>
    <t>RACH3L0011</t>
  </si>
  <si>
    <t>FLX01728</t>
  </si>
  <si>
    <t>BUJE5865052</t>
  </si>
  <si>
    <t>Cable Cargador Barril Corriente Dc Usb Varias Medidas +envio</t>
  </si>
  <si>
    <t>REFACCIONDECELULARES</t>
  </si>
  <si>
    <t>LUNAJAAAA</t>
  </si>
  <si>
    <t>FLX01231</t>
  </si>
  <si>
    <t>ZATARAINFERNANDA20231116114250</t>
  </si>
  <si>
    <t>Cristal Vidrio Touch Digitalizador Compatible iPad 7 / 8</t>
  </si>
  <si>
    <t>HERA3848111</t>
  </si>
  <si>
    <t>SERVI-CEL.FM</t>
  </si>
  <si>
    <t>HILLROQUE</t>
  </si>
  <si>
    <t>LLAMASCASILLASRENEANTONIO</t>
  </si>
  <si>
    <t>ISRAELMILAN</t>
  </si>
  <si>
    <t>FLAKROS30</t>
  </si>
  <si>
    <t>ESTHERMARLENELPEZ</t>
  </si>
  <si>
    <t>SARO20240207161404</t>
  </si>
  <si>
    <t>FLX02616</t>
  </si>
  <si>
    <t>JOSUEGOMESSANTIZ</t>
  </si>
  <si>
    <t>Flex Encendido Apagado Botón Para Galaxy A10s A107</t>
  </si>
  <si>
    <t>FLX02171</t>
  </si>
  <si>
    <t>ELIUDBARRIOSBETANZO</t>
  </si>
  <si>
    <t>Flex Centro Puerto Carga Microfono Para Galaxy A51 A515</t>
  </si>
  <si>
    <t>ROGU8665223</t>
  </si>
  <si>
    <t>POSITIVE RISE</t>
  </si>
  <si>
    <t>DZIBCARLOS20230423170504</t>
  </si>
  <si>
    <t>CAAL8657653</t>
  </si>
  <si>
    <t>ABELNEO</t>
  </si>
  <si>
    <t>FLX02594</t>
  </si>
  <si>
    <t>Flex Lcd Display Compatible Galaxy Tab A 10.1 T510 T515</t>
  </si>
  <si>
    <t>PIKISON36</t>
  </si>
  <si>
    <t>FLX01268</t>
  </si>
  <si>
    <t>FFRO2606</t>
  </si>
  <si>
    <t>Puerto Pin Centro Carga Universal V8 5 Pin Micro Usb B 4p</t>
  </si>
  <si>
    <t>GA20240719155526</t>
  </si>
  <si>
    <t>COLINMONZERRATH</t>
  </si>
  <si>
    <t>CHARROMONTERREY</t>
  </si>
  <si>
    <t>CESARDELGADOPADILLA</t>
  </si>
  <si>
    <t>FLX02193</t>
  </si>
  <si>
    <t>PICOLAS100</t>
  </si>
  <si>
    <t>Flex Centro Puerto Carga Para iPhone 7 A1660 A1778 A1779</t>
  </si>
  <si>
    <t>FLX00193</t>
  </si>
  <si>
    <t>RF20240621130017</t>
  </si>
  <si>
    <t>GLM27092003</t>
  </si>
  <si>
    <t>FLX00252</t>
  </si>
  <si>
    <t>MATAEVE20230721123103</t>
  </si>
  <si>
    <t>Flex Botón Encendido Volumen Para Moto G9 / G9 Play E7 Plus</t>
  </si>
  <si>
    <t>GARCIAJOSE20230529212747</t>
  </si>
  <si>
    <t>EUROSIS_10</t>
  </si>
  <si>
    <t>BBALCARAZ</t>
  </si>
  <si>
    <t>Flex Centro Puerto Carga Rapida Para Galaxy A03 Core A032f</t>
  </si>
  <si>
    <t>MCRAO</t>
  </si>
  <si>
    <t>ORKE8162636</t>
  </si>
  <si>
    <t>RUBENROBLEDOALDAZ</t>
  </si>
  <si>
    <t>FLX02273</t>
  </si>
  <si>
    <t>GAMBOAISAY20220722195539</t>
  </si>
  <si>
    <t>5 Adhesivo Pegamento Tira Batería Pila Para iPhone 6 6s 7</t>
  </si>
  <si>
    <t>GUALO8</t>
  </si>
  <si>
    <t>FLX00823</t>
  </si>
  <si>
    <t>HUGORODRIGUEZ906</t>
  </si>
  <si>
    <t>Flex Puerto Centro Carga Para iPad Mini 4 A1538 A1550 Blanco</t>
  </si>
  <si>
    <t>FLX02633</t>
  </si>
  <si>
    <t>MARAGUADALUPEAGUILARRODRGU</t>
  </si>
  <si>
    <t>Flex Centro Puerto Carga Rapida Para Zte Blade A7s A7020</t>
  </si>
  <si>
    <t>BRIANMARTINEZDIONICIO</t>
  </si>
  <si>
    <t>FERNANDEZGRECIA20220614235341</t>
  </si>
  <si>
    <t>RIAD3364796</t>
  </si>
  <si>
    <t>FLX02723</t>
  </si>
  <si>
    <t>ALEXSMART74</t>
  </si>
  <si>
    <t>Flex Centro Puerto Carga Compatible iPhone SE 2020 A2275</t>
  </si>
  <si>
    <t>VACH20240503134852</t>
  </si>
  <si>
    <t>FLX01702</t>
  </si>
  <si>
    <t>PAATREYNA20220912230415</t>
  </si>
  <si>
    <t>ONTOY.MX</t>
  </si>
  <si>
    <t>GIRONDAVID98</t>
  </si>
  <si>
    <t>FACPYU53</t>
  </si>
  <si>
    <t>ZEED6209306</t>
  </si>
  <si>
    <t>RAJO9367325</t>
  </si>
  <si>
    <t>PROCEL2024</t>
  </si>
  <si>
    <t>PEREZLUIS20210917173351</t>
  </si>
  <si>
    <t>CELLCITYCABORCA</t>
  </si>
  <si>
    <t>FLX02291</t>
  </si>
  <si>
    <t>RB20240714191317</t>
  </si>
  <si>
    <t>SNAKEBIT</t>
  </si>
  <si>
    <t>MOAN2842418</t>
  </si>
  <si>
    <t>FLX01256</t>
  </si>
  <si>
    <t>RICE8036999</t>
  </si>
  <si>
    <t>Batería Pila 7340mah iPad Air 2 iPad 6 A1566 A1567 A1547</t>
  </si>
  <si>
    <t>ROBERTO LOPEZ14</t>
  </si>
  <si>
    <t>FLX00532</t>
  </si>
  <si>
    <t>GAMA6222832</t>
  </si>
  <si>
    <t>Flex Centro Puerto Carga Para iPad 7 8 A2270 A2197 A2428</t>
  </si>
  <si>
    <t>ABRAHAMALDANA93</t>
  </si>
  <si>
    <t>FLX01557</t>
  </si>
  <si>
    <t>LOJO930181</t>
  </si>
  <si>
    <t>MARCIALMIGUELROJAS</t>
  </si>
  <si>
    <t>FLX02830</t>
  </si>
  <si>
    <t>GOMA2280724</t>
  </si>
  <si>
    <t>Flex Centro Puerto Carga Rapida Compatible Galaxy A54 A546</t>
  </si>
  <si>
    <t>DG20240812163707</t>
  </si>
  <si>
    <t>BRENDAALUCI</t>
  </si>
  <si>
    <t>FLX01036</t>
  </si>
  <si>
    <t>DOBR5957225</t>
  </si>
  <si>
    <t>Cable Divisor Splitter 2 Television Monitor Hdmi V1.4 Fullhd</t>
  </si>
  <si>
    <t>BRYANALONSOLARIOSDAZ</t>
  </si>
  <si>
    <t>JUANMAURICIOALVARADODELGADIL</t>
  </si>
  <si>
    <t>PACH20240313222104</t>
  </si>
  <si>
    <t>PP20240729150254</t>
  </si>
  <si>
    <t>HEJO290172</t>
  </si>
  <si>
    <t>MEAL9936248</t>
  </si>
  <si>
    <t>FLX01998</t>
  </si>
  <si>
    <t>PEREZMANUEL20230614220224</t>
  </si>
  <si>
    <t>Cable Divisor Splitter 2 Television Hdmi V1.4 Full Hd</t>
  </si>
  <si>
    <t>MIGUELANGELMACIELROCHA</t>
  </si>
  <si>
    <t>Flex Centro Carga Usb Micrófono Compatible Moto E6s Xt2053</t>
  </si>
  <si>
    <t>FLX01321</t>
  </si>
  <si>
    <t>AR20240728001450</t>
  </si>
  <si>
    <t>Batería Pila Compatible Con Moto G5 Plus Hg40 Xt1680 2810ma</t>
  </si>
  <si>
    <t>POJO8581577</t>
  </si>
  <si>
    <t>CINSARABIA</t>
  </si>
  <si>
    <t>JPELIASDRT</t>
  </si>
  <si>
    <t>JUAREZDOLORES20220823202449</t>
  </si>
  <si>
    <t>DEAL6394173</t>
  </si>
  <si>
    <t>FLX00018</t>
  </si>
  <si>
    <t>GARCIAARTURO20230921111247</t>
  </si>
  <si>
    <t>Flex Puerto Centro Carga Micrófono Jack Galaxy A20 A205 Nex</t>
  </si>
  <si>
    <t>KRESNIK2010</t>
  </si>
  <si>
    <t>MAJE2227060</t>
  </si>
  <si>
    <t>YAHIRG18</t>
  </si>
  <si>
    <t>CHAPARROYENIFFER20230314014945</t>
  </si>
  <si>
    <t>FLX01672</t>
  </si>
  <si>
    <t>GRE8039186</t>
  </si>
  <si>
    <t>FLX01674</t>
  </si>
  <si>
    <t>DECM2002</t>
  </si>
  <si>
    <t>GUADALUPEAGUSTNPECHAMAYA</t>
  </si>
  <si>
    <t>VAED9044364</t>
  </si>
  <si>
    <t>CRED4235752</t>
  </si>
  <si>
    <t>ROBERTO5625</t>
  </si>
  <si>
    <t>MARTHAALON</t>
  </si>
  <si>
    <t>RUTHCELENEMONTESDEOCAESTRA</t>
  </si>
  <si>
    <t>BASA9585493</t>
  </si>
  <si>
    <t>BRICETRAMOS</t>
  </si>
  <si>
    <t>RLU2331131</t>
  </si>
  <si>
    <t>FLX00782</t>
  </si>
  <si>
    <t>COMI20240302215530</t>
  </si>
  <si>
    <t>Lente Vidrio Cristal Cámara Para Galaxy A12 A125</t>
  </si>
  <si>
    <t>LANGATEC</t>
  </si>
  <si>
    <t>IGR</t>
  </si>
  <si>
    <t>FLX01999</t>
  </si>
  <si>
    <t>MAED20240314031424</t>
  </si>
  <si>
    <t>Batería Pila Compatible Con Sony Psp Slim 2000 / 3000</t>
  </si>
  <si>
    <t>HUMBER81</t>
  </si>
  <si>
    <t>FV20240726011856</t>
  </si>
  <si>
    <t>Flex Puerto Centro Carga Compatible Huawei Y6s Y6 Prime 2019</t>
  </si>
  <si>
    <t>MOCE4888444</t>
  </si>
  <si>
    <t>CAAL2202941</t>
  </si>
  <si>
    <t>DULCEANGELICADELACRUZDOMIN</t>
  </si>
  <si>
    <t>DEYBYDRP</t>
  </si>
  <si>
    <t>HERNANDEZGERARDO20220716005457</t>
  </si>
  <si>
    <t>FLX00830</t>
  </si>
  <si>
    <t>FERZEKO11</t>
  </si>
  <si>
    <t>LEONARDOX2018</t>
  </si>
  <si>
    <t>FRED_CANTON</t>
  </si>
  <si>
    <t>FABYABONCE</t>
  </si>
  <si>
    <t>AGJE1787337</t>
  </si>
  <si>
    <t>FREDDYJAVIERQUINTALPECH</t>
  </si>
  <si>
    <t>MONSIVAISMAGDALENA</t>
  </si>
  <si>
    <t>EM20240811210331</t>
  </si>
  <si>
    <t>FLX02267</t>
  </si>
  <si>
    <t>CHRISTIAMRANGEL</t>
  </si>
  <si>
    <t>Bandeja Porta Sim Charola Dual Para Galaxy A02 A022</t>
  </si>
  <si>
    <t>SASA20240210001548</t>
  </si>
  <si>
    <t>MUOZRAMREZJORGEDAVID</t>
  </si>
  <si>
    <t>MNAVA44</t>
  </si>
  <si>
    <t>MOMI20240111121825</t>
  </si>
  <si>
    <t>FLX00186</t>
  </si>
  <si>
    <t>MAES20240521230834</t>
  </si>
  <si>
    <t>ARMENTARIVERAMAURICIODANIEL</t>
  </si>
  <si>
    <t>FLORESJOSE20231214230940</t>
  </si>
  <si>
    <t>FLX00661</t>
  </si>
  <si>
    <t>URDA2607751</t>
  </si>
  <si>
    <t>Bocina Altavoz Inferior Para Moto G7 G8 Power Play Lite</t>
  </si>
  <si>
    <t>EDGARAMAURIALFAROMARTINEZ</t>
  </si>
  <si>
    <t>DIEGOJESSMIRANDACORONA</t>
  </si>
  <si>
    <t>FLX02369</t>
  </si>
  <si>
    <t>ESTRADAOSCAR69</t>
  </si>
  <si>
    <t>MIZAELMIRELEZ</t>
  </si>
  <si>
    <t>EDGARISAACPEASOTO</t>
  </si>
  <si>
    <t>DEIKIN</t>
  </si>
  <si>
    <t>TODODECELULAR_LP</t>
  </si>
  <si>
    <t>FLX02030</t>
  </si>
  <si>
    <t>RADAIDANTONIOGARCIA</t>
  </si>
  <si>
    <t>Flex Centro Puerto Carga Usb Para Moto G3 Xt1540 Xt1543</t>
  </si>
  <si>
    <t>RUGE5873217</t>
  </si>
  <si>
    <t>Flex Centro Puerto Carga Us Para Galaxy Tab A 10.1 T510 T517</t>
  </si>
  <si>
    <t>MARCOCASTRUITA</t>
  </si>
  <si>
    <t>FLX02632</t>
  </si>
  <si>
    <t>ROSALBAGTZ13</t>
  </si>
  <si>
    <t>Flex Centro Puerto Carga Rapida + Mic Para Moto One Hyper</t>
  </si>
  <si>
    <t>OLGUÍN7089</t>
  </si>
  <si>
    <t>FLX00179</t>
  </si>
  <si>
    <t>JESUSRAMONVALDEZCARDENAS</t>
  </si>
  <si>
    <t>Flex Centro Puerto Carga Micrófono Jack Para iPhone 6 4.7</t>
  </si>
  <si>
    <t>FERNANDOANGELBAUTISTASAPIEN</t>
  </si>
  <si>
    <t>ARRAMBIDEMYRIAM20221105024820</t>
  </si>
  <si>
    <t>IVANSAULGARCIARODRIGUEZ</t>
  </si>
  <si>
    <t>FLX01779</t>
  </si>
  <si>
    <t>10 Pzas Microfono Adaptable Interno Universal Celular Tablet</t>
  </si>
  <si>
    <t>MAMA769279</t>
  </si>
  <si>
    <t>GAJU1823995</t>
  </si>
  <si>
    <t>CAMI574639</t>
  </si>
  <si>
    <t>FLX00085</t>
  </si>
  <si>
    <t>Flex Centro Puerto Carga Microfono Compatible iPhone 8 Plus</t>
  </si>
  <si>
    <t>CCLEMENTELUNAGALLEGOS51953</t>
  </si>
  <si>
    <t>RIGE5487613</t>
  </si>
  <si>
    <t>FLX01211</t>
  </si>
  <si>
    <t>OCEGUERA359</t>
  </si>
  <si>
    <t>Tira Adhesivo Pegamento Batería Para iPhone 6 6s 7 Plus</t>
  </si>
  <si>
    <t>GAED7023991</t>
  </si>
  <si>
    <t>DAVID_DEIVID27</t>
  </si>
  <si>
    <t>JESSFERNNDEZGONZALEZ</t>
  </si>
  <si>
    <t>URBINAJARET20230915000710</t>
  </si>
  <si>
    <t>FLX00646</t>
  </si>
  <si>
    <t>TOGA10TT</t>
  </si>
  <si>
    <t>Flex Botón Encendido Volumen Para Xiaomi Redmi Note 8 Pro</t>
  </si>
  <si>
    <t>CAIZ20240114014208</t>
  </si>
  <si>
    <t>RAJA6901721</t>
  </si>
  <si>
    <t>FLX00130</t>
  </si>
  <si>
    <t>STEVE SANDOVAL</t>
  </si>
  <si>
    <t>Flex Botón Volumen Encendido Huawei P30 Lite</t>
  </si>
  <si>
    <t>MELU7911380</t>
  </si>
  <si>
    <t>MAAD5936494</t>
  </si>
  <si>
    <t>ESMA766316</t>
  </si>
  <si>
    <t>TRVI20240110224754</t>
  </si>
  <si>
    <t>GUILLERMOURDAIBAY</t>
  </si>
  <si>
    <t>FLX02625</t>
  </si>
  <si>
    <t>DAVIDGUTIRREZURRIETA</t>
  </si>
  <si>
    <t>Flex Centro Puerto Carga Rápida Para Moto G8 Power Lite 2055</t>
  </si>
  <si>
    <t>HIDA5882663</t>
  </si>
  <si>
    <t>FLX02842</t>
  </si>
  <si>
    <t>GAKE4970906</t>
  </si>
  <si>
    <t>Lente Protector Vidrio Cristal Cámara Para Oppo A57 A77</t>
  </si>
  <si>
    <t>CC20240705005644</t>
  </si>
  <si>
    <t>FELIXTOVARO</t>
  </si>
  <si>
    <t>CLAUDIOANTONIOMOZOMAZABA</t>
  </si>
  <si>
    <t>MOVISTARAUTLAN</t>
  </si>
  <si>
    <t>GARCIAJOSE20231203224900</t>
  </si>
  <si>
    <t>ISRAEL KANTUN</t>
  </si>
  <si>
    <t>FLX01144</t>
  </si>
  <si>
    <t>JULIAYANETHMARTINEZMARQUEZ</t>
  </si>
  <si>
    <t>Pegamento Adhesivo Uv B7000 15ml Pantalla Marco Celulares</t>
  </si>
  <si>
    <t>SACA8312732</t>
  </si>
  <si>
    <t>FLX01662</t>
  </si>
  <si>
    <t>BADA6623904</t>
  </si>
  <si>
    <t>Soporte Anillo Sujetador Holder Celular Smartphone Ovalado</t>
  </si>
  <si>
    <t>FLX01545</t>
  </si>
  <si>
    <t>COITA_BESAGUI</t>
  </si>
  <si>
    <t>5 Kit Resistencia Teflón Selladora Manual Impulso 2mm 23.8cm</t>
  </si>
  <si>
    <t>SED7638545</t>
  </si>
  <si>
    <t>FLX02746</t>
  </si>
  <si>
    <t>MEMPHISDJ</t>
  </si>
  <si>
    <t>Flex Boton Encendido Para Dell Inspiron 15 5458 5455 5558 59</t>
  </si>
  <si>
    <t>REJE9284861</t>
  </si>
  <si>
    <t>FLX01257</t>
  </si>
  <si>
    <t>FRANCISCOALMARAZ1998</t>
  </si>
  <si>
    <t>Batería Pila iPad Mini 3 Gen A1599 A1600 A1601 6470mah</t>
  </si>
  <si>
    <t>ANAKINSKY99</t>
  </si>
  <si>
    <t>GUED7187891</t>
  </si>
  <si>
    <t>BEYN25</t>
  </si>
  <si>
    <t>MAJO6734932</t>
  </si>
  <si>
    <t>FLX01734</t>
  </si>
  <si>
    <t>SEGUNDAMANOEM</t>
  </si>
  <si>
    <t>Jack Audio Entrada Audífonos Control Para Xbox One 3.5mm</t>
  </si>
  <si>
    <t>DANAEMONT</t>
  </si>
  <si>
    <t>VALENZODULCE20210512202252</t>
  </si>
  <si>
    <t>SOROUSH STORE</t>
  </si>
  <si>
    <t>FLX01234</t>
  </si>
  <si>
    <t>partially_refunded</t>
  </si>
  <si>
    <t>DAVID 201512</t>
  </si>
  <si>
    <t>SALASBLACK20230121141613</t>
  </si>
  <si>
    <t>OSCARDIAZ413</t>
  </si>
  <si>
    <t>FLX00629</t>
  </si>
  <si>
    <t>GER4755917</t>
  </si>
  <si>
    <t>Flex Centro Puerto Carga Lenovo Phab Pb1-750n/m Lf7001q</t>
  </si>
  <si>
    <t>FLX00703</t>
  </si>
  <si>
    <t>MARIANAM22</t>
  </si>
  <si>
    <t>Bandeja Porta Sim Charola Dual Para Galaxy A11 A115</t>
  </si>
  <si>
    <t>HUM_GRA</t>
  </si>
  <si>
    <t>LOED1801387</t>
  </si>
  <si>
    <t>HCTORLORENZODAZSAENZ</t>
  </si>
  <si>
    <t>CAMARILLOJUAN64</t>
  </si>
  <si>
    <t>IVANPCS</t>
  </si>
  <si>
    <t>FLX01272</t>
  </si>
  <si>
    <t>MENDOZABRAVODAVID</t>
  </si>
  <si>
    <t>LUISMANUELLOPEZGALICIA</t>
  </si>
  <si>
    <t>MILLANJESUS20220928213806</t>
  </si>
  <si>
    <t>FLX01969</t>
  </si>
  <si>
    <t>PIÑACRUZ20221214210053</t>
  </si>
  <si>
    <t>Flex Boton Encendido Volumen Para Moto E5 Play Xt1921</t>
  </si>
  <si>
    <t>MARIOTRASVIA</t>
  </si>
  <si>
    <t>CELOREPARO</t>
  </si>
  <si>
    <t>FXP-02-053-J730-13</t>
  </si>
  <si>
    <t>BAJO7683635</t>
  </si>
  <si>
    <t>Porta Sim Charola Bandeja Memoria Galaxy J3 J5 J7 2017</t>
  </si>
  <si>
    <t>FLX02778</t>
  </si>
  <si>
    <t>SERVICIOTEC REI</t>
  </si>
  <si>
    <t>Flex Centro Puerto Carga Para Macbook Pro A1502 820-3584-a</t>
  </si>
  <si>
    <t>ESTEBAN_TOSCA1</t>
  </si>
  <si>
    <t>ALFREDODURANVARGAS</t>
  </si>
  <si>
    <t>FLX00592</t>
  </si>
  <si>
    <t>Flex Centro Puerto Carga Para Redmi Note 9s Pro Poco M2 Pro</t>
  </si>
  <si>
    <t>DURANORTIZJORGEELOY</t>
  </si>
  <si>
    <t>AGAL7190086</t>
  </si>
  <si>
    <t>LDIDGO</t>
  </si>
  <si>
    <t>HESA20240205225902</t>
  </si>
  <si>
    <t>ANAHLINDOSANGUINO</t>
  </si>
  <si>
    <t>FLX00766</t>
  </si>
  <si>
    <t>NAYELI CRUZ09</t>
  </si>
  <si>
    <t>ROSA2843785</t>
  </si>
  <si>
    <t>FLX01194</t>
  </si>
  <si>
    <t>PROTOROCKMANX</t>
  </si>
  <si>
    <t>MENDEZCRISTIAN20221231023942</t>
  </si>
  <si>
    <t>FLX00560</t>
  </si>
  <si>
    <t>FOFO_RODOLFO</t>
  </si>
  <si>
    <t>PEJA8396236</t>
  </si>
  <si>
    <t>BALBINAVARGASHERNANDEZ</t>
  </si>
  <si>
    <t>ANAN3790371</t>
  </si>
  <si>
    <t>ROGR8802838</t>
  </si>
  <si>
    <t>MICHAELS10</t>
  </si>
  <si>
    <t>ORJU6396145</t>
  </si>
  <si>
    <t>FLX01261</t>
  </si>
  <si>
    <t>DIEGORCIO</t>
  </si>
  <si>
    <t>Cable Adaptador Mini Display Port A Vga Para Macbook</t>
  </si>
  <si>
    <t>OSCAR80910</t>
  </si>
  <si>
    <t>SASA4600284</t>
  </si>
  <si>
    <t>IVAN2846</t>
  </si>
  <si>
    <t>SIXTOSKAT20220824184530</t>
  </si>
  <si>
    <t>PG20240716174009</t>
  </si>
  <si>
    <t>FLX02537</t>
  </si>
  <si>
    <t>DICA4983394</t>
  </si>
  <si>
    <t>Flex Centro Puerto Carga Rapida Para Galaxy A22 A226 5g</t>
  </si>
  <si>
    <t>JESUSALEXIS SANCHEZ</t>
  </si>
  <si>
    <t>MC20240812152755</t>
  </si>
  <si>
    <t>RODRIGUEZMARELI20220728215403</t>
  </si>
  <si>
    <t>EE20240605185149</t>
  </si>
  <si>
    <t>FLX02588</t>
  </si>
  <si>
    <t>TREJOALAIN</t>
  </si>
  <si>
    <t>Flex Centro Puerto Carga Para Hisense H40 Lite</t>
  </si>
  <si>
    <t>ZADA6821823</t>
  </si>
  <si>
    <t>FLX02827</t>
  </si>
  <si>
    <t>Flex Centro Puerto Carga Rapida Para Zte Blade V40</t>
  </si>
  <si>
    <t>FLX00805</t>
  </si>
  <si>
    <t>WEHELPMX</t>
  </si>
  <si>
    <t>Flex Centro Puerto Carga Compatible iPad 5 9.7 2017 A1822 23</t>
  </si>
  <si>
    <t>YORCHO_BROS</t>
  </si>
  <si>
    <t>LOPEZGASTELUMJORGEMARIO</t>
  </si>
  <si>
    <t>VEJE5207989</t>
  </si>
  <si>
    <t>ENRIQUEHDZCA</t>
  </si>
  <si>
    <t>CARIS920516</t>
  </si>
  <si>
    <t>PANIAGUAJORGE20230110124820</t>
  </si>
  <si>
    <t>PC4LOMB</t>
  </si>
  <si>
    <t>WCHAVELA72609</t>
  </si>
  <si>
    <t>NOGUEZJOSE20230513161905</t>
  </si>
  <si>
    <t>ROBERTOCARREON</t>
  </si>
  <si>
    <t>FLX01742</t>
  </si>
  <si>
    <t>SAAN5016975</t>
  </si>
  <si>
    <t>Lente Cristal Cámara Trasera Para Moto Z Droid / Play</t>
  </si>
  <si>
    <t>GARCÍAHAZAEL20221128103153</t>
  </si>
  <si>
    <t>COCO20240429203954</t>
  </si>
  <si>
    <t>SRT090909</t>
  </si>
  <si>
    <t>JUAREZSAMUEL20221010124720</t>
  </si>
  <si>
    <t>FLX00628</t>
  </si>
  <si>
    <t>IVANMORALES666</t>
  </si>
  <si>
    <t>Juego Kit 8 Pinzas Antiestática Para Reparación Plásticas</t>
  </si>
  <si>
    <t>FLX02388</t>
  </si>
  <si>
    <t>KHRISTIAN_07</t>
  </si>
  <si>
    <t>FLX02857</t>
  </si>
  <si>
    <t>ARIELLEALDAHIR2010</t>
  </si>
  <si>
    <t>Flex Cable Boton L R Der Izq Control Para Playstation 5 Ps5</t>
  </si>
  <si>
    <t>ANTONIOXR007</t>
  </si>
  <si>
    <t>RODRIGUEZPEREZELIGUSTAVO</t>
  </si>
  <si>
    <t>ESTEBANSOLAREZZAZUETA</t>
  </si>
  <si>
    <t>OLVL4784665</t>
  </si>
  <si>
    <t>FLX00587</t>
  </si>
  <si>
    <t>AZDA348827</t>
  </si>
  <si>
    <t>Flex Centro Puerto Carga Para Zte Blade A71 A7030</t>
  </si>
  <si>
    <t>FLX01192</t>
  </si>
  <si>
    <t>HEHE6900575</t>
  </si>
  <si>
    <t>MAJO8089087</t>
  </si>
  <si>
    <t>ALEJANDRITO1005947</t>
  </si>
  <si>
    <t>FLX02639</t>
  </si>
  <si>
    <t>RERI9240801</t>
  </si>
  <si>
    <t>Cople Adaptador Hdmi 4k 2.0 Hembra Conexión Recta Extension</t>
  </si>
  <si>
    <t>ETNIJAREDRINCONGARIBALDI</t>
  </si>
  <si>
    <t>FLX00291</t>
  </si>
  <si>
    <t>BLANKAERIKAGOMEZPACHECO</t>
  </si>
  <si>
    <t>Flex Centro Puerto Carga Micrófono Para Moto E7 Plus Xt2081</t>
  </si>
  <si>
    <t>FLX02737</t>
  </si>
  <si>
    <t>MAU_159357</t>
  </si>
  <si>
    <t>Flex Ptz Cámara Video Gimbal Drone Para Dji Mavic Mini 2</t>
  </si>
  <si>
    <t>FLX02455</t>
  </si>
  <si>
    <t>DISEÑOS APLICACIONES</t>
  </si>
  <si>
    <t>FLX01732</t>
  </si>
  <si>
    <t>GUILLERMOFILEMONSANTIAGOCISN</t>
  </si>
  <si>
    <t>NACHOTRONICU</t>
  </si>
  <si>
    <t>CONA6791849</t>
  </si>
  <si>
    <t>ALLFIXB</t>
  </si>
  <si>
    <t>CHIM96</t>
  </si>
  <si>
    <t>CARLOSKEVIN75</t>
  </si>
  <si>
    <t>RAAM620623EL8</t>
  </si>
  <si>
    <t>GALFORDDAV</t>
  </si>
  <si>
    <t>PEFE2784116</t>
  </si>
  <si>
    <t>Centro Puerto Entrada Carga Usb Control Playstation 4 Ps4</t>
  </si>
  <si>
    <t>MMJC20240306181539</t>
  </si>
  <si>
    <t>GUSMONT18</t>
  </si>
  <si>
    <t>FLX02517</t>
  </si>
  <si>
    <t>ARJU2823343</t>
  </si>
  <si>
    <t>Cristal Digitalizador Touch Galaxy Grand Prime G530 Gris</t>
  </si>
  <si>
    <t>BARRERAMEDRANODIEGOANTONIO</t>
  </si>
  <si>
    <t>MEFA905129</t>
  </si>
  <si>
    <t>MAYORISTADELNORTESA</t>
  </si>
  <si>
    <t>TUPXI</t>
  </si>
  <si>
    <t>DAVID_2001</t>
  </si>
  <si>
    <t>FLX02893</t>
  </si>
  <si>
    <t>BADI3753862</t>
  </si>
  <si>
    <t>5 Pzas Cople Adaptador Hdmi Hembra Conexión Recta Extension</t>
  </si>
  <si>
    <t>HEMA8691802</t>
  </si>
  <si>
    <t>CRLU2896911</t>
  </si>
  <si>
    <t>FLX02734</t>
  </si>
  <si>
    <t>Kit Bocina Altavoz Para Macbook Pro 13.3 A1502 2012 - 2015</t>
  </si>
  <si>
    <t>FLX01267</t>
  </si>
  <si>
    <t>VIFA20240131213855</t>
  </si>
  <si>
    <t>Puerto Pin Centro Carga Universal V8 5 Pines Micro Usb B</t>
  </si>
  <si>
    <t>SANCHEZRENE93</t>
  </si>
  <si>
    <t>FLX00928</t>
  </si>
  <si>
    <t>RAFAELGONZLEZ391</t>
  </si>
  <si>
    <t>Tapa Trasera Vidrio Cristal LG G6 H870 H871 H872 Ls993 Vs998</t>
  </si>
  <si>
    <t>FLX01121</t>
  </si>
  <si>
    <t>YAGOO_15</t>
  </si>
  <si>
    <t>Adaptador Convertidor Mini Display Port A Hdmi Vga Dvi 24+5</t>
  </si>
  <si>
    <t>FERCHOTOSCANO5</t>
  </si>
  <si>
    <t>CEJUDOFRANCISCO20230223134618</t>
  </si>
  <si>
    <t>FLX02308</t>
  </si>
  <si>
    <t>GILBERTOLARAFLORES</t>
  </si>
  <si>
    <t>Pulsera Antiestatica 1.8m Descargas Caiman Protección Pvc</t>
  </si>
  <si>
    <t>FLX01453</t>
  </si>
  <si>
    <t>AKNIJO_20</t>
  </si>
  <si>
    <t>Socket Conector 8p8c Rj45 Interfaz Red Tarjeta Lógica Fxp</t>
  </si>
  <si>
    <t>KHANZIN0</t>
  </si>
  <si>
    <t>AGUILERARENATA20231116005736</t>
  </si>
  <si>
    <t>NAJA1596873</t>
  </si>
  <si>
    <t>ALUIZORUIZARMANDO</t>
  </si>
  <si>
    <t>LJO1904824</t>
  </si>
  <si>
    <t>FLX01137</t>
  </si>
  <si>
    <t>WKATS</t>
  </si>
  <si>
    <t>Kit Juego Herramientas 21 Piezas Reparación Celular Tablet</t>
  </si>
  <si>
    <t>CARLAFARIASRO</t>
  </si>
  <si>
    <t>FLX02461</t>
  </si>
  <si>
    <t>ALIKEN</t>
  </si>
  <si>
    <t>IVANYAIRGALICI</t>
  </si>
  <si>
    <t>MISAELMONTERISLAS</t>
  </si>
  <si>
    <t>REYESJORGE20230116215132</t>
  </si>
  <si>
    <t>GABRIELANDRSCARDENAS</t>
  </si>
  <si>
    <t>RITAFAVELA</t>
  </si>
  <si>
    <t>FLX00358</t>
  </si>
  <si>
    <t>ZAMX__</t>
  </si>
  <si>
    <t>Bandeja Charola Porta Dual Sim Compatible Huawei Y7p 2020</t>
  </si>
  <si>
    <t>ELISAVIRGINIACISNEROSRANGEL</t>
  </si>
  <si>
    <t>MARRUFOKENIA</t>
  </si>
  <si>
    <t>EDGAR L_M</t>
  </si>
  <si>
    <t>GALLARDOMARCOS20221030191821</t>
  </si>
  <si>
    <t>FLX02614</t>
  </si>
  <si>
    <t>AXELVERDIGUEL</t>
  </si>
  <si>
    <t>Cable Cargador Para Reloj Galaxy Watch 1 2 3 4 5 Active Pro</t>
  </si>
  <si>
    <t>DALIAGARCIARIVERA</t>
  </si>
  <si>
    <t>FLX00701</t>
  </si>
  <si>
    <t>NIKAYEELSA</t>
  </si>
  <si>
    <t>Bandeja Porta Sim Charola Chip Para Xiaomi Mi 10</t>
  </si>
  <si>
    <t>RAMIREZALAN20221119132628</t>
  </si>
  <si>
    <t>FLX01000</t>
  </si>
  <si>
    <t>Flux Pasta De Soldadura Solida Flujo 150gr Led Smd Pga Smd</t>
  </si>
  <si>
    <t>FLX00059</t>
  </si>
  <si>
    <t>GONZALEZALDO20221020222707</t>
  </si>
  <si>
    <t>Centro Flex Carga Micrófono Samsung Galaxy S4 M919 I337</t>
  </si>
  <si>
    <t>MARTINCORONARAMREZ</t>
  </si>
  <si>
    <t>SABALZAHILARIO20220905174200</t>
  </si>
  <si>
    <t>CANCHEBERTA20211221174020</t>
  </si>
  <si>
    <t>BARRUETADAVID20221017184535</t>
  </si>
  <si>
    <t>DAVIDCASTILLOGMEZ</t>
  </si>
  <si>
    <t>FLX00824</t>
  </si>
  <si>
    <t>FLDI1116040</t>
  </si>
  <si>
    <t>Bandeja Porta Sim Charola Chip Para iPhone 7 4.7 A1660 A1778</t>
  </si>
  <si>
    <t>DANIEL JERRY</t>
  </si>
  <si>
    <t>Flex Cable Control Para Playstation 4 Ps4 10 / 12 / 14 Pin</t>
  </si>
  <si>
    <t>FLX00745</t>
  </si>
  <si>
    <t>JOSUEIRAMDELUNACHAVEZ</t>
  </si>
  <si>
    <t>Flex Botón Encendido Volumen Para Zte Blade A71 A7030</t>
  </si>
  <si>
    <t>FLX00537</t>
  </si>
  <si>
    <t>PERO6679728</t>
  </si>
  <si>
    <t>Flex Centro Puerto Carga Microfono Para Galaxy A30s A307</t>
  </si>
  <si>
    <t>MORENOREYESERICK</t>
  </si>
  <si>
    <t>VALERIOIVAN20230805144204</t>
  </si>
  <si>
    <t>ARAL7366238</t>
  </si>
  <si>
    <t>MARCHGARAL87</t>
  </si>
  <si>
    <t>CORRALESNANCY20230519224450</t>
  </si>
  <si>
    <t>FLX00497</t>
  </si>
  <si>
    <t>MURCIAR2013</t>
  </si>
  <si>
    <t>Cable Cargador Usb Tablet Para Sony Xperia S Sgpt121 122 132</t>
  </si>
  <si>
    <t>FLX01671</t>
  </si>
  <si>
    <t>ADREAHDZ</t>
  </si>
  <si>
    <t>ALVAREZRAYMUNDO20220903213730</t>
  </si>
  <si>
    <t>GALE20240226111809</t>
  </si>
  <si>
    <t>SAAL3084202</t>
  </si>
  <si>
    <t>MTSE7891039</t>
  </si>
  <si>
    <t>FLX02281</t>
  </si>
  <si>
    <t>HEYU9080143</t>
  </si>
  <si>
    <t>ELSABORINEROMX</t>
  </si>
  <si>
    <t>RAED986827</t>
  </si>
  <si>
    <t>Bandeja Porta Sim Charola Chip Dual Para  Xiaomi Redmi 10c</t>
  </si>
  <si>
    <t>JV20240810233605</t>
  </si>
  <si>
    <t>VEL8878434</t>
  </si>
  <si>
    <t>DJROBERT2DJROBERT2</t>
  </si>
  <si>
    <t>MILOMCFLY615</t>
  </si>
  <si>
    <t>SÁNCHEZALBERTO20221014155908</t>
  </si>
  <si>
    <t>GARRIDORUBÉN20230904202706</t>
  </si>
  <si>
    <t>IZTLIASAHEL</t>
  </si>
  <si>
    <t>FLX00786</t>
  </si>
  <si>
    <t>JOZIELRAMIREZPELAYO</t>
  </si>
  <si>
    <t>Lente Vidrio Cristal Cámara Para Oppo A15 A15s</t>
  </si>
  <si>
    <t>FLX00768</t>
  </si>
  <si>
    <t>ROCR5443997</t>
  </si>
  <si>
    <t>Puerto Entrada Conector Hdmi Compatible Playstation 4 Ps4</t>
  </si>
  <si>
    <t>FLX00008</t>
  </si>
  <si>
    <t>FELIX CASANOVAGUTIERREZ</t>
  </si>
  <si>
    <t>Flex Centro Puerto Carga Microfono Galaxy Note 9 N960fn</t>
  </si>
  <si>
    <t>FLX02798</t>
  </si>
  <si>
    <t>RH20240811174207</t>
  </si>
  <si>
    <t>Flex Botón Encendido Apagado Para Oppo Reno 5 Lite</t>
  </si>
  <si>
    <t>FLX00734</t>
  </si>
  <si>
    <t>OSIS20240402001122</t>
  </si>
  <si>
    <t>Bocina Auricular Para Galaxy A20 A30 A40 A50 A70 M20 M30 A7</t>
  </si>
  <si>
    <t>TAFOYACYNTHIA20230807141855</t>
  </si>
  <si>
    <t>DURANLILIANA20220815184144</t>
  </si>
  <si>
    <t>FLX00385</t>
  </si>
  <si>
    <t>MAJO20240208030839</t>
  </si>
  <si>
    <t>Flex Boton Encendido Apagado Volumen Para Moto G7 Power</t>
  </si>
  <si>
    <t>FLX00356</t>
  </si>
  <si>
    <t>BREISY_LOP</t>
  </si>
  <si>
    <t>Bandeja Porta Sim Charola Compatible Huawei P Smart 2019</t>
  </si>
  <si>
    <t>AGONZALEZ455</t>
  </si>
  <si>
    <t>GAED5929721</t>
  </si>
  <si>
    <t>Cable Divisor Splitter 2 Pantallas Monitor Hdmi 1.4 Fullhd</t>
  </si>
  <si>
    <t>LOPEZVERONICA20230126121419</t>
  </si>
  <si>
    <t>JUANRAULMEJIA</t>
  </si>
  <si>
    <t>TRME4719917</t>
  </si>
  <si>
    <t>LEY_K91</t>
  </si>
  <si>
    <t>ANTOITORODRGUEZ</t>
  </si>
  <si>
    <t>ZARAUTAGUILARJESUS</t>
  </si>
  <si>
    <t>MELCHOREDUARDOMUIZDELGADO</t>
  </si>
  <si>
    <t>JESUSOCTAVIOMORENOREYES</t>
  </si>
  <si>
    <t>FLX02027</t>
  </si>
  <si>
    <t>REDENTORESPINOZA</t>
  </si>
  <si>
    <t>Flex Centro Puerto Carga Usb Microfono Para Moto G7 Power</t>
  </si>
  <si>
    <t>TRISTANRH</t>
  </si>
  <si>
    <t>ALANCAMPOS02</t>
  </si>
  <si>
    <t>FLX02270</t>
  </si>
  <si>
    <t>MUAN5801328</t>
  </si>
  <si>
    <t>Cable Adaptador Disco Duro 2 Usb 2.0 Sata Hdd Ssd 2.5 Ne</t>
  </si>
  <si>
    <t>VICA4535191</t>
  </si>
  <si>
    <t>FLX00536</t>
  </si>
  <si>
    <t>DANI_AG124</t>
  </si>
  <si>
    <t>Bandeja Porta Sim Charola Chip Compatible Moto G50 Xt2137</t>
  </si>
  <si>
    <t>FLX02854</t>
  </si>
  <si>
    <t>NOENAVARROBOCHAS</t>
  </si>
  <si>
    <t>FLX02576</t>
  </si>
  <si>
    <t>SARAHIHERNANDEZRAMIREZ</t>
  </si>
  <si>
    <t>Bandeja Porta Sim Charola Dual Para Galaxy A04s A047</t>
  </si>
  <si>
    <t>BLACKDEAD87</t>
  </si>
  <si>
    <t>SANCHEZELIZZA20220815213624</t>
  </si>
  <si>
    <t>FLX02428</t>
  </si>
  <si>
    <t>EMYRADONAIPAEZ</t>
  </si>
  <si>
    <t>AA20240601211303</t>
  </si>
  <si>
    <t>Batería Pila Repuesto Para Nintendo 3ds Xl 3ds Ll</t>
  </si>
  <si>
    <t>FLX01733</t>
  </si>
  <si>
    <t>GARCANANCY86</t>
  </si>
  <si>
    <t>GOPA8214642</t>
  </si>
  <si>
    <t>RADE5984713</t>
  </si>
  <si>
    <t>ARTYSAN</t>
  </si>
  <si>
    <t>FLX02553</t>
  </si>
  <si>
    <t>SAJO1289889</t>
  </si>
  <si>
    <t>Bateria Pila Para Nintendo Wii U Wup-012</t>
  </si>
  <si>
    <t>FLX02744</t>
  </si>
  <si>
    <t>CAMA2664487</t>
  </si>
  <si>
    <t>Jig Rcm Loader Para Nintendo Switch Homebrew Mod Backup Sx</t>
  </si>
  <si>
    <t>ISRAELGAUNARUIZ</t>
  </si>
  <si>
    <t>FLX02709</t>
  </si>
  <si>
    <t>QUETZAL ARTESANOS</t>
  </si>
  <si>
    <t>Palanca Joystick Perilla Control Compatible Nintendo 64 N64</t>
  </si>
  <si>
    <t>PEDA20240203230325</t>
  </si>
  <si>
    <t>LOJO9847158</t>
  </si>
  <si>
    <t>GUGE9316366</t>
  </si>
  <si>
    <t>JOSELUIS ENRIQUEALOR</t>
  </si>
  <si>
    <t>HERNANDEZIRVING20221017154951</t>
  </si>
  <si>
    <t>VV20240605230839</t>
  </si>
  <si>
    <t>LYNLEON400</t>
  </si>
  <si>
    <t>RAULFILIOPONS</t>
  </si>
  <si>
    <t>SBAWNER</t>
  </si>
  <si>
    <t>OMARFARUQ15</t>
  </si>
  <si>
    <t>ROAR4772560</t>
  </si>
  <si>
    <t>SALVADOROBREGON</t>
  </si>
  <si>
    <t>SANDOVALHEBER20230118184014</t>
  </si>
  <si>
    <t>SANCHEZMARIA20230202213651</t>
  </si>
  <si>
    <t>FLX00527</t>
  </si>
  <si>
    <t>GAAD6915274</t>
  </si>
  <si>
    <t>Flex Centro Carga Puerto Micrófono Para Moto G8 Plus Xt2019</t>
  </si>
  <si>
    <t>JGUTIERREZ8010</t>
  </si>
  <si>
    <t>MONA20240204162430</t>
  </si>
  <si>
    <t>FLX02637</t>
  </si>
  <si>
    <t>MUAN2517602</t>
  </si>
  <si>
    <t>Lente Protector Vidrio Cámara Para Galaxy S9 / Plus G965 960</t>
  </si>
  <si>
    <t>ZAPATAMARIANA20221118205329</t>
  </si>
  <si>
    <t>LODA20240315234657</t>
  </si>
  <si>
    <t>VIMA20240131000814</t>
  </si>
  <si>
    <t>GAAL8710</t>
  </si>
  <si>
    <t>TSUMCASTILLO72</t>
  </si>
  <si>
    <t>RANDYLIN97</t>
  </si>
  <si>
    <t>GERAM707</t>
  </si>
  <si>
    <t>FLX00657</t>
  </si>
  <si>
    <t>CHARLSCIELOSABIERTOS</t>
  </si>
  <si>
    <t>Flex Centro Puerto Carga Micrófono Compatible Zte Blade V10</t>
  </si>
  <si>
    <t>CLARISAMARIBELCRUZNAVARRO</t>
  </si>
  <si>
    <t>LUYA5743745</t>
  </si>
  <si>
    <t>POWI447614</t>
  </si>
  <si>
    <t>AZUCENARAMIREZ1119</t>
  </si>
  <si>
    <t>CORALITOESPINOSA</t>
  </si>
  <si>
    <t>FLX01068</t>
  </si>
  <si>
    <t>JGONZALEZ3784</t>
  </si>
  <si>
    <t>Convertidor Toslink Audio Digital Análogo Xbox Playstation</t>
  </si>
  <si>
    <t>GARCIAPEPE20230422201214</t>
  </si>
  <si>
    <t>ZEFR4128876</t>
  </si>
  <si>
    <t>GARCIAEDGAR20221230145306</t>
  </si>
  <si>
    <t>EDYYRAVELL</t>
  </si>
  <si>
    <t>FLX00883</t>
  </si>
  <si>
    <t>JOSPABLOBECERRAACOSTA</t>
  </si>
  <si>
    <t>Flex Centro Puerto Carga Compatible Alcatel 3x 5058</t>
  </si>
  <si>
    <t>LOZANOMARTIN20230818025704</t>
  </si>
  <si>
    <t>Flex Puerto Centro Carga Micrófono Jack Galaxy A20 A205</t>
  </si>
  <si>
    <t>ADAL4179756</t>
  </si>
  <si>
    <t>HEOM1201005</t>
  </si>
  <si>
    <t>COAL6973695</t>
  </si>
  <si>
    <t>ISRAELORDAZCAMACHO</t>
  </si>
  <si>
    <t>LOPEZGUTI20231023135832</t>
  </si>
  <si>
    <t>BIGDEALGAMES</t>
  </si>
  <si>
    <t>GAFE2964110</t>
  </si>
  <si>
    <t>DESTINY1005</t>
  </si>
  <si>
    <t>HEFR9704214</t>
  </si>
  <si>
    <t>MEN_LUIS</t>
  </si>
  <si>
    <t>JULIAANGELESPELCASTREPEREZ</t>
  </si>
  <si>
    <t>MITO20231217185036</t>
  </si>
  <si>
    <t>CASTILLOJESUS20231017194514</t>
  </si>
  <si>
    <t>POLINAJUAN</t>
  </si>
  <si>
    <t>NUÑOMORONI20230812211559</t>
  </si>
  <si>
    <t>CRAZYIORIMX</t>
  </si>
  <si>
    <t>EDWARDARE19995</t>
  </si>
  <si>
    <t>EXTRAANGEL15</t>
  </si>
  <si>
    <t>MARIBEL120998</t>
  </si>
  <si>
    <t>LJA664178</t>
  </si>
  <si>
    <t>HEFA20240503190357</t>
  </si>
  <si>
    <t>ROSA8198520</t>
  </si>
  <si>
    <t>ANGUIANOMARTINEDUARDO</t>
  </si>
  <si>
    <t>STSJUAN</t>
  </si>
  <si>
    <t>MONTALVOIVAN20230423152932</t>
  </si>
  <si>
    <t>NAAG753334</t>
  </si>
  <si>
    <t>SIERRALAZARO20230624115535</t>
  </si>
  <si>
    <t>FLX02028</t>
  </si>
  <si>
    <t>Flex Centro Puerto Carga Microfono Para Moto G7 Power Xt1955</t>
  </si>
  <si>
    <t>JVDOGONZALEZ</t>
  </si>
  <si>
    <t>LLAMAME9935733715</t>
  </si>
  <si>
    <t>SACE20240124130918</t>
  </si>
  <si>
    <t>MODE5889776</t>
  </si>
  <si>
    <t>FLX00674</t>
  </si>
  <si>
    <t>JPVELAZQUEZ0916</t>
  </si>
  <si>
    <t>Bandeja Porta Sim Charola Dual Galaxy A02 A022</t>
  </si>
  <si>
    <t>ONE1999PS50</t>
  </si>
  <si>
    <t>CRUZ ORTIZ555</t>
  </si>
  <si>
    <t>FLX00494</t>
  </si>
  <si>
    <t>JOSOSWALDORODRGUEZJIMNEZ</t>
  </si>
  <si>
    <t>Flex Botón Encendido Volumen Flash Para iPhone 7 Plus A1784</t>
  </si>
  <si>
    <t>ANTONIO_1965</t>
  </si>
  <si>
    <t>SOAL4600168</t>
  </si>
  <si>
    <t>TANUKI21</t>
  </si>
  <si>
    <t>ISIDROIGNACIO</t>
  </si>
  <si>
    <t>GARO4219153</t>
  </si>
  <si>
    <t>MEDA4497756</t>
  </si>
  <si>
    <t>JOE ABNEY2</t>
  </si>
  <si>
    <t>HEBERMERAZ</t>
  </si>
  <si>
    <t>MUAL2215378</t>
  </si>
  <si>
    <t>HERNANDEZRICARDO20220827011257</t>
  </si>
  <si>
    <t>KARENMELISSARAMREZGMEZ</t>
  </si>
  <si>
    <t>AXEL CARREON</t>
  </si>
  <si>
    <t>DCASTRO5377</t>
  </si>
  <si>
    <t>GIBRANZICO</t>
  </si>
  <si>
    <t>FLX02652</t>
  </si>
  <si>
    <t>KINGSLUIS</t>
  </si>
  <si>
    <t>10 Puerto Centro Carga Universal Usb C 3.1 3a 16 Pin</t>
  </si>
  <si>
    <t>FLX02638</t>
  </si>
  <si>
    <t>DAVIDWILBURNFLORES</t>
  </si>
  <si>
    <t>Bandeja Porta Sim Charola Dual Compatible LG K42 K52 K62</t>
  </si>
  <si>
    <t>FLX02295</t>
  </si>
  <si>
    <t>ELI_VAZQUEZ86</t>
  </si>
  <si>
    <t>RODOLFO_CRESPO</t>
  </si>
  <si>
    <t>SANCHEZJESUS20221120221418</t>
  </si>
  <si>
    <t>FLX01710</t>
  </si>
  <si>
    <t>SOTOEMANUEL20231028122612</t>
  </si>
  <si>
    <t>9 Stencil Bga Reballing Compatible iPhone 6 6s 7 8 Plus X</t>
  </si>
  <si>
    <t>OLJO5409344</t>
  </si>
  <si>
    <t>QUIROZZOSIMO20220516133225</t>
  </si>
  <si>
    <t>JALEX1985</t>
  </si>
  <si>
    <t>EDUARDMEFISTO</t>
  </si>
  <si>
    <t>MICH-OSUNA</t>
  </si>
  <si>
    <t>RODOLFOCASTILLOCASTILLO</t>
  </si>
  <si>
    <t>COJU7518522</t>
  </si>
  <si>
    <t>MACA6304715</t>
  </si>
  <si>
    <t>REJU3455257</t>
  </si>
  <si>
    <t>ACUBICAARQUITECTOS</t>
  </si>
  <si>
    <t>RUIZROBERTO49</t>
  </si>
  <si>
    <t>Flex Antena Señal Wifi Compatible iPhone 8 Plus  A1864 A1897</t>
  </si>
  <si>
    <t>FLX00088</t>
  </si>
  <si>
    <t>AGAR1392080</t>
  </si>
  <si>
    <t>Flex Conector Puerto Carga Usb Galaxy Tab 3 P5200 P5210 10.1</t>
  </si>
  <si>
    <t>FLX00276</t>
  </si>
  <si>
    <t>GONZLEZPREZRICARDO</t>
  </si>
  <si>
    <t>Flex Centro Carga Micrófono Para Moto One Fusion Xt2073</t>
  </si>
  <si>
    <t>RAFE9437561</t>
  </si>
  <si>
    <t>FLX02460</t>
  </si>
  <si>
    <t>JORGEALEJANDROMARTINEZGARCI</t>
  </si>
  <si>
    <t>DAMARISREYESVILLANUEVA</t>
  </si>
  <si>
    <t>FLORESEDGAR20220531181641</t>
  </si>
  <si>
    <t>Flex Centro Puerto Carga Rapida Compatible Zte Blade V40</t>
  </si>
  <si>
    <t>XAVIERLOPEZSOSA</t>
  </si>
  <si>
    <t>PADRONJOSE80</t>
  </si>
  <si>
    <t>FLX01727</t>
  </si>
  <si>
    <t>ROLU302630</t>
  </si>
  <si>
    <t>Protector Lente Cristal Vidrio Cámara Compatible iPhone XR</t>
  </si>
  <si>
    <t>JULIOCESARJAIMECARCIA</t>
  </si>
  <si>
    <t>SAIDAKAORU17</t>
  </si>
  <si>
    <t>LEONARDOANTONIOSOLIS</t>
  </si>
  <si>
    <t>FLX00292</t>
  </si>
  <si>
    <t>DICAXL</t>
  </si>
  <si>
    <t>Flex Centro Puerto Carga Micrófono Para Moto E 2020 Xt2052</t>
  </si>
  <si>
    <t>TUPACAVILA</t>
  </si>
  <si>
    <t>ALEXCASASSALAZAR</t>
  </si>
  <si>
    <t>FLX01108</t>
  </si>
  <si>
    <t>ALDAPEPATO20221221233742</t>
  </si>
  <si>
    <t>Cable Extensión Para Control Kit Carga Y Juega Xbox 360</t>
  </si>
  <si>
    <t>FRANCISCOJAVIERREYNAHERNNDE</t>
  </si>
  <si>
    <t>EDYGAM23</t>
  </si>
  <si>
    <t>RENESMERIOS84</t>
  </si>
  <si>
    <t>LUISCARLOSHEREDIAVERDUGO</t>
  </si>
  <si>
    <t>ALDOPREZLPEZ</t>
  </si>
  <si>
    <t>JUANANTONIOMEDINASOLORIO</t>
  </si>
  <si>
    <t>FLX00146</t>
  </si>
  <si>
    <t>MOFR5142928</t>
  </si>
  <si>
    <t>Flex Centro Carga Micrófono Compatible Huawei P30 Lite</t>
  </si>
  <si>
    <t>POAD4802755</t>
  </si>
  <si>
    <t>KUBIXIO</t>
  </si>
  <si>
    <t>HACK_LUPILLO</t>
  </si>
  <si>
    <t>OSCARCHAIREZ38</t>
  </si>
  <si>
    <t>FLX00598</t>
  </si>
  <si>
    <t>JIMENEZGABRIELA20230122003451</t>
  </si>
  <si>
    <t>Flex Centro Puerto Carga Adhesivo Micrófono Galaxy S8 G950f</t>
  </si>
  <si>
    <t>VENANCIO CANCHE</t>
  </si>
  <si>
    <t>MAUCIGA</t>
  </si>
  <si>
    <t>CEDILLOADRIAN20230418210749</t>
  </si>
  <si>
    <t>ORCH2745183</t>
  </si>
  <si>
    <t>HBSEBASTIAN</t>
  </si>
  <si>
    <t>ISAACPRO200110</t>
  </si>
  <si>
    <t>Boton Encendido Volumen Compatible Xiaomi Redmi Note 7 Pro</t>
  </si>
  <si>
    <t>Bandeja Porta Sim Chip Dual Para Xiaomi Redmi Note 8</t>
  </si>
  <si>
    <t>Tapa Trasera Para Xiaomi Redmi Note 8</t>
  </si>
  <si>
    <t>ARIZASANTIAGO20230710214315</t>
  </si>
  <si>
    <t>FLX00784</t>
  </si>
  <si>
    <t>PDROHOLMAN</t>
  </si>
  <si>
    <t>Lente Vidrio Cristal Cámara Trase Para Xiaomi Redmi Note 10</t>
  </si>
  <si>
    <t>YB20240702175445</t>
  </si>
  <si>
    <t>GAYTANERIK20221127185904</t>
  </si>
  <si>
    <t>JUANDANIELGALLEGOSGONZLEZ</t>
  </si>
  <si>
    <t>MAVADU1402</t>
  </si>
  <si>
    <t>BECERRACRISTIAN20231128015104</t>
  </si>
  <si>
    <t>REYESVICTOR20221206163650</t>
  </si>
  <si>
    <t>FLX00756</t>
  </si>
  <si>
    <t>MARIAJOSE20230102131111</t>
  </si>
  <si>
    <t>Vidrio Lente Cristal Camara Trasera Para iPhone X</t>
  </si>
  <si>
    <t>XHAMSY</t>
  </si>
  <si>
    <t>SG20240809233656</t>
  </si>
  <si>
    <t>VE20240810020018</t>
  </si>
  <si>
    <t>CHEFORIS</t>
  </si>
  <si>
    <t>ZAAR20240210015805</t>
  </si>
  <si>
    <t>FLX00232</t>
  </si>
  <si>
    <t>CARRERAMAYRALIZETH</t>
  </si>
  <si>
    <t>Flex Principal Main Compatible Xiaomi Redmi Note 8 Pro</t>
  </si>
  <si>
    <t>SERGIOHAWK</t>
  </si>
  <si>
    <t>Flex Lector Juego Cartucho Tarjeta Para Nintendo Switch</t>
  </si>
  <si>
    <t>JIMENEZPRISCILIANO202206050255</t>
  </si>
  <si>
    <t>MEDINAIAN20230624110538</t>
  </si>
  <si>
    <t>R..EVOLUTION</t>
  </si>
  <si>
    <t>FLX01179</t>
  </si>
  <si>
    <t>SA20240624002625</t>
  </si>
  <si>
    <t>Cable Usb Psp Vita Fat 1m Datos Carga Psv1000 28 Pins</t>
  </si>
  <si>
    <t>HURA8804861</t>
  </si>
  <si>
    <t>CAAL1718166</t>
  </si>
  <si>
    <t>ZJ20240527181017</t>
  </si>
  <si>
    <t>MAURAALVA</t>
  </si>
  <si>
    <t>JOSEDOMINGOREYESSANDOVAL</t>
  </si>
  <si>
    <t>FLX02703</t>
  </si>
  <si>
    <t>UIRJ748B</t>
  </si>
  <si>
    <t>Adaptador Convertidor Hdmi Compatible Nintendo Wii Wii2hdmi</t>
  </si>
  <si>
    <t>FH20240621194951</t>
  </si>
  <si>
    <t>MULTIMEDIACUENCA</t>
  </si>
  <si>
    <t>ANDREAREGINAARCEVILLAVICENC</t>
  </si>
  <si>
    <t>CUELLARLULU20230830003427</t>
  </si>
  <si>
    <t>GALINDOKARELY20231105213604</t>
  </si>
  <si>
    <t>JJ20240807213446</t>
  </si>
  <si>
    <t>CAMPOSGONZLEZANAKAREN</t>
  </si>
  <si>
    <t>Flex Puerto Centro Carga Usb Micrófono Para Huawei Y7p 2020</t>
  </si>
  <si>
    <t>FLX00019</t>
  </si>
  <si>
    <t>MAAL4721425</t>
  </si>
  <si>
    <t>Flex Centro Carga Usb Microfono Jack Galaxy A20s A207 M12 Cr</t>
  </si>
  <si>
    <t>FLX00642</t>
  </si>
  <si>
    <t>VENEGASMARIA20220707133953</t>
  </si>
  <si>
    <t>FLX02627</t>
  </si>
  <si>
    <t>JANDITOPNC</t>
  </si>
  <si>
    <t>Ventilador Cooler Enfriador Compatible Con Nintendo Switch</t>
  </si>
  <si>
    <t>DEGE8300341</t>
  </si>
  <si>
    <t>RAMPV</t>
  </si>
  <si>
    <t>KUBO MATRIZ</t>
  </si>
  <si>
    <t>ALEPUNZO</t>
  </si>
  <si>
    <t>FLX02739</t>
  </si>
  <si>
    <t>CARO3786664</t>
  </si>
  <si>
    <t>HDUL3502004</t>
  </si>
  <si>
    <t>FLX00806</t>
  </si>
  <si>
    <t>SAULMARCEL</t>
  </si>
  <si>
    <t>Flex Botón Encendido Para Xiaomi Redmi Note 9s / 9 Pro</t>
  </si>
  <si>
    <t>JONATANJOEL528</t>
  </si>
  <si>
    <t>FLX02660</t>
  </si>
  <si>
    <t>OCTA_140994</t>
  </si>
  <si>
    <t>Flex Botón Encendido Volumen Para Moto G50 5g Xt2149</t>
  </si>
  <si>
    <t>AE20240704220010</t>
  </si>
  <si>
    <t>Centro Puerto Carga Universal Usb C 16 Pin Tablet China</t>
  </si>
  <si>
    <t>FLX01751</t>
  </si>
  <si>
    <t>Pin Puerto Centro Carga Galaxy A20 A30 A40 A50 A60 A70</t>
  </si>
  <si>
    <t>FLX00217</t>
  </si>
  <si>
    <t>Flex Encendido Volumen Micrófono Flash Para iPhone 8 Plus Fx</t>
  </si>
  <si>
    <t>10 Microfono Adaptable Interno Universal Celular Tablet</t>
  </si>
  <si>
    <t>RMALDONADO68097</t>
  </si>
  <si>
    <t>HELU5397685</t>
  </si>
  <si>
    <t>ANGELDANIELBA.</t>
  </si>
  <si>
    <t>ORTIZFREDDY20220218050842</t>
  </si>
  <si>
    <t>LUIS181009</t>
  </si>
  <si>
    <t>GUBE1759450</t>
  </si>
  <si>
    <t>FLX00793</t>
  </si>
  <si>
    <t>ARLE5319769</t>
  </si>
  <si>
    <t>Flex Puerto Centro Carga Boton Volumen Lenovo Yoga 3</t>
  </si>
  <si>
    <t>FLX02542</t>
  </si>
  <si>
    <t>RODRÍGUEZEULALIO20230308201656</t>
  </si>
  <si>
    <t>Flex Centro Puerto Carga Rapida Compatible Galaxy A52 A525f</t>
  </si>
  <si>
    <t>SCHLOSSCASEY20230604162628</t>
  </si>
  <si>
    <t>PADRONMANUEL20231106203610</t>
  </si>
  <si>
    <t>FLX00196</t>
  </si>
  <si>
    <t>MANUELGONZALEZRODRIGUEZ1</t>
  </si>
  <si>
    <t>Flex Centro Puerto Carga Micrófono Para iPhone X 10 Ten</t>
  </si>
  <si>
    <t>GAMBOALUIS897</t>
  </si>
  <si>
    <t>CASALESLUCERO20220304160741</t>
  </si>
  <si>
    <t>MARIOAL711</t>
  </si>
  <si>
    <t>FLX00611</t>
  </si>
  <si>
    <t>NAYELIULANDRO</t>
  </si>
  <si>
    <t>Bandeja Porta Sim Charola Dual Galaxy A11 A115</t>
  </si>
  <si>
    <t>MAAU20240313201933</t>
  </si>
  <si>
    <t>ARTUROM89</t>
  </si>
  <si>
    <t>JEREMYGOSA1988</t>
  </si>
  <si>
    <t>FLX02302</t>
  </si>
  <si>
    <t>ESJA5447444</t>
  </si>
  <si>
    <t>Adaptador Cable De Fuente Para Xbox 360 E One Slim</t>
  </si>
  <si>
    <t>PELERDI</t>
  </si>
  <si>
    <t>SARA5238466</t>
  </si>
  <si>
    <t>Cable Adaptador Thunderbolt Mini Display Port Vga Para Macbo</t>
  </si>
  <si>
    <t>LOAR6105009</t>
  </si>
  <si>
    <t>DOMINGUEZGUILLERMO202308231455</t>
  </si>
  <si>
    <t>ROBR20240519230338</t>
  </si>
  <si>
    <t>ZUIV7653479</t>
  </si>
  <si>
    <t>OMOS8434500</t>
  </si>
  <si>
    <t>VAJO7156899</t>
  </si>
  <si>
    <t>SONYREBEL</t>
  </si>
  <si>
    <t>ORCL7650332</t>
  </si>
  <si>
    <t>FLX02201</t>
  </si>
  <si>
    <t>JOSEIPECO</t>
  </si>
  <si>
    <t>Flex Centro Puerto Carga Alcatel 5080 Shine 5080a Micrófono</t>
  </si>
  <si>
    <t>MIGUELAMV2005</t>
  </si>
  <si>
    <t>BABR9369139</t>
  </si>
  <si>
    <t>MEJA9234492</t>
  </si>
  <si>
    <t>DAHNNIEL_</t>
  </si>
  <si>
    <t>VICTORMANUELLOPEZALARCN</t>
  </si>
  <si>
    <t>MRAMIREZMUNOZ29461</t>
  </si>
  <si>
    <t>FLX00749</t>
  </si>
  <si>
    <t>RUDA9787724</t>
  </si>
  <si>
    <t>Flex Centro Carga Jack Audio Galaxy S6 G920 Flat V F P I Kit</t>
  </si>
  <si>
    <t>FLX01016</t>
  </si>
  <si>
    <t>JUANJT96</t>
  </si>
  <si>
    <t>Adaptador Audio Rca Splitter Macho Jack 3.5mm Estereo Plug E</t>
  </si>
  <si>
    <t>FLX01203</t>
  </si>
  <si>
    <t>GOFO810726</t>
  </si>
  <si>
    <t>UPTOTWOARMATURE</t>
  </si>
  <si>
    <t>STRANGEBYTE INTERNET</t>
  </si>
  <si>
    <t>FLX00585</t>
  </si>
  <si>
    <t>JONIIEWALKER</t>
  </si>
  <si>
    <t>Flex Centro Puerto Carga Para Zte Blade A3 2020</t>
  </si>
  <si>
    <t>JAUREGUIBAYRON20211219235925</t>
  </si>
  <si>
    <t>Adaptador Cable Usb Hembra Para Xbox Classic Clasico</t>
  </si>
  <si>
    <t>CARLISCR44</t>
  </si>
  <si>
    <t>INGRCUADRADO87</t>
  </si>
  <si>
    <t>ANDRADEMRQUEZBETHSAIDA</t>
  </si>
  <si>
    <t>JOSEGARCIA673</t>
  </si>
  <si>
    <t>ALEJANDRALOPEZLAVIN</t>
  </si>
  <si>
    <t>FERNANDOANTONIOPONCE</t>
  </si>
  <si>
    <t>GTCOMPUTERSSQ</t>
  </si>
  <si>
    <t>DEUR1272752</t>
  </si>
  <si>
    <t>RUIZALTAMIRANOLUISARMANDO</t>
  </si>
  <si>
    <t>DAKSO098</t>
  </si>
  <si>
    <t>LVI2003125</t>
  </si>
  <si>
    <t>FLX00801</t>
  </si>
  <si>
    <t>JUMAMAHE86</t>
  </si>
  <si>
    <t>Bocina Auricular Superior Llamada Para iPhone 8 A1905 A1863</t>
  </si>
  <si>
    <t>FLX01062</t>
  </si>
  <si>
    <t>GOSA5202431</t>
  </si>
  <si>
    <t>FLX00728</t>
  </si>
  <si>
    <t>THEBEST1089</t>
  </si>
  <si>
    <t>Flex Principal Video Main Lógica Carga Para Huawei Nova 3 Fx</t>
  </si>
  <si>
    <t>GAMAALTA ACCESORIOS</t>
  </si>
  <si>
    <t>RVR1987</t>
  </si>
  <si>
    <t>FLX01251</t>
  </si>
  <si>
    <t>INDA SAMI</t>
  </si>
  <si>
    <t>Batería Pila Oem 6800m Galaxy Tab 3 10.1 P5200 Herramientas</t>
  </si>
  <si>
    <t>ERIKJOSUEISLASALVAREZ</t>
  </si>
  <si>
    <t>MEMA4404970</t>
  </si>
  <si>
    <t>CARLOSEDMUNDOAGUILARPREZ</t>
  </si>
  <si>
    <t>HEEL7974750</t>
  </si>
  <si>
    <t>HERNANDEZFERNANDO2022111722361</t>
  </si>
  <si>
    <t>FLX00552</t>
  </si>
  <si>
    <t>YURACZALOPEZM</t>
  </si>
  <si>
    <t>QUINTEROSANTIAGO20221216011859</t>
  </si>
  <si>
    <t>VICTORMANUELCARONAVA</t>
  </si>
  <si>
    <t>DIAN20240320191145</t>
  </si>
  <si>
    <t>VEIL6478940</t>
  </si>
  <si>
    <t>LUPEMAGADAN</t>
  </si>
  <si>
    <t>BRAUVELÀ</t>
  </si>
  <si>
    <t>VARGASRAUL20230924004116</t>
  </si>
  <si>
    <t>RIICAA01921619</t>
  </si>
  <si>
    <t>GSTECHNOLOGYSLP</t>
  </si>
  <si>
    <t>GARCIACESAR20231001222956</t>
  </si>
  <si>
    <t>LEFA8805108</t>
  </si>
  <si>
    <t>JDAVIDMOR</t>
  </si>
  <si>
    <t>FLX00294</t>
  </si>
  <si>
    <t>EXPLOBUSCO</t>
  </si>
  <si>
    <t>Flex Botón Encendido Volumen Xperia Xz Premium G8141 G8142</t>
  </si>
  <si>
    <t>LJE8203187</t>
  </si>
  <si>
    <t>PADILLAJOSE20221228155753</t>
  </si>
  <si>
    <t>FLX01537</t>
  </si>
  <si>
    <t>MARELY DIAZ</t>
  </si>
  <si>
    <t>5 Pzas Soporte Anillo Sujetador Soporte Holder Clip Celular</t>
  </si>
  <si>
    <t>MONTEONDEREK20221127195133</t>
  </si>
  <si>
    <t>LUIS_ANIBALPALAFOX</t>
  </si>
  <si>
    <t>MENDEISABEL</t>
  </si>
  <si>
    <t>ZENILIRVIN20230331133705</t>
  </si>
  <si>
    <t>ALEJANDROPAULINA20230530000246</t>
  </si>
  <si>
    <t>FERSANZ_150</t>
  </si>
  <si>
    <t>GALE1701668</t>
  </si>
  <si>
    <t>RODA9538525</t>
  </si>
  <si>
    <t>GG20240609042324</t>
  </si>
  <si>
    <t>FLX02829</t>
  </si>
  <si>
    <t>PEJA1908762</t>
  </si>
  <si>
    <t>Flex Centro Puerto Carga Rapida Para Galaxy A05s A057</t>
  </si>
  <si>
    <t>BAAN8220957</t>
  </si>
  <si>
    <t>FLX00633</t>
  </si>
  <si>
    <t>ROMEROGARCIAMARCOSEDUARDO</t>
  </si>
  <si>
    <t>Flex Botón Encendido Volumen Para Xiaomi Poco X3</t>
  </si>
  <si>
    <t>LOMA20240110140739</t>
  </si>
  <si>
    <t>PEFE20240514144120</t>
  </si>
  <si>
    <t>MIOB20240118235021</t>
  </si>
  <si>
    <t>GM20240705183307</t>
  </si>
  <si>
    <t>IVANFUENTES494</t>
  </si>
  <si>
    <t>SEGUNDASCHIHUAHUAS</t>
  </si>
  <si>
    <t>FANIAGUADALUPEUSCANGAORTEGA</t>
  </si>
  <si>
    <t>BAPA4006593</t>
  </si>
  <si>
    <t>JOSEMP.00</t>
  </si>
  <si>
    <t>RODII_</t>
  </si>
  <si>
    <t>FLX01162</t>
  </si>
  <si>
    <t>RUGU4125313</t>
  </si>
  <si>
    <t>Espátula Herramienta Plástica Desmontar Touch Cristal iPad</t>
  </si>
  <si>
    <t>YAGO98</t>
  </si>
  <si>
    <t>KB17231504RR</t>
  </si>
  <si>
    <t>DELOBO20230414125720</t>
  </si>
  <si>
    <t>GARCIAVERONICA20220603162051</t>
  </si>
  <si>
    <t>JUANCHARLY2010</t>
  </si>
  <si>
    <t>FLX02577</t>
  </si>
  <si>
    <t>LOIR3100481</t>
  </si>
  <si>
    <t>Bandeja Porta Sim Charola Dual Para Galaxy A04 A045</t>
  </si>
  <si>
    <t>UNITROOPER</t>
  </si>
  <si>
    <t>GC20240606171633</t>
  </si>
  <si>
    <t>FAUSTINODEANDA</t>
  </si>
  <si>
    <t>ORLANDOBUENDA</t>
  </si>
  <si>
    <t>MIFR8312095</t>
  </si>
  <si>
    <t>ROJE20240329001357</t>
  </si>
  <si>
    <t>FLX00027</t>
  </si>
  <si>
    <t>MARIOURIBETERRIQUEZ</t>
  </si>
  <si>
    <t>Flex Centro Carga Microfono Jack Galaxy A71 Sm-a715 A715</t>
  </si>
  <si>
    <t>LOPEZEMILIANO45</t>
  </si>
  <si>
    <t>FLX02772</t>
  </si>
  <si>
    <t>AMAZOONAS-MASCOTAS</t>
  </si>
  <si>
    <t>Bateria Pila Para Psp Vita Slim Playstation 2000 Sp86r</t>
  </si>
  <si>
    <t>JOSMIGUELCUEVASZARATE</t>
  </si>
  <si>
    <t>FLX02485</t>
  </si>
  <si>
    <t>LOPEZLUIS20230714025749</t>
  </si>
  <si>
    <t>REYESALEJANDRO20221007021626</t>
  </si>
  <si>
    <t>DESERGIO20230629114314</t>
  </si>
  <si>
    <t>AIKOGRCIA</t>
  </si>
  <si>
    <t>FLX00475</t>
  </si>
  <si>
    <t>TOFR5815158</t>
  </si>
  <si>
    <t>Kit Juego De Tornillos Tapa Inferior Para Macbook Retina</t>
  </si>
  <si>
    <t>HECTORRAULHIDALGOGONZALEZ</t>
  </si>
  <si>
    <t>EF20240710122627</t>
  </si>
  <si>
    <t>RAMIREZWILBER20230221142819</t>
  </si>
  <si>
    <t>LODA20240413190638</t>
  </si>
  <si>
    <t>OCHOALUISALBERTO19</t>
  </si>
  <si>
    <t>PEMA20240430212621</t>
  </si>
  <si>
    <t>HHMN_PATAS10</t>
  </si>
  <si>
    <t>PLI7542069</t>
  </si>
  <si>
    <t>GODA6161126</t>
  </si>
  <si>
    <t>KARLALARACISNEROS</t>
  </si>
  <si>
    <t>FLX00719</t>
  </si>
  <si>
    <t>CES_JERONIMO2010</t>
  </si>
  <si>
    <t>GALU5059102</t>
  </si>
  <si>
    <t>TXUSVIC25</t>
  </si>
  <si>
    <t>FLX00815</t>
  </si>
  <si>
    <t>GUJO9090042</t>
  </si>
  <si>
    <t>Flex Centro Puerto Carga Rapida Para Galaxy Note 10 Lite</t>
  </si>
  <si>
    <t>MV20240701233321</t>
  </si>
  <si>
    <t>ROMI1946613</t>
  </si>
  <si>
    <t>JOSAMPEREZ</t>
  </si>
  <si>
    <t>DAVIDJONATHANMORENODURON</t>
  </si>
  <si>
    <t>CHARLY_MPT11</t>
  </si>
  <si>
    <t>CAUDILLOJESÚS20220607135540</t>
  </si>
  <si>
    <t>MISAGON</t>
  </si>
  <si>
    <t>FLX00377</t>
  </si>
  <si>
    <t>VNKSICA</t>
  </si>
  <si>
    <t>Flex Botones Encendido Volumen Para Moto E4 Plus Xt1772</t>
  </si>
  <si>
    <t>MONTIELLUNADANIEL</t>
  </si>
  <si>
    <t>FLX00460</t>
  </si>
  <si>
    <t>CESARANTONIOPECHRODRIGUEZ</t>
  </si>
  <si>
    <t>Puerto Pin Centro Carga Usb C Galaxy S8 &amp; Plus S9 &amp; Plus Eg</t>
  </si>
  <si>
    <t>SERGIO8694</t>
  </si>
  <si>
    <t>FLX01367</t>
  </si>
  <si>
    <t>PLANET_X</t>
  </si>
  <si>
    <t>Probador Tristar Tester Flex Centro Carga Para iPhone, V8, C</t>
  </si>
  <si>
    <t>YUSUFABDALLAH</t>
  </si>
  <si>
    <t>RDAL719409</t>
  </si>
  <si>
    <t>Socket Conector 8p8c Rj45 Interfaz Red Tarjeta Lógica</t>
  </si>
  <si>
    <t>ROAL1951966</t>
  </si>
  <si>
    <t>CRMA3902879</t>
  </si>
  <si>
    <t>MUSA20240128155531</t>
  </si>
  <si>
    <t>FLX02307</t>
  </si>
  <si>
    <t>MELISSA.TC</t>
  </si>
  <si>
    <t>Cable Hdmi 3d 4k 10 Metros Ultra Hd 18.3gbps Oro V2.0 Envío</t>
  </si>
  <si>
    <t>BELTRANCECILIA20230928234348</t>
  </si>
  <si>
    <t>ALEJANDRO_ONTIVEROS</t>
  </si>
  <si>
    <t>MABL1174301</t>
  </si>
  <si>
    <t>CISNEROSRODRIGUEZBRAYAN</t>
  </si>
  <si>
    <t>OSCARDEX1</t>
  </si>
  <si>
    <t>ALANSERRANOC</t>
  </si>
  <si>
    <t>JLS334</t>
  </si>
  <si>
    <t>Bandeja Charola Porta Dual Sim Compatible Galaxy A12 A125</t>
  </si>
  <si>
    <t>FLX00133</t>
  </si>
  <si>
    <t>ALGU1367581</t>
  </si>
  <si>
    <t>Flex Botón Volumen Encendido Huawei Nova 3 Par-lx9</t>
  </si>
  <si>
    <t>ROUL20240402001014</t>
  </si>
  <si>
    <t>REAA860710</t>
  </si>
  <si>
    <t>PABLOGARCIACORREA</t>
  </si>
  <si>
    <t>MUAD4440752</t>
  </si>
  <si>
    <t>AGUIRREBETO20220531220805</t>
  </si>
  <si>
    <t>FLX00699</t>
  </si>
  <si>
    <t>VAGE20240330123433</t>
  </si>
  <si>
    <t>Bandeja Porta Sim Charola Para Xiaomi Mi 11 Lite</t>
  </si>
  <si>
    <t>FLX00286</t>
  </si>
  <si>
    <t>RONA3066737</t>
  </si>
  <si>
    <t>Flex Centro Puerto Carga Para Moto G Stylus 2021 Xt2115</t>
  </si>
  <si>
    <t>CDESPARZA33</t>
  </si>
  <si>
    <t>JUANLUIS1302</t>
  </si>
  <si>
    <t>BRAUROJA11</t>
  </si>
  <si>
    <t>CLOPEZ1776</t>
  </si>
  <si>
    <t>SAIS371525</t>
  </si>
  <si>
    <t>BRYANROJASDURAN</t>
  </si>
  <si>
    <t>OSWINGERARDOLUNA</t>
  </si>
  <si>
    <t>GUTIERREZAQUINOHECTOR</t>
  </si>
  <si>
    <t>FLX01037</t>
  </si>
  <si>
    <t>VROLICK</t>
  </si>
  <si>
    <t>Cable Splitter Divisor Distribuidor Señal Video Vga 20cm</t>
  </si>
  <si>
    <t>CHIMALLENNYN20220916192353</t>
  </si>
  <si>
    <t>FLX02843</t>
  </si>
  <si>
    <t>VIPER_GT2003</t>
  </si>
  <si>
    <t>DAVIIDMONDRAGNUTRERA</t>
  </si>
  <si>
    <t>MOUR7591146</t>
  </si>
  <si>
    <t>IVILLARREALROQUE</t>
  </si>
  <si>
    <t>FLX00006</t>
  </si>
  <si>
    <t>KARLAMEDINACARRASCO</t>
  </si>
  <si>
    <t>Flex Centro Puerto Carga Compatible Galaxy A31 A315 Microfon</t>
  </si>
  <si>
    <t>OJEDAMANUEL20230722180509</t>
  </si>
  <si>
    <t>COMPUEXPRESS_GML2008</t>
  </si>
  <si>
    <t>FELIX BENITO</t>
  </si>
  <si>
    <t>PEHE9072160</t>
  </si>
  <si>
    <t>JAIRSET</t>
  </si>
  <si>
    <t>GERMANNIEBLAS</t>
  </si>
  <si>
    <t>FLECKTON</t>
  </si>
  <si>
    <t>GTJOVANY</t>
  </si>
  <si>
    <t>LALO1798</t>
  </si>
  <si>
    <t>VILU8895833</t>
  </si>
  <si>
    <t>GOED7448634</t>
  </si>
  <si>
    <t>GODINEZMONSERRAT20220323234230</t>
  </si>
  <si>
    <t>SAULALONSOGALLEGOS98</t>
  </si>
  <si>
    <t>CPSUK</t>
  </si>
  <si>
    <t>MARTINEZBENITO20230508041414</t>
  </si>
  <si>
    <t>MARTHAELENAGMEZMALDONADO</t>
  </si>
  <si>
    <t>MAFRAOMAR</t>
  </si>
  <si>
    <t>ROOM9323028</t>
  </si>
  <si>
    <t>AGJI8620749</t>
  </si>
  <si>
    <t>Flex Centro Puerto Carga Rapida Compatible Galaxy A03 A037</t>
  </si>
  <si>
    <t>GALVEZFATIMA20230528184906</t>
  </si>
  <si>
    <t>FLX01437</t>
  </si>
  <si>
    <t>HEAL7346018</t>
  </si>
  <si>
    <t>Mica Protector Lente Camara Trasera Para Xiaomi Poco X3 Nfc</t>
  </si>
  <si>
    <t>FLX00288</t>
  </si>
  <si>
    <t>CIOM5882675</t>
  </si>
  <si>
    <t>Flex Centro Carga Micrófono Para Moto G Play 2021 Xt2093</t>
  </si>
  <si>
    <t>FLX01250</t>
  </si>
  <si>
    <t>VILLALVAAARN</t>
  </si>
  <si>
    <t>Batería Pila 1043mah iPod Touch 6 6g A1641 A1574 00428 X</t>
  </si>
  <si>
    <t>FLORESJOAQUÍN20220710140309</t>
  </si>
  <si>
    <t>FLX02661</t>
  </si>
  <si>
    <t>CATADARK</t>
  </si>
  <si>
    <t>Flex Botón Encendido Volumen Para Xiaomi Redmi 9a 9c</t>
  </si>
  <si>
    <t>ANAB3443298</t>
  </si>
  <si>
    <t>JRASM07</t>
  </si>
  <si>
    <t>LADRILLEROALFREDO</t>
  </si>
  <si>
    <t>LDGERALD26</t>
  </si>
  <si>
    <t>FLX02264</t>
  </si>
  <si>
    <t>SANDRAABIGAILTREJOORTEGA</t>
  </si>
  <si>
    <t>Bandeja Porta Sim Chip Charola Dual Para Galaxy A21s A217</t>
  </si>
  <si>
    <t>ALAN AQUINO96</t>
  </si>
  <si>
    <t>SOTOVICTORIA20231004124943</t>
  </si>
  <si>
    <t>FLX02366</t>
  </si>
  <si>
    <t>HERO5956645</t>
  </si>
  <si>
    <t>FLX01388</t>
  </si>
  <si>
    <t>Flex Puerto Centro Carga Micrófono Sim Galaxy A80 A805f</t>
  </si>
  <si>
    <t>CARLOSFLORESMTZ</t>
  </si>
  <si>
    <t>PAJO4552350</t>
  </si>
  <si>
    <t>ANKE1626633</t>
  </si>
  <si>
    <t>FLX02742</t>
  </si>
  <si>
    <t>CV20240619145427</t>
  </si>
  <si>
    <t>RACE6089969</t>
  </si>
  <si>
    <t>TAPIACESAR20230208203748</t>
  </si>
  <si>
    <t>K9999KRAKEN</t>
  </si>
  <si>
    <t>FLX02810</t>
  </si>
  <si>
    <t>CHRISGABY952009</t>
  </si>
  <si>
    <t>Flex Centro Puerto Carga Rapida Para Galaxy Tab A8 X200</t>
  </si>
  <si>
    <t>FLX02296</t>
  </si>
  <si>
    <t>VICANTONIOLORENZO</t>
  </si>
  <si>
    <t>SAJA4830332</t>
  </si>
  <si>
    <t>FLX02768</t>
  </si>
  <si>
    <t>ALONDRA SH</t>
  </si>
  <si>
    <t>Flex Centro Puerto Carga Rapida Para Galaxy A14 A146 5g</t>
  </si>
  <si>
    <t>JONATHAN PULGARIN</t>
  </si>
  <si>
    <t>YUAN21</t>
  </si>
  <si>
    <t>AP20240629022912</t>
  </si>
  <si>
    <t>Par Tornillos Centro Carga Pentalobe 0.8 Para iPhone 6s Plus</t>
  </si>
  <si>
    <t>AROCH78</t>
  </si>
  <si>
    <t>FLX01445</t>
  </si>
  <si>
    <t>ANGELANTONIOARTEAGA</t>
  </si>
  <si>
    <t>SEPA4109597</t>
  </si>
  <si>
    <t>MIKE DEWEY</t>
  </si>
  <si>
    <t>SUMEL7</t>
  </si>
  <si>
    <t>LIDA8706603</t>
  </si>
  <si>
    <t>LLANOSMIGUEL20211020035959</t>
  </si>
  <si>
    <t>RAKA2662393</t>
  </si>
  <si>
    <t>JILU9359411</t>
  </si>
  <si>
    <t>MOSA9333716</t>
  </si>
  <si>
    <t>FLX01534</t>
  </si>
  <si>
    <t>LOAL5877043</t>
  </si>
  <si>
    <t>2x1 Cable Genérico Carga Sincronización Para iPod Shuffle</t>
  </si>
  <si>
    <t>ORKE305135</t>
  </si>
  <si>
    <t>V1CH0</t>
  </si>
  <si>
    <t>FLX00444</t>
  </si>
  <si>
    <t>ER20240717132115</t>
  </si>
  <si>
    <t>Tapa Trasera Compatible Con Moto G7 Play Xt1952 + Adhesivo</t>
  </si>
  <si>
    <t>SEAD2144014</t>
  </si>
  <si>
    <t>LEFEERLAR</t>
  </si>
  <si>
    <t>ZACARIASTIFFANY20220727214733</t>
  </si>
  <si>
    <t>ROLDANJESUS20231025123308</t>
  </si>
  <si>
    <t>PAEZNANCY20221026131809</t>
  </si>
  <si>
    <t>FLX00767</t>
  </si>
  <si>
    <t>HEAD4353830</t>
  </si>
  <si>
    <t>Cristal Lente Vidrio Cámara Trasera Motorola Moto G6 Plus</t>
  </si>
  <si>
    <t>CHAINO0219</t>
  </si>
  <si>
    <t>ANYSROCHACISNEROS</t>
  </si>
  <si>
    <t>GERARDOJUSACAMEACOSSIO</t>
  </si>
  <si>
    <t>TIGA5934211</t>
  </si>
  <si>
    <t>JOSERAMIROGONZLEZ</t>
  </si>
  <si>
    <t>LC20240705231118</t>
  </si>
  <si>
    <t>FLX01356</t>
  </si>
  <si>
    <t>CEDI20240202220840</t>
  </si>
  <si>
    <t>Bateria Pila Zte Blade A520 A521 2400mah Li3824t44p4h716043</t>
  </si>
  <si>
    <t>JONATHANDONJUAN</t>
  </si>
  <si>
    <t>FLX02317</t>
  </si>
  <si>
    <t>JECC99</t>
  </si>
  <si>
    <t>Cristal Vidrio Touch Digitalizador Para iPad 9 2021 A2602 03</t>
  </si>
  <si>
    <t>FLX01720</t>
  </si>
  <si>
    <t>DIEGO_AMADORVAZQUEZ</t>
  </si>
  <si>
    <t>JIDI1627169</t>
  </si>
  <si>
    <t>IVAN DIAZSALAS90</t>
  </si>
  <si>
    <t>FLX00248</t>
  </si>
  <si>
    <t>ADRI RM07</t>
  </si>
  <si>
    <t>Flex Centro Puerto Carga Compatible Xiaomi 9a 9c Poco C3</t>
  </si>
  <si>
    <t>FLX02841</t>
  </si>
  <si>
    <t>TIBU CARRILLO</t>
  </si>
  <si>
    <t>Lente Protector Vidrio Cristal Cámara Para Oppo Reno 6 Lite</t>
  </si>
  <si>
    <t>LUPITAELOS</t>
  </si>
  <si>
    <t>URB_JUANCHEM</t>
  </si>
  <si>
    <t>FLX00562</t>
  </si>
  <si>
    <t>MIGUELSOLISMARIN</t>
  </si>
  <si>
    <t>ESER8597389</t>
  </si>
  <si>
    <t>LEE_SENSEI</t>
  </si>
  <si>
    <t>SALINASJUAN20220807121019</t>
  </si>
  <si>
    <t>QL20240623142641</t>
  </si>
  <si>
    <t>FLX02012</t>
  </si>
  <si>
    <t>MEMA9015035</t>
  </si>
  <si>
    <t>Juego 4 Pata Goma Soporte Tapa Macbook Pro A1278 A1286 A1297</t>
  </si>
  <si>
    <t>TEFI3458078</t>
  </si>
  <si>
    <t>JOSEROJAS2930</t>
  </si>
  <si>
    <t>TRJU 1703</t>
  </si>
  <si>
    <t>PALACIOSSAMANTHA20230421121923</t>
  </si>
  <si>
    <t>DETE8416125</t>
  </si>
  <si>
    <t>JUANAEDITHLPEZESCOBAR</t>
  </si>
  <si>
    <t>EG20240721222051</t>
  </si>
  <si>
    <t>LOCE6261515</t>
  </si>
  <si>
    <t>FLX01979</t>
  </si>
  <si>
    <t>GRISELDAGUADALUPEGARCIAGAMEZ</t>
  </si>
  <si>
    <t>Lente Protector Cámara Trasera Para Motorola Moto G7 Xt1962</t>
  </si>
  <si>
    <t>URIEL92253</t>
  </si>
  <si>
    <t>FLX01542</t>
  </si>
  <si>
    <t>ERNESTO15400</t>
  </si>
  <si>
    <t>ELBARTO_DE_ARIES</t>
  </si>
  <si>
    <t>LOPEZGIOVANNI20231104161241</t>
  </si>
  <si>
    <t>ITZELRIRA114</t>
  </si>
  <si>
    <t>VIAD20240221161549</t>
  </si>
  <si>
    <t>FERNANDOSANCHEZTINOCO</t>
  </si>
  <si>
    <t>GORE3027302</t>
  </si>
  <si>
    <t>NAVARROCHAVA</t>
  </si>
  <si>
    <t>FRANCISCOESCORCIAMEJIA</t>
  </si>
  <si>
    <t>ESTEBANVARGASTORRES</t>
  </si>
  <si>
    <t>FLX01669</t>
  </si>
  <si>
    <t>LUAL874036</t>
  </si>
  <si>
    <t>MAJU9184664</t>
  </si>
  <si>
    <t>GALVANNOHEMY20230522174536</t>
  </si>
  <si>
    <t>FLX00367</t>
  </si>
  <si>
    <t>JERRY3298</t>
  </si>
  <si>
    <t>Bandeja Porta Sim Charola Chip Dual Moto E6 Play Xt2029</t>
  </si>
  <si>
    <t>ISAIASPADRONCRUZ</t>
  </si>
  <si>
    <t>LOGI4136350</t>
  </si>
  <si>
    <t>QUOITS</t>
  </si>
  <si>
    <t>MOVI2349680</t>
  </si>
  <si>
    <t>MAJE9846034</t>
  </si>
  <si>
    <t>EDGARFUERTESALAZAR</t>
  </si>
  <si>
    <t>FLX01668</t>
  </si>
  <si>
    <t>IVETTEEUGENIAHERNANDEZVILLA</t>
  </si>
  <si>
    <t>FLX02675</t>
  </si>
  <si>
    <t>PA20240807061820</t>
  </si>
  <si>
    <t>Flex Centro Puerto Carga Para Macbook Pro A1278 A1286 A1297</t>
  </si>
  <si>
    <t>GRANADOSJOEL20230516021326</t>
  </si>
  <si>
    <t>BJSANALE</t>
  </si>
  <si>
    <t>HERNANDEZYOTZIN20220519121801</t>
  </si>
  <si>
    <t>BEEM20240211180836</t>
  </si>
  <si>
    <t>FOXXY97</t>
  </si>
  <si>
    <t>GOAX1417307</t>
  </si>
  <si>
    <t>DIANAMUOZ924</t>
  </si>
  <si>
    <t>ALANLOPEZCARACHURE</t>
  </si>
  <si>
    <t>VAMI2980492</t>
  </si>
  <si>
    <t>ANGELAFLORESPACHECO</t>
  </si>
  <si>
    <t>FRANKOZARATE</t>
  </si>
  <si>
    <t>BC20240527202832</t>
  </si>
  <si>
    <t>ANGELICABETZABERODRIGUEZ</t>
  </si>
  <si>
    <t>ALEJANDROSILVA038</t>
  </si>
  <si>
    <t>DELU20231216221139</t>
  </si>
  <si>
    <t>PEÑADEAN20230105190951</t>
  </si>
  <si>
    <t>HERNANDEZNOE82</t>
  </si>
  <si>
    <t>NAER1620587</t>
  </si>
  <si>
    <t>GONZALEZESTEBAN20231112224017</t>
  </si>
  <si>
    <t>FLX01709</t>
  </si>
  <si>
    <t>JONATAN_1</t>
  </si>
  <si>
    <t>ANTE6173402</t>
  </si>
  <si>
    <t>RARA2014387</t>
  </si>
  <si>
    <t>DEJESUSCOLINLUISENRIQUE</t>
  </si>
  <si>
    <t>PEREZIGNACIO20221024060422</t>
  </si>
  <si>
    <t>SOSADIEGO20221022202635</t>
  </si>
  <si>
    <t>SNOWMANAKA47</t>
  </si>
  <si>
    <t>PEJO1073500</t>
  </si>
  <si>
    <t>JUMI902228</t>
  </si>
  <si>
    <t>FLX02600</t>
  </si>
  <si>
    <t>JACOBO_CURIEL</t>
  </si>
  <si>
    <t>Flex Centro Puerto Carga Rapida Para Xiaomi Poco X3 &amp; Pro</t>
  </si>
  <si>
    <t>CRBE8532190</t>
  </si>
  <si>
    <t>LAPSERVICE QUINTANA</t>
  </si>
  <si>
    <t>Flex Centro Puerto Carga Para iPad 7 / 8 A2270 A2197 A2428</t>
  </si>
  <si>
    <t>VEGAKEVIN20230826184227</t>
  </si>
  <si>
    <t>EULALIASANCHEZBAEZ</t>
  </si>
  <si>
    <t>PEJO090822</t>
  </si>
  <si>
    <t>FLX00069</t>
  </si>
  <si>
    <t>ALEJANDRASILVAMEDINA</t>
  </si>
  <si>
    <t>Flex Principal Video Main Tablillas Para Galaxy A71 A715</t>
  </si>
  <si>
    <t>ASHANTYPREZ</t>
  </si>
  <si>
    <t>LEOGONZALEZ1213</t>
  </si>
  <si>
    <t>AMERICA118</t>
  </si>
  <si>
    <t>JUANALBERTOSILVALOPEZ</t>
  </si>
  <si>
    <t>FLX02587</t>
  </si>
  <si>
    <t>Flex Centro Puerto Carga Rapida Para Moto G50 5g Xt2149</t>
  </si>
  <si>
    <t>ROMEROARIADNA20220324164622</t>
  </si>
  <si>
    <t>FLX02306</t>
  </si>
  <si>
    <t>JULIOCESARREYNARODRGUEZ</t>
  </si>
  <si>
    <t>80 Stencil Bga Reballing Para Spreatrum Mtk Ov Cpu Celular</t>
  </si>
  <si>
    <t>NAEM6664002</t>
  </si>
  <si>
    <t>3LECTRON</t>
  </si>
  <si>
    <t>TALLERDEPINTURAJUNIOR</t>
  </si>
  <si>
    <t>MAYAHOMERO</t>
  </si>
  <si>
    <t>FLX00442</t>
  </si>
  <si>
    <t>JOETRINI</t>
  </si>
  <si>
    <t>SOLUCHG</t>
  </si>
  <si>
    <t>FLX01197</t>
  </si>
  <si>
    <t>IMPORTACIONES PINZON</t>
  </si>
  <si>
    <t>MISAESQUIVEL</t>
  </si>
  <si>
    <t>TP755868</t>
  </si>
  <si>
    <t>TRUJILLOALEJANDRO44</t>
  </si>
  <si>
    <t>YULZ24</t>
  </si>
  <si>
    <t>CARLOSMENDOZACEBALLOS</t>
  </si>
  <si>
    <t>JAI_MAYORGA2010</t>
  </si>
  <si>
    <t>GARCIAXIMENA20230710202345</t>
  </si>
  <si>
    <t>GONSALESFRANCISCOJAVIER</t>
  </si>
  <si>
    <t>PHONEDOCTOR HXQ</t>
  </si>
  <si>
    <t>REZAJAIME808</t>
  </si>
  <si>
    <t>CORTESABISAI</t>
  </si>
  <si>
    <t>JULIAN241201</t>
  </si>
  <si>
    <t>JOSIASAPOLONIOMEZA</t>
  </si>
  <si>
    <t>RL20240529124153</t>
  </si>
  <si>
    <t>ALAB1770396</t>
  </si>
  <si>
    <t>HMFE5113903</t>
  </si>
  <si>
    <t>SALVADOR EGUIA</t>
  </si>
  <si>
    <t>CRIMERIDAHERNANDEZ</t>
  </si>
  <si>
    <t>CHAVEZEDGAR20230704143232</t>
  </si>
  <si>
    <t>DIAB20240208224850</t>
  </si>
  <si>
    <t>CASE20240306193931</t>
  </si>
  <si>
    <t>PRINT_SOLUTION_MX</t>
  </si>
  <si>
    <t>ORIS2494363</t>
  </si>
  <si>
    <t>ENRIQUESVLADIMIR20210611223214</t>
  </si>
  <si>
    <t>OSCARVALDEZMEDELLIN</t>
  </si>
  <si>
    <t>COWEATERALIEN</t>
  </si>
  <si>
    <t>FLX02385</t>
  </si>
  <si>
    <t>RIAL5631627</t>
  </si>
  <si>
    <t>HDZREF20220725123838</t>
  </si>
  <si>
    <t>DC20240803020544</t>
  </si>
  <si>
    <t>CESAR_AG</t>
  </si>
  <si>
    <t>SALVA_LB</t>
  </si>
  <si>
    <t>AVENDAOULISES</t>
  </si>
  <si>
    <t>PURATAFLORICELA20221226232221</t>
  </si>
  <si>
    <t>MERCADOLOGO73</t>
  </si>
  <si>
    <t>JCOLIVARES77</t>
  </si>
  <si>
    <t>FRANCISCOJAVIERMARQUEZLIZAR</t>
  </si>
  <si>
    <t>JAFA9998598</t>
  </si>
  <si>
    <t>ANDRESPEREZ761</t>
  </si>
  <si>
    <t>JORGEORTIZ357</t>
  </si>
  <si>
    <t>ABARCA2018</t>
  </si>
  <si>
    <t>FLX01212</t>
  </si>
  <si>
    <t>VELE20240211154232</t>
  </si>
  <si>
    <t>GUDA822807</t>
  </si>
  <si>
    <t>FLX01134</t>
  </si>
  <si>
    <t>MA20240808134052</t>
  </si>
  <si>
    <t>Kit 10 Herramientas Desarmador Macbook 1.2 0.8 iPhone Mac</t>
  </si>
  <si>
    <t>JORGESAENZ2016</t>
  </si>
  <si>
    <t>GP20240529190327</t>
  </si>
  <si>
    <t>FLX02540</t>
  </si>
  <si>
    <t>ISBRAHAMYAIRQUIONEZGONZLE</t>
  </si>
  <si>
    <t>Flex Boton Encendido Compatible Con Playstation 2 Ps2 Slim</t>
  </si>
  <si>
    <t>MOHHERR</t>
  </si>
  <si>
    <t>MONTOYASAMM20220531174229</t>
  </si>
  <si>
    <t>FLX00214</t>
  </si>
  <si>
    <t>AZUCENAFERRIZ</t>
  </si>
  <si>
    <t>Flex Botón Inicio Home Compatible iPhone 6 / Plus A1549 1522</t>
  </si>
  <si>
    <t>RAJU20240202184904</t>
  </si>
  <si>
    <t>FLX01230</t>
  </si>
  <si>
    <t>DIME1006568</t>
  </si>
  <si>
    <t>CS20240808125326</t>
  </si>
  <si>
    <t>ARRO2951523</t>
  </si>
  <si>
    <t>SANTIAGOJORGE20230927175900</t>
  </si>
  <si>
    <t>LLAMASDAM</t>
  </si>
  <si>
    <t>EDUARDOARTUROCALLESRIVAS</t>
  </si>
  <si>
    <t>IIRIARTEIIRIARTE</t>
  </si>
  <si>
    <t>RICCARDOANTONIOPUSCEDDU</t>
  </si>
  <si>
    <t>FRMA9849538</t>
  </si>
  <si>
    <t>PECE264321</t>
  </si>
  <si>
    <t>WIEBEPANCHO</t>
  </si>
  <si>
    <t>GECR5684745</t>
  </si>
  <si>
    <t>COMERCIALIZADORA SOFIVAL</t>
  </si>
  <si>
    <t>FLX00540</t>
  </si>
  <si>
    <t>CRISTOBALVELEZ1</t>
  </si>
  <si>
    <t>Lente Cristal Vidrio Cámara Trasera Para Moto G8 Play Xt2015</t>
  </si>
  <si>
    <t>GUERA_SKATE</t>
  </si>
  <si>
    <t>MENDEZDAVID20221125213353</t>
  </si>
  <si>
    <t>FRANCISCOHEREDIASNCHEZ</t>
  </si>
  <si>
    <t>FABRODROD1803</t>
  </si>
  <si>
    <t>FLX01020</t>
  </si>
  <si>
    <t>JOY GUZHER</t>
  </si>
  <si>
    <t>Cable Extensión Usb 2.0 Macho / Hembra 3m Webcam Impresora</t>
  </si>
  <si>
    <t>VAZQEZLOR</t>
  </si>
  <si>
    <t>ALBERTO_METALGEAR2006</t>
  </si>
  <si>
    <t>FLX01132</t>
  </si>
  <si>
    <t>HERNANDEBRAYAN20231004152631</t>
  </si>
  <si>
    <t>Kit Desarmador 25 Puntas Herramienta Reparación Cartera</t>
  </si>
  <si>
    <t>CAJO6053079</t>
  </si>
  <si>
    <t>KAMISAMA7L</t>
  </si>
  <si>
    <t>SOAN3355989</t>
  </si>
  <si>
    <t>NAYE080504</t>
  </si>
  <si>
    <t>ARJU2572830</t>
  </si>
  <si>
    <t>GUIAISMAEL20220814091831</t>
  </si>
  <si>
    <t>PAREDESJOSE20220825230226</t>
  </si>
  <si>
    <t>AH20240706044443</t>
  </si>
  <si>
    <t>KARY_PV</t>
  </si>
  <si>
    <t>FLX01021</t>
  </si>
  <si>
    <t>ANGELMXZ</t>
  </si>
  <si>
    <t>RICH9778</t>
  </si>
  <si>
    <t>JASSO69_29</t>
  </si>
  <si>
    <t>HACKINTOSH LAGUNA</t>
  </si>
  <si>
    <t>MONCHI_PAINT</t>
  </si>
  <si>
    <t>FLX00159</t>
  </si>
  <si>
    <t>BAEV20240414011732</t>
  </si>
  <si>
    <t>Flex Botón Volumen Encendido Huawei Mate 20 Lite Lya-l29</t>
  </si>
  <si>
    <t>CONTRERASALAN20231209172719</t>
  </si>
  <si>
    <t>FLX02487</t>
  </si>
  <si>
    <t>MARIO_ALBERTO_AGUILAR</t>
  </si>
  <si>
    <t>10 Pcs Llave Sim Tool Extracción Bandeja Tarjeta Sim Card</t>
  </si>
  <si>
    <t>FLX02486</t>
  </si>
  <si>
    <t>FLX02489</t>
  </si>
  <si>
    <t>FLX02488</t>
  </si>
  <si>
    <t>SAJU5745380</t>
  </si>
  <si>
    <t>FLX00535</t>
  </si>
  <si>
    <t>WILBERTHEKPUC</t>
  </si>
  <si>
    <t>Flex Principal Video Main Tablillas Para Galaxy A32 A325</t>
  </si>
  <si>
    <t>HDEZMATA</t>
  </si>
  <si>
    <t>Bateria Pila Para Galaxy Tab S2 8 T710 T715 Eb-bt710ab</t>
  </si>
  <si>
    <t>LUISFELIPEMENDEZSANTIAGO</t>
  </si>
  <si>
    <t>FLX01163</t>
  </si>
  <si>
    <t>CHANTOL</t>
  </si>
  <si>
    <t>Espátula Metálica Sencilla iPad Surface Tab Note Nexus Slate</t>
  </si>
  <si>
    <t>FLX01181</t>
  </si>
  <si>
    <t>LORAANSELMO</t>
  </si>
  <si>
    <t>Cable Usb C Carga Datos V 3.1 2.0a 4 Núcleos 1m Económico</t>
  </si>
  <si>
    <t>MILOFRANCO90</t>
  </si>
  <si>
    <t>VAMO3459197</t>
  </si>
  <si>
    <t>FLX02823</t>
  </si>
  <si>
    <t>GOKE9667812</t>
  </si>
  <si>
    <t>Flex Centro Puerto Carga Rapida Para Moto G31 Xt2173</t>
  </si>
  <si>
    <t>REDCEL1818</t>
  </si>
  <si>
    <t>RAMIREZISRAEL20230904144815</t>
  </si>
  <si>
    <t>SANCHEZEDUWIGES20221013153910</t>
  </si>
  <si>
    <t>VALDEZPERAZADENISSE</t>
  </si>
  <si>
    <t>VAZQUEZRODOLFO20231012193630</t>
  </si>
  <si>
    <t>ZARAGOZAENRIQUE20220103165440</t>
  </si>
  <si>
    <t>MINOAGUILAR62</t>
  </si>
  <si>
    <t>FLX01147</t>
  </si>
  <si>
    <t>DAMIAN_FEL</t>
  </si>
  <si>
    <t>FLX00032</t>
  </si>
  <si>
    <t>ALB_SH2013</t>
  </si>
  <si>
    <t>Flex Puerto Centro Carga Galaxy Tab A 8.0 2019 T290 Wifi</t>
  </si>
  <si>
    <t>MAV2258928</t>
  </si>
  <si>
    <t>FLX00534</t>
  </si>
  <si>
    <t>PAULGARCIAGARCIA</t>
  </si>
  <si>
    <t>Flex Ptz Cámara Video Gimbal Drone Dji Phantom Mavic Pro</t>
  </si>
  <si>
    <t>YAIRMORAN_</t>
  </si>
  <si>
    <t>JUANMANUELDURNLOPEZ</t>
  </si>
  <si>
    <t>LUISENRIQUEBADACHIVALENZUELA</t>
  </si>
  <si>
    <t>ROSAGUADALUPEVALLEORTIZ</t>
  </si>
  <si>
    <t>EZQUIVEL007</t>
  </si>
  <si>
    <t>SALINASANGEL20230825213920</t>
  </si>
  <si>
    <t>MARIOGINZALEZ111</t>
  </si>
  <si>
    <t>MARASALASFRAS</t>
  </si>
  <si>
    <t>MARTINEZROBERTO20221226204421</t>
  </si>
  <si>
    <t>LUISM.MORALESB</t>
  </si>
  <si>
    <t>HERNANDESALMA20230730185129</t>
  </si>
  <si>
    <t>ROTE5981456</t>
  </si>
  <si>
    <t>VICTORDAMIANMARTINEZAGUIRRE</t>
  </si>
  <si>
    <t>MUDA684952</t>
  </si>
  <si>
    <t>JOHN150</t>
  </si>
  <si>
    <t>DGEFP</t>
  </si>
  <si>
    <t>ALAMILLOBENITO20231012223925</t>
  </si>
  <si>
    <t>LUISVALENCIAVALERIO</t>
  </si>
  <si>
    <t>OLVERAALAIN20230602142713</t>
  </si>
  <si>
    <t>GADA9553372</t>
  </si>
  <si>
    <t>DERA5494015</t>
  </si>
  <si>
    <t>LOJU7636072</t>
  </si>
  <si>
    <t>Flex Centro Puerto Carga Rapida Compatible Galaxy A14 4g</t>
  </si>
  <si>
    <t>MIGUELSEBASTIANDIEGO</t>
  </si>
  <si>
    <t>CARLOVALERIO</t>
  </si>
  <si>
    <t>SITEKMR</t>
  </si>
  <si>
    <t>HEBR2021248</t>
  </si>
  <si>
    <t>FLX02395</t>
  </si>
  <si>
    <t>JHONBECK</t>
  </si>
  <si>
    <t>SUPER NINJI</t>
  </si>
  <si>
    <t>CONSUELOVILLEGASPADIERNA</t>
  </si>
  <si>
    <t>FLX01447</t>
  </si>
  <si>
    <t>HESA6796187</t>
  </si>
  <si>
    <t>Pantalla Display Lcd + Touch Digitalizador Zte Z Max Z982</t>
  </si>
  <si>
    <t>TISREI</t>
  </si>
  <si>
    <t>TEC4MEX</t>
  </si>
  <si>
    <t>MAWI1836201</t>
  </si>
  <si>
    <t>SANCHEZPAOLAA</t>
  </si>
  <si>
    <t>MIRANDAJUAN20231207190030</t>
  </si>
  <si>
    <t>GUAGURU</t>
  </si>
  <si>
    <t>DR20240807214059</t>
  </si>
  <si>
    <t>MARQUEZJOSEPH20220830233853</t>
  </si>
  <si>
    <t>FLX00743</t>
  </si>
  <si>
    <t>JAQUELINEROMEROVENEGAS</t>
  </si>
  <si>
    <t>Flex Boton Encendido Para Playstation 2 Ps2 Slim 7000x 9000x</t>
  </si>
  <si>
    <t>VIMAQUMA</t>
  </si>
  <si>
    <t>LUIS_RBH_93</t>
  </si>
  <si>
    <t>KENYASALDIVAR</t>
  </si>
  <si>
    <t>JINALAN</t>
  </si>
  <si>
    <t>ALEJANDROPICHARDOSANTANA</t>
  </si>
  <si>
    <t>MAJU9877886</t>
  </si>
  <si>
    <t>CABRAL7</t>
  </si>
  <si>
    <t>PHSPRO</t>
  </si>
  <si>
    <t>JOBNATANAELSILVA</t>
  </si>
  <si>
    <t>FLX00055</t>
  </si>
  <si>
    <t>RENDONDAVID20230127213343</t>
  </si>
  <si>
    <t>Flex Puerto Centro Carga Micrófono Para Galaxy A32 A325</t>
  </si>
  <si>
    <t>VZQZAYY20230626132730</t>
  </si>
  <si>
    <t>OMAR15ARENAS</t>
  </si>
  <si>
    <t>LOGE6041494</t>
  </si>
  <si>
    <t>QULU5693671</t>
  </si>
  <si>
    <t>EKJO4437164</t>
  </si>
  <si>
    <t>MENDEZCANDE20230702210422</t>
  </si>
  <si>
    <t>FLX00259</t>
  </si>
  <si>
    <t>CARLOS KURI</t>
  </si>
  <si>
    <t>Flex Botones Encendido Volumen Para Moto E6 Plus Xt2025</t>
  </si>
  <si>
    <t>MOAB3049650</t>
  </si>
  <si>
    <t>SALAZARMALENA19</t>
  </si>
  <si>
    <t>JOHAN A.FRANCISCO</t>
  </si>
  <si>
    <t>DIEGO CANO10</t>
  </si>
  <si>
    <t>VAJO3097649</t>
  </si>
  <si>
    <t>FLX00738</t>
  </si>
  <si>
    <t>SAJE20240109112510</t>
  </si>
  <si>
    <t>Flex Centro Puerto Centro Carga Para iPad Air 2 A1566 A1557</t>
  </si>
  <si>
    <t>JAVIER MTZ.</t>
  </si>
  <si>
    <t>ARJO8294777</t>
  </si>
  <si>
    <t>FLX02765</t>
  </si>
  <si>
    <t>GEISERCANDIA</t>
  </si>
  <si>
    <t>Flex Encendido Volumen Boton Para Moto One Hyper Xt2027</t>
  </si>
  <si>
    <t>GERARDORAMIREZ638</t>
  </si>
  <si>
    <t>AG20240807202219</t>
  </si>
  <si>
    <t>REYES CUAHUTLE</t>
  </si>
  <si>
    <t>JRBAUDE</t>
  </si>
  <si>
    <t>LANEEVELYNE20211023175746</t>
  </si>
  <si>
    <t>LAURAMICHELLLORENZANACRUZ</t>
  </si>
  <si>
    <t>RIOF92</t>
  </si>
  <si>
    <t>RAMONJAV28</t>
  </si>
  <si>
    <t>HETOR7751</t>
  </si>
  <si>
    <t>GALONROSAS</t>
  </si>
  <si>
    <t>VALDEZANNA20221026221444</t>
  </si>
  <si>
    <t>FLX01241</t>
  </si>
  <si>
    <t>PAAL3201879</t>
  </si>
  <si>
    <t>Batería Pila Para Galaxy Tab A A7 Lite T290 T295</t>
  </si>
  <si>
    <t>SANCHEZOLVERADANIEL</t>
  </si>
  <si>
    <t>CECIMARESR</t>
  </si>
  <si>
    <t>FLX02738</t>
  </si>
  <si>
    <t>FLX00700</t>
  </si>
  <si>
    <t>POLO454</t>
  </si>
  <si>
    <t>Bandeja Porta Sim Charola Para Huawei Nova 5t</t>
  </si>
  <si>
    <t>ROBERTOCARLOSALVARADOMEZA</t>
  </si>
  <si>
    <t>JAIMEDANIELRODRIGUEZTORRES</t>
  </si>
  <si>
    <t>ACARDENAS539</t>
  </si>
  <si>
    <t>LOJO4415997</t>
  </si>
  <si>
    <t>ALEXANDRO_TINOCO</t>
  </si>
  <si>
    <t>INGESOSA5</t>
  </si>
  <si>
    <t>PEÑAJAIME20221107142156</t>
  </si>
  <si>
    <t>FLX01254</t>
  </si>
  <si>
    <t>POTRO861119</t>
  </si>
  <si>
    <t>Batería Pila Li Ion 11560mah Para iPad 3 / 4 A1416 A1458</t>
  </si>
  <si>
    <t>BORBONJOSUE20230206020807</t>
  </si>
  <si>
    <t>LUISJIMENESOLAN</t>
  </si>
  <si>
    <t>ROBERTO0502</t>
  </si>
  <si>
    <t>BLACKKNIGHFALL</t>
  </si>
  <si>
    <t>ESPINOZASERGIO20230713145356</t>
  </si>
  <si>
    <t>MONTAÑOGUSTAVO20220614181440</t>
  </si>
  <si>
    <t>FLX02715</t>
  </si>
  <si>
    <t>MOAN5897625</t>
  </si>
  <si>
    <t>Pluma S Pen Para Samsung Galaxy Note 10 / 10+</t>
  </si>
  <si>
    <t>OZIELARAMBULA</t>
  </si>
  <si>
    <t>VIANEY2004989979</t>
  </si>
  <si>
    <t>CIBERCITYJIMENEZ</t>
  </si>
  <si>
    <t>GAVI1989087</t>
  </si>
  <si>
    <t>RM AMAZINGPRICES</t>
  </si>
  <si>
    <t>RAJU4766267</t>
  </si>
  <si>
    <t>SROMERO24108</t>
  </si>
  <si>
    <t>ALBERTO7318</t>
  </si>
  <si>
    <t>GALDMEZILIANA</t>
  </si>
  <si>
    <t>JMRM95</t>
  </si>
  <si>
    <t>GIOANAYA</t>
  </si>
  <si>
    <t>PEREZHIGO</t>
  </si>
  <si>
    <t>PEDROHEAG</t>
  </si>
  <si>
    <t>ADNFAUSTOLUJANFLORES</t>
  </si>
  <si>
    <t>WOLFED08</t>
  </si>
  <si>
    <t>ADRIANATORRES08</t>
  </si>
  <si>
    <t>CHRISTOPHERGUADALUPEONTIVEROS</t>
  </si>
  <si>
    <t>CARLOS_DORANTES</t>
  </si>
  <si>
    <t>MIZZAREFACCIONES</t>
  </si>
  <si>
    <t>DANINY2010</t>
  </si>
  <si>
    <t>HERNANDEZOLIMPIA20221017015357</t>
  </si>
  <si>
    <t>TROM6438826</t>
  </si>
  <si>
    <t>SAJA4004360</t>
  </si>
  <si>
    <t>FLX02687</t>
  </si>
  <si>
    <t>DEJU8708212</t>
  </si>
  <si>
    <t>Flex Encendido Vol Carga Inalambrica Para iPhone 11 Pro Max</t>
  </si>
  <si>
    <t>ORALANDODEOCHOATAMAYO</t>
  </si>
  <si>
    <t>FLX00254</t>
  </si>
  <si>
    <t>RAJO8906926</t>
  </si>
  <si>
    <t>Flex Botones Encendido Volumen Para Moto G8 Plus Xt2019</t>
  </si>
  <si>
    <t>FLX00531</t>
  </si>
  <si>
    <t>DANNYARROYO12</t>
  </si>
  <si>
    <t>Flex Cámara Gimbal Drone Dji Phantom 3 Advanced / Pro</t>
  </si>
  <si>
    <t>JODEMANUELLUNAGAETA</t>
  </si>
  <si>
    <t>FLX01263</t>
  </si>
  <si>
    <t>RICARDODANIELMARTINEZDUQUE</t>
  </si>
  <si>
    <t>Cable Fibra Optica Audio Digital Toslink Optico 1m</t>
  </si>
  <si>
    <t>SOLISDAVID20220806230603</t>
  </si>
  <si>
    <t>DOMINGUEZLUIS20230906013417</t>
  </si>
  <si>
    <t>EDER250503</t>
  </si>
  <si>
    <t>JESS14124</t>
  </si>
  <si>
    <t>BARVOSACELERINO20230505220044</t>
  </si>
  <si>
    <t>CAJU6377910</t>
  </si>
  <si>
    <t>SAGIDRCARREON</t>
  </si>
  <si>
    <t>JUANCHRISTIANHERNANDEZ</t>
  </si>
  <si>
    <t>SERVIVALPA</t>
  </si>
  <si>
    <t>FLX02169</t>
  </si>
  <si>
    <t>RUEDACHELO20230809135258</t>
  </si>
  <si>
    <t>Flex Centro Puerto Carga Micrófono Motorola Moto E5 Plus</t>
  </si>
  <si>
    <t>GOLDENKNIGHT395</t>
  </si>
  <si>
    <t>ROED8959650</t>
  </si>
  <si>
    <t>CAMILOADRIANA20230711204815</t>
  </si>
  <si>
    <t>VARGAS079</t>
  </si>
  <si>
    <t>DANKER93</t>
  </si>
  <si>
    <t>VEKTORGRAFIKO</t>
  </si>
  <si>
    <t>OSCAROCAMPOGORJON</t>
  </si>
  <si>
    <t>MORALESJOSE20230102220650</t>
  </si>
  <si>
    <t>DANYMTZ2023</t>
  </si>
  <si>
    <t>SOLISDANIELANTONIO</t>
  </si>
  <si>
    <t>VO20240730180506</t>
  </si>
  <si>
    <t>JOSEARTUROLARAFLORES</t>
  </si>
  <si>
    <t>DOMINGUEZARTURO45</t>
  </si>
  <si>
    <t>Flex Centro Puerto Carga Para Lenovo Tab M8 Tb-8505f</t>
  </si>
  <si>
    <t>RRDE-15</t>
  </si>
  <si>
    <t>GOMEZINH</t>
  </si>
  <si>
    <t>HUACASHPEDRO20230507111424</t>
  </si>
  <si>
    <t>Flex Centro Puerto Carga Rapida Para LG K22 / Plus Lmk200</t>
  </si>
  <si>
    <t>FLORESHECTOR20230829235011</t>
  </si>
  <si>
    <t>MATEOGABY20220815153937</t>
  </si>
  <si>
    <t>GONZALO360GONZALO360</t>
  </si>
  <si>
    <t>ENRIQUEAUGUSTOLOBATONCRUZ</t>
  </si>
  <si>
    <t>FLX00244</t>
  </si>
  <si>
    <t>DANIELCHAVEZC00</t>
  </si>
  <si>
    <t>Flex Centro Puerto Carga Microfono Xiaomi Mi 8 Lite</t>
  </si>
  <si>
    <t>FLX00775</t>
  </si>
  <si>
    <t>VALENZUELAJUAN20220724212552</t>
  </si>
  <si>
    <t>Flex Centro Puerto Carga Microfono Para Huawei Y9s</t>
  </si>
  <si>
    <t>GEPPY9</t>
  </si>
  <si>
    <t>COTAAUSTREBERTO20221006183233</t>
  </si>
  <si>
    <t>HEDI5018034</t>
  </si>
  <si>
    <t>MAPAHA</t>
  </si>
  <si>
    <t>HECTOR9382</t>
  </si>
  <si>
    <t>LEAL9706521</t>
  </si>
  <si>
    <t>MOGI2454611</t>
  </si>
  <si>
    <t>Cable Extensión Colilla Usb De Control Para Xbox 360</t>
  </si>
  <si>
    <t>UMARON</t>
  </si>
  <si>
    <t>ZAMORAALBA20230902100253</t>
  </si>
  <si>
    <t>MARISOL_14610</t>
  </si>
  <si>
    <t>RAGU6736123</t>
  </si>
  <si>
    <t>GISSELPC03</t>
  </si>
  <si>
    <t>SACA3255218</t>
  </si>
  <si>
    <t>FLX01217</t>
  </si>
  <si>
    <t>ROJU8368237</t>
  </si>
  <si>
    <t>Cable Red Cat7 Rj45 Utp Ethernet 6ft Xbox Ps5 Router Modem</t>
  </si>
  <si>
    <t>CHAVEZBRUNO20220816111933</t>
  </si>
  <si>
    <t>RICARDOEMANUELMONTOYA</t>
  </si>
  <si>
    <t>JOJO9742355</t>
  </si>
  <si>
    <t>MENDEZJOSE20230313160458</t>
  </si>
  <si>
    <t>PAAN1329773</t>
  </si>
  <si>
    <t>HEIR8927087</t>
  </si>
  <si>
    <t>FLX02494</t>
  </si>
  <si>
    <t>LEONARDO CEJA</t>
  </si>
  <si>
    <t>Flex Centro Carga Rapida Para Xiaomi Redmi Note 9s / 9 Pro</t>
  </si>
  <si>
    <t>FLX00577</t>
  </si>
  <si>
    <t>PINOL014</t>
  </si>
  <si>
    <t>Protector Vidrio Cristal Lente Cámara Moto E7 Power Xt2097</t>
  </si>
  <si>
    <t>EMMANUELROJASGLZ</t>
  </si>
  <si>
    <t>MEGU4547322</t>
  </si>
  <si>
    <t>LFLORESALVAREZ</t>
  </si>
  <si>
    <t>LEDEZMAALBERTO239</t>
  </si>
  <si>
    <t>PEREZREMEDIO20220917122257</t>
  </si>
  <si>
    <t>REYDAVIDZAVALACHN</t>
  </si>
  <si>
    <t>FLX01304</t>
  </si>
  <si>
    <t>SANCHEZAXEL20230326172349</t>
  </si>
  <si>
    <t>Bandeja Porta Sim Charola Dual Galaxy A20s A207</t>
  </si>
  <si>
    <t>JOSEROBERTOAVALOSVILLA</t>
  </si>
  <si>
    <t>EMERITAREYNAGAURIBE</t>
  </si>
  <si>
    <t>Flex Centro Puerto Carga Rapida Para Galaxy A52 A525f</t>
  </si>
  <si>
    <t>RMONROY1972RMS</t>
  </si>
  <si>
    <t>STORM32</t>
  </si>
  <si>
    <t>KARLAVIOLETAVILLALVAZOGRAJED</t>
  </si>
  <si>
    <t>FLX02578</t>
  </si>
  <si>
    <t>GIBRANARITHERNANDEZCABALLERO</t>
  </si>
  <si>
    <t>Bandeja Porta Sim Charola Dual Compatible Galaxy A23 A236 5g</t>
  </si>
  <si>
    <t>MTHCV97</t>
  </si>
  <si>
    <t>RIUL584374</t>
  </si>
  <si>
    <t>FRANCISCO_GTRREZ8</t>
  </si>
  <si>
    <t>GILDARDOHORTA</t>
  </si>
  <si>
    <t>FLX00241</t>
  </si>
  <si>
    <t>LOJO4155095</t>
  </si>
  <si>
    <t>Flex Centro Carga Microfono Xiaomi Redmi Note 7 / Pro Usb</t>
  </si>
  <si>
    <t>FLX00841</t>
  </si>
  <si>
    <t>NAVAVERONICA20230714144351</t>
  </si>
  <si>
    <t>CAPE8227661</t>
  </si>
  <si>
    <t>HAZARDCORP</t>
  </si>
  <si>
    <t>MANUELPDH</t>
  </si>
  <si>
    <t>RUCR3665118</t>
  </si>
  <si>
    <t>Flex Centro Carga Compatible Motorola Moto E6 Plus Xt2025-1</t>
  </si>
  <si>
    <t>FLX02750</t>
  </si>
  <si>
    <t>CEGE_19</t>
  </si>
  <si>
    <t>Centro Puerto Jack Carga Para Dell Inspiron Ac Dc 14-3452</t>
  </si>
  <si>
    <t>PLU7804390</t>
  </si>
  <si>
    <t>MERLINANAVARRETE</t>
  </si>
  <si>
    <t>HRIOXAL</t>
  </si>
  <si>
    <t>NIRVANA9294</t>
  </si>
  <si>
    <t>CARA9980889</t>
  </si>
  <si>
    <t>RIGU9566212</t>
  </si>
  <si>
    <t>MASTERFIN2010</t>
  </si>
  <si>
    <t>FLX01994</t>
  </si>
  <si>
    <t>VRMARIO48</t>
  </si>
  <si>
    <t>Protector Lente Cubierta Cámara Para Moto G6 Play Xt1922</t>
  </si>
  <si>
    <t>AMADOGNZ</t>
  </si>
  <si>
    <t>FLX02018</t>
  </si>
  <si>
    <t>SANTOSPEDRO20230927155346</t>
  </si>
  <si>
    <t>Flex Botón Encendido Volumen On Zte Blade Z Max Z982 V Ultra</t>
  </si>
  <si>
    <t>FLX00612</t>
  </si>
  <si>
    <t>GONZALEZSALVADOR20221121050116</t>
  </si>
  <si>
    <t>Flex Centro Carga Lector Para Xiaomi Mi 9t Redmi K20 Pro Fxc</t>
  </si>
  <si>
    <t>FLX02835</t>
  </si>
  <si>
    <t>RIVERALUIS20230831033052</t>
  </si>
  <si>
    <t>Flex Boton Encendido Flash Para iPhone 11 A2111 A2221 A2223</t>
  </si>
  <si>
    <t>HEDI7441823</t>
  </si>
  <si>
    <t>JOELMORAMARTINEZ</t>
  </si>
  <si>
    <t>ANTONIOSANCHEZSARMIENTO</t>
  </si>
  <si>
    <t>FLX01090</t>
  </si>
  <si>
    <t>ENJO4215521</t>
  </si>
  <si>
    <t>Adaptador Otg Usb Type Tipo C Universal</t>
  </si>
  <si>
    <t>PERALTAKARINA20220824231122</t>
  </si>
  <si>
    <t>PHOENIX_TECH</t>
  </si>
  <si>
    <t>MANUELEDUARDOCALIHUAMEZA</t>
  </si>
  <si>
    <t>ACROSS_THE_UNIVERSE</t>
  </si>
  <si>
    <t>FLX02846</t>
  </si>
  <si>
    <t>ARELLANLCHRIS20221124050321</t>
  </si>
  <si>
    <t>ARMANDO570</t>
  </si>
  <si>
    <t>NOVEDADESQUEVEDO</t>
  </si>
  <si>
    <t>FLX02516</t>
  </si>
  <si>
    <t>SALOMONPEREGRINO</t>
  </si>
  <si>
    <t>Bandeja Porta Sim Charola Sim Para Galaxy Note 8 N950</t>
  </si>
  <si>
    <t>MARIBELIUX2010</t>
  </si>
  <si>
    <t>RAAR2617232</t>
  </si>
  <si>
    <t>ANLU40581</t>
  </si>
  <si>
    <t>Adaptador Mini Otg Hembra Usb Macho Micro Usb 1.9cm Alto!</t>
  </si>
  <si>
    <t>Cople Adaptador Hdmi Hembra Conexión Recta Extension Flexcop</t>
  </si>
  <si>
    <t>FLX02493</t>
  </si>
  <si>
    <t>Cristal Touch Digitalizador Para Tablet 7 Xc-pg0700-235-a1</t>
  </si>
  <si>
    <t>FLX02007</t>
  </si>
  <si>
    <t>V4MP1R09</t>
  </si>
  <si>
    <t>Kit De 3 Espátula Metálica Desmontar Touch Cristal Tablet</t>
  </si>
  <si>
    <t>FLX00539</t>
  </si>
  <si>
    <t>BONNIN699</t>
  </si>
  <si>
    <t>Centro Puerto Carga Compatible C/ Nintendo Switch Usb Tipo C</t>
  </si>
  <si>
    <t>JUANANTONIOCASTELLANOSMNDEZ</t>
  </si>
  <si>
    <t>BRALLANJOSEPHRAMREZ</t>
  </si>
  <si>
    <t>ALNA20240305185459</t>
  </si>
  <si>
    <t>LOMA5484001</t>
  </si>
  <si>
    <t>FLX00759</t>
  </si>
  <si>
    <t>GURO20240225221949</t>
  </si>
  <si>
    <t>ALEJANDROREYNAGAGONZLEZ</t>
  </si>
  <si>
    <t>OTOGI_X2</t>
  </si>
  <si>
    <t>SOER1878293</t>
  </si>
  <si>
    <t>RERU3597974</t>
  </si>
  <si>
    <t>MICHITASASHITA</t>
  </si>
  <si>
    <t>CAJU2795555</t>
  </si>
  <si>
    <t>EMMIRGARCIA</t>
  </si>
  <si>
    <t>VENUSKARREOLA</t>
  </si>
  <si>
    <t>CBAGDEHFFBDGAHEC20230903161734</t>
  </si>
  <si>
    <t>CAAL7077368</t>
  </si>
  <si>
    <t>ALEXDMON</t>
  </si>
  <si>
    <t>SAHI4952032</t>
  </si>
  <si>
    <t>Flex Encendido Huella Botón Para Galaxy A14 5g A146</t>
  </si>
  <si>
    <t>FLX01259</t>
  </si>
  <si>
    <t>NELSONSNCHEZRODRGUEZ</t>
  </si>
  <si>
    <t>HEJO3320712</t>
  </si>
  <si>
    <t>JIJE6638459</t>
  </si>
  <si>
    <t>PEJU20240122225502</t>
  </si>
  <si>
    <t>FLX02290</t>
  </si>
  <si>
    <t>RODRIGUEZNORMA20211210172325</t>
  </si>
  <si>
    <t>POJO1529245</t>
  </si>
  <si>
    <t>KURTCO85</t>
  </si>
  <si>
    <t>LAZEEM92</t>
  </si>
  <si>
    <t>MMIRANDA1801</t>
  </si>
  <si>
    <t>MONTALVOANTONIO20231031232904</t>
  </si>
  <si>
    <t>LOHI8820464</t>
  </si>
  <si>
    <t>FLX01185</t>
  </si>
  <si>
    <t>QBROTHERSCELULARES</t>
  </si>
  <si>
    <t>Auricular Bocina Superior Llamadas Para iPhone X A1865 A1901</t>
  </si>
  <si>
    <t>CASOJOSE20230712003133</t>
  </si>
  <si>
    <t>CESARREMIX</t>
  </si>
  <si>
    <t>SACR1435313</t>
  </si>
  <si>
    <t>RAECOV</t>
  </si>
  <si>
    <t>FLX00195</t>
  </si>
  <si>
    <t>UNLOCKGSM24</t>
  </si>
  <si>
    <t>LOBRA2005</t>
  </si>
  <si>
    <t>BEAD1118251</t>
  </si>
  <si>
    <t>VAYU20240219164830</t>
  </si>
  <si>
    <t>GOAR3137017</t>
  </si>
  <si>
    <t>LUANRP2004</t>
  </si>
  <si>
    <t>HERNANDEZJAVIER20231026182104</t>
  </si>
  <si>
    <t>AE97ZAEL</t>
  </si>
  <si>
    <t>GAFE20240109192117</t>
  </si>
  <si>
    <t>FLX02853</t>
  </si>
  <si>
    <t>COAN1363130</t>
  </si>
  <si>
    <t>FLX02677</t>
  </si>
  <si>
    <t>CARLOSADRINSANCHEZSNCHEZ</t>
  </si>
  <si>
    <t>Flex Centro Carga Puerto Jack Audio Para Galaxy S6 G920i</t>
  </si>
  <si>
    <t>ORTEGALUIS20230721110434</t>
  </si>
  <si>
    <t>ROJO1334285</t>
  </si>
  <si>
    <t>BAJO9179790</t>
  </si>
  <si>
    <t>CHIEFPC20231025180732</t>
  </si>
  <si>
    <t>ROSARIOMIREYA20220815215009</t>
  </si>
  <si>
    <t>LUCASFERNANDO87</t>
  </si>
  <si>
    <t>AGACY_02</t>
  </si>
  <si>
    <t>MAALONDRAHERNNDEZACOSTA</t>
  </si>
  <si>
    <t>RODRIGUEZROY20231211001845</t>
  </si>
  <si>
    <t>PASTORNANCY20220817145007</t>
  </si>
  <si>
    <t>CRUZRODRIGO20231121091711</t>
  </si>
  <si>
    <t>ALEXFLOTOL</t>
  </si>
  <si>
    <t>ELAN1201667</t>
  </si>
  <si>
    <t>DIAL5169878</t>
  </si>
  <si>
    <t>GUZMANJENOVEVA20230717213304</t>
  </si>
  <si>
    <t>FELIX_08PIPE</t>
  </si>
  <si>
    <t>SALINAS_JF</t>
  </si>
  <si>
    <t>KIKOTOKAYO</t>
  </si>
  <si>
    <t>EJ20240803123516</t>
  </si>
  <si>
    <t>FLX00735</t>
  </si>
  <si>
    <t>HEJO5199558</t>
  </si>
  <si>
    <t>LG20240710095906</t>
  </si>
  <si>
    <t>Repuesto Compatible Con Sony Psp Slim 2000 / 3000</t>
  </si>
  <si>
    <t>HE5743330</t>
  </si>
  <si>
    <t>CHRISTIANIVANCHRIST823</t>
  </si>
  <si>
    <t>JOELCHAN7374</t>
  </si>
  <si>
    <t>FLX02751</t>
  </si>
  <si>
    <t>FIXGEEKS</t>
  </si>
  <si>
    <t>Puerto Centro Carga Para Dell Latitude 3490 3590 P89g 0228r6</t>
  </si>
  <si>
    <t>FLX00479</t>
  </si>
  <si>
    <t>DAVICHOHG76</t>
  </si>
  <si>
    <t>Flex Centro Puerto Carga Para iPad Air 5 A1474 A1475 A1476</t>
  </si>
  <si>
    <t>PANICO9950</t>
  </si>
  <si>
    <t>FLX00197</t>
  </si>
  <si>
    <t>DUARTEJOVANNY20221124200815</t>
  </si>
  <si>
    <t>TORRESMARIO20231130150835</t>
  </si>
  <si>
    <t>AL20240605001404</t>
  </si>
  <si>
    <t>DOTO9436837</t>
  </si>
  <si>
    <t>RAAR6417189</t>
  </si>
  <si>
    <t>RACA4823080</t>
  </si>
  <si>
    <t>CINTHI2403</t>
  </si>
  <si>
    <t>MORENOJOSE20230615160435</t>
  </si>
  <si>
    <t>HESI7262150</t>
  </si>
  <si>
    <t>AGUILAAMERICANISTAOK</t>
  </si>
  <si>
    <t>SANTIAGOJIMENEZMORALES</t>
  </si>
  <si>
    <t>MR20240731185246</t>
  </si>
  <si>
    <t>PATRICIAPERALTABIBIANO</t>
  </si>
  <si>
    <t>JATP_18</t>
  </si>
  <si>
    <t>JOSGUADALUPEMARTINEZGALICIA</t>
  </si>
  <si>
    <t>LJO9841629</t>
  </si>
  <si>
    <t>ITEMS</t>
  </si>
  <si>
    <t>*Cable HDMI 1080p HD 20M 1000gr</t>
  </si>
  <si>
    <t>FLX03270</t>
  </si>
  <si>
    <t>*Cable HDMI 4k HD 1.5M</t>
  </si>
  <si>
    <t>FLX03269</t>
  </si>
  <si>
    <t>*Cable para iPhone L30 Baseus jack audio blanco</t>
  </si>
  <si>
    <t>FLX03880</t>
  </si>
  <si>
    <t>*Cable para iPhone L30 Baseus jack audio negro</t>
  </si>
  <si>
    <t>FLX03881</t>
  </si>
  <si>
    <t>*Cable para Xperia magnetico con LED 1M negro</t>
  </si>
  <si>
    <t>FLX03876</t>
  </si>
  <si>
    <t>*Cable USB tipo c Rock 3A carga rapida blanco</t>
  </si>
  <si>
    <t>FLX03898</t>
  </si>
  <si>
    <t>*Cable USB tipo c Rock 3A carga rapida negro</t>
  </si>
  <si>
    <t>FLX03899</t>
  </si>
  <si>
    <t>*Cargador auto 2 puertos carga rapida Aukey</t>
  </si>
  <si>
    <t>FLX03840</t>
  </si>
  <si>
    <t>*Cargador de pared 5V 1A Xiaomi generico</t>
  </si>
  <si>
    <t>FLX03684</t>
  </si>
  <si>
    <t>*Cargador de pared 5V 2A Xiaomi generico</t>
  </si>
  <si>
    <t>FLX03685</t>
  </si>
  <si>
    <t>*Cristal templado frontal para Galaxy A3 A310 2016</t>
  </si>
  <si>
    <t>FLX01467</t>
  </si>
  <si>
    <t>*Cristal templado frontal para Galaxy A5 A510 2016</t>
  </si>
  <si>
    <t>FLX01468</t>
  </si>
  <si>
    <t>*Cristal templado frontal para Galaxy A7 A710 2016</t>
  </si>
  <si>
    <t>FLX01469</t>
  </si>
  <si>
    <t>*Cristal templado frontal para Galaxy S6 Edge 3D</t>
  </si>
  <si>
    <t>FLX01466</t>
  </si>
  <si>
    <t>*Cristal templado frontal para Galaxy S6 Edge Plus</t>
  </si>
  <si>
    <t>FLX01470</t>
  </si>
  <si>
    <t>*Cristal templado frontal para Galaxy S7 G930</t>
  </si>
  <si>
    <t>FLX01471</t>
  </si>
  <si>
    <t>*Cristal templado frontal para HTC 626</t>
  </si>
  <si>
    <t>FLX01472</t>
  </si>
  <si>
    <t>*Cristal templado frontal para iPad Pro 9.7"</t>
  </si>
  <si>
    <t>FLX01473</t>
  </si>
  <si>
    <t>*Cristal templado frontal para iPhone 6 4.7" UD</t>
  </si>
  <si>
    <t>FLX01474</t>
  </si>
  <si>
    <t>*Cristal templado frontal para iPhone 6 Plus UD</t>
  </si>
  <si>
    <t>FLX01475</t>
  </si>
  <si>
    <t>*Cristal templado frontal para iPhone 7</t>
  </si>
  <si>
    <t>FLX01477</t>
  </si>
  <si>
    <t>*Cristal templado frontal para iPhone 7 Plus UD</t>
  </si>
  <si>
    <t>FLX01476</t>
  </si>
  <si>
    <t>*Cristal templado frontal para LG Flex 2 H950</t>
  </si>
  <si>
    <t>FLX01478</t>
  </si>
  <si>
    <t>*Cristal templado frontal para LG Flex D950</t>
  </si>
  <si>
    <t>FLX01479</t>
  </si>
  <si>
    <t>*Cristal templado frontal para LG G3 Beat</t>
  </si>
  <si>
    <t>FLX01480</t>
  </si>
  <si>
    <t>*Cristal templado frontal para LG G4 Beat</t>
  </si>
  <si>
    <t>FLX01481</t>
  </si>
  <si>
    <t>*Cristal templado frontal para LG G4 Stylus</t>
  </si>
  <si>
    <t>FLX01482</t>
  </si>
  <si>
    <t>*Cristal templado frontal para LG G5 H840</t>
  </si>
  <si>
    <t>FLX01483</t>
  </si>
  <si>
    <t>*Cristal templado frontal para LG Zone</t>
  </si>
  <si>
    <t>FLX01484</t>
  </si>
  <si>
    <t>*Cristal templado frontal para Moto E3 XT1700</t>
  </si>
  <si>
    <t>FLX01485</t>
  </si>
  <si>
    <t>*Cristal templado frontal para Moto X Play XT1563</t>
  </si>
  <si>
    <t>FLX01486</t>
  </si>
  <si>
    <t>*Cristal templado frontal para Xperia Z2 Compact</t>
  </si>
  <si>
    <t>FLX01488</t>
  </si>
  <si>
    <t>*Cristal templado frontal para Xperia Z3+</t>
  </si>
  <si>
    <t>FLX01489</t>
  </si>
  <si>
    <t>*Cristal templado para Alcatel 7040 C7</t>
  </si>
  <si>
    <t>FLX01463</t>
  </si>
  <si>
    <t>*Cristal templado para Alcatel 7047 C9</t>
  </si>
  <si>
    <t>FLX01464</t>
  </si>
  <si>
    <t>*Cristal templado para Alcatel Pixi 3 4009</t>
  </si>
  <si>
    <t>FLX01465</t>
  </si>
  <si>
    <t>*Cristal templado para Galaxy J1 Mini J105</t>
  </si>
  <si>
    <t>FLX01490</t>
  </si>
  <si>
    <t>*Cristal templado para Galaxy J110 Ace</t>
  </si>
  <si>
    <t>FLX01491</t>
  </si>
  <si>
    <t>*Cristal templado para Galaxy J210 2016</t>
  </si>
  <si>
    <t>FLX01492</t>
  </si>
  <si>
    <t>*Cristal templado para Galaxy J310 2016</t>
  </si>
  <si>
    <t>FLX01493</t>
  </si>
  <si>
    <t>*Cristal templado para Galaxy J5 J510 2016</t>
  </si>
  <si>
    <t>FLX01494</t>
  </si>
  <si>
    <t>*Cristal templado para Galaxy J7 J700</t>
  </si>
  <si>
    <t>FLX01495</t>
  </si>
  <si>
    <t>*Cristal templado para Galaxy Tab A 10.1" T580</t>
  </si>
  <si>
    <t>FLX01496</t>
  </si>
  <si>
    <t>*Cristal templado para Galaxy Tab A 8.0" T350</t>
  </si>
  <si>
    <t>FLX01497</t>
  </si>
  <si>
    <t>*Cristal templado para Galaxy Tab A 9.7" T550</t>
  </si>
  <si>
    <t>FLX01498</t>
  </si>
  <si>
    <t>*Cristal templado para Galaxy Tab E 9.6" T560</t>
  </si>
  <si>
    <t>FLX01499</t>
  </si>
  <si>
    <t>*Cristal templado para Galaxy Tab S2 8.0" T710</t>
  </si>
  <si>
    <t>FLX01500</t>
  </si>
  <si>
    <t>*Cristal templado para Galaxy Tab S2 9.7" T810</t>
  </si>
  <si>
    <t>FLX01501</t>
  </si>
  <si>
    <t>*Cristal templado para Moto G4 Plus XT1641</t>
  </si>
  <si>
    <t>FLX01502</t>
  </si>
  <si>
    <t>*Cristal templado para Moto G4 XT1621</t>
  </si>
  <si>
    <t>FLX01503</t>
  </si>
  <si>
    <t>*Cristal templado para Moto Z XT1650</t>
  </si>
  <si>
    <t>FLX01504</t>
  </si>
  <si>
    <t>*Cristal templado para tablet Xperia Z2</t>
  </si>
  <si>
    <t>FLX01505</t>
  </si>
  <si>
    <t>*Cristal templado trasero para iPhone 7 4.7"</t>
  </si>
  <si>
    <t>FLX01506</t>
  </si>
  <si>
    <t>*Cristal templado trasero para iPhone 7 Plus 5.5"</t>
  </si>
  <si>
    <t>FLX01507</t>
  </si>
  <si>
    <t>*Cristal templado trasero para Xperia Z L36h</t>
  </si>
  <si>
    <t>FLX01508</t>
  </si>
  <si>
    <t>*Cristal templado trasero para Xperia Z1 L39h</t>
  </si>
  <si>
    <t>FLX01509</t>
  </si>
  <si>
    <t>*Cristal templado trasero para Xperia Z3</t>
  </si>
  <si>
    <t>FLX01511</t>
  </si>
  <si>
    <t>*Cristal templado trasero para Xperia Z3 Compact</t>
  </si>
  <si>
    <t>FLX01510</t>
  </si>
  <si>
    <t>*Cristal templado trasero para Xperia Z5</t>
  </si>
  <si>
    <t>FLX01513</t>
  </si>
  <si>
    <t>*Cristal templado trasero para Xperia Z5 Compact</t>
  </si>
  <si>
    <t>FLX01512</t>
  </si>
  <si>
    <t>*Funda para iPhone 6 4.7" trote armband negro</t>
  </si>
  <si>
    <t>FLX01515</t>
  </si>
  <si>
    <t>*Funda para iPhone 6 6S 7 4.7" trote nylon negro</t>
  </si>
  <si>
    <t>FLX01516</t>
  </si>
  <si>
    <t>*Lente camara para Moto Z3 Plastico Hule</t>
  </si>
  <si>
    <t>FLX01521</t>
  </si>
  <si>
    <t>10 Joystick perilla control para PlayStation PS4</t>
  </si>
  <si>
    <t>FLX01522</t>
  </si>
  <si>
    <t>10 Joystick perilla control para Xbox 360 gris</t>
  </si>
  <si>
    <t>10 Joystick perilla control para Xbox 360 negro</t>
  </si>
  <si>
    <t>10 Joystick perilla negro control para Xbox One 1</t>
  </si>
  <si>
    <t>10 Joystick perilla negro control para Xbox One 2</t>
  </si>
  <si>
    <t>FLX02602</t>
  </si>
  <si>
    <t>10 Joystick potenciometro control Xbox One</t>
  </si>
  <si>
    <t>FLX01529</t>
  </si>
  <si>
    <t>10 Pin carga para Galaxy A20 A30 A40 A50 A60 A70</t>
  </si>
  <si>
    <t>10 Pin carga para Galaxy I9200 T111 T210 P5200</t>
  </si>
  <si>
    <t>10 Pin centro puerto carga para Xbox One control</t>
  </si>
  <si>
    <t>FLX00509</t>
  </si>
  <si>
    <t>10 Pin centro puerto carga USB C 16 Tipo 1</t>
  </si>
  <si>
    <t>10 Pin centro puerto carga V8 5 1.17MM Tipo 2</t>
  </si>
  <si>
    <t>10 Pin centro puerto carga V8 5 2 patas Tipo 1</t>
  </si>
  <si>
    <t>10 Pin centro puerto carga V8 5 4 patas Tipo 3 1</t>
  </si>
  <si>
    <t>10 Pin centro puerto carga V8 5 4 patas Tipo 3 2</t>
  </si>
  <si>
    <t>10 Pin centro puerto carga V8 5 4 patas Tipo 5 1</t>
  </si>
  <si>
    <t>FLX01525</t>
  </si>
  <si>
    <t>10 Pin centro puerto carga V8 5 4 patas Tipo 5 2</t>
  </si>
  <si>
    <t>FLX02274</t>
  </si>
  <si>
    <t>10 Pin centro puerto carga V8 5 6 pata Tipo 4 0.72</t>
  </si>
  <si>
    <t>FLX01013</t>
  </si>
  <si>
    <t>10 Pin centro puerto carga V8 5 Tipo 6 0.8</t>
  </si>
  <si>
    <t>FLX02278</t>
  </si>
  <si>
    <t>10 Pin centro puerto carga V8 7 Tipo 2</t>
  </si>
  <si>
    <t>FLX01526</t>
  </si>
  <si>
    <t>10 puntas adaptadoras multifuncional cargador DC</t>
  </si>
  <si>
    <t>FLX02693</t>
  </si>
  <si>
    <t>10 Tapa USB para Galaxy S5 G900 plata</t>
  </si>
  <si>
    <t>FLX01898</t>
  </si>
  <si>
    <t>100 Navaja plastica naranja</t>
  </si>
  <si>
    <t>FLX02313</t>
  </si>
  <si>
    <t>17 pcs retencion bracket fijador para iPhone 5C</t>
  </si>
  <si>
    <t>FLX01527</t>
  </si>
  <si>
    <t>19 pcs retencion bracket fijador para iPhone 5</t>
  </si>
  <si>
    <t>FLX01528</t>
  </si>
  <si>
    <t>2 Espatula metalica de apertura flexible Qianli</t>
  </si>
  <si>
    <t>FLX01269</t>
  </si>
  <si>
    <t>2 joystick potenciometro para PlayStation PS4</t>
  </si>
  <si>
    <t>FLX02078</t>
  </si>
  <si>
    <t>2 Placa Fix Drift PS4 PS5 Xbox</t>
  </si>
  <si>
    <t>FLX02606</t>
  </si>
  <si>
    <t>2 potenciometro control Xbox One</t>
  </si>
  <si>
    <t>FLX01530</t>
  </si>
  <si>
    <t>2 Templado camara para Galaxy A01 A015</t>
  </si>
  <si>
    <t>FLX01270</t>
  </si>
  <si>
    <t>2 Templado camara para Galaxy A02 A022</t>
  </si>
  <si>
    <t>2 Templado camara para Galaxy A02S / A03S</t>
  </si>
  <si>
    <t>2 Templado camara para Galaxy A11 A115</t>
  </si>
  <si>
    <t>FLX01274</t>
  </si>
  <si>
    <t>2 Templado camara para Galaxy A12 A125</t>
  </si>
  <si>
    <t>FLX01275</t>
  </si>
  <si>
    <t>2 Templado camara para Galaxy A20S A207</t>
  </si>
  <si>
    <t>FLX01276</t>
  </si>
  <si>
    <t>2 Templado camara para Galaxy A21 A215</t>
  </si>
  <si>
    <t>FLX00591</t>
  </si>
  <si>
    <t>2 Templado camara para Galaxy A21S A217</t>
  </si>
  <si>
    <t>FLX01277</t>
  </si>
  <si>
    <t>2 Templado camara para Galaxy A22 A225</t>
  </si>
  <si>
    <t>FLX00590</t>
  </si>
  <si>
    <t>2 Templado camara para Galaxy A31 A315</t>
  </si>
  <si>
    <t>FLX01278</t>
  </si>
  <si>
    <t>2 Templado camara para Galaxy A32 A325</t>
  </si>
  <si>
    <t>FLX01279</t>
  </si>
  <si>
    <t>2 Templado camara para Galaxy A51 A515</t>
  </si>
  <si>
    <t>FLX01280</t>
  </si>
  <si>
    <t>2 Templado camara para Galaxy A52 / A72</t>
  </si>
  <si>
    <t>FLX01281</t>
  </si>
  <si>
    <t>2 Templado camara para Galaxy S20 Ultra G988</t>
  </si>
  <si>
    <t>FLX02581</t>
  </si>
  <si>
    <t>2 Templado camara para Galaxy S21 G990</t>
  </si>
  <si>
    <t>FLX01282</t>
  </si>
  <si>
    <t>2 Templado camara para Galaxy S21 Plus G996</t>
  </si>
  <si>
    <t>FLX01283</t>
  </si>
  <si>
    <t>2 Templado camara para Galaxy S21 Ultra G988</t>
  </si>
  <si>
    <t>FLX01284</t>
  </si>
  <si>
    <t>2 Templado camara para Galaxy S22 Ultra S908</t>
  </si>
  <si>
    <t>FLX02580</t>
  </si>
  <si>
    <t>2 Templado camara para Galaxy S23 Ultra S918</t>
  </si>
  <si>
    <t>FLX02582</t>
  </si>
  <si>
    <t>2 Templado camara para iPhone 11</t>
  </si>
  <si>
    <t>FLX00665</t>
  </si>
  <si>
    <t>2 Templado camara para iPhone 11 Pro / Max</t>
  </si>
  <si>
    <t>FLX02557</t>
  </si>
  <si>
    <t>2 Templado camara para iPhone 13 / Mini</t>
  </si>
  <si>
    <t>FLX00681</t>
  </si>
  <si>
    <t>2 Templado camara para iPhone 13 Pro / Max</t>
  </si>
  <si>
    <t>FLX00680</t>
  </si>
  <si>
    <t>2 Templado camara para Xiaomi Mi 11 1</t>
  </si>
  <si>
    <t>FLX01285</t>
  </si>
  <si>
    <t>2 Templado camara para Xiaomi Mi 11 2</t>
  </si>
  <si>
    <t>FLX02523</t>
  </si>
  <si>
    <t>2 Templado camara para Xiaomi Mi 11 Lite 1</t>
  </si>
  <si>
    <t>FLX01286</t>
  </si>
  <si>
    <t>2 Templado camara para Xiaomi Mi 11 Lite 2</t>
  </si>
  <si>
    <t>FLX02521</t>
  </si>
  <si>
    <t>2 Templado camara para Xiaomi Mi 11 Pro 1</t>
  </si>
  <si>
    <t>FLX01287</t>
  </si>
  <si>
    <t>2 Templado camara para Xiaomi Mi 11 Pro 2</t>
  </si>
  <si>
    <t>FLX02522</t>
  </si>
  <si>
    <t>2 Templado camara para Xiaomi Poco F3 K40 / Pro 1</t>
  </si>
  <si>
    <t>FLX01288</t>
  </si>
  <si>
    <t>2 Templado camara para Xiaomi Poco F3 K40 / Pro 2</t>
  </si>
  <si>
    <t>FLX02524</t>
  </si>
  <si>
    <t>2 Templado camara para Xiaomi Poco M3 1</t>
  </si>
  <si>
    <t>FLX01289</t>
  </si>
  <si>
    <t>2 Templado camara para Xiaomi Poco M3 2</t>
  </si>
  <si>
    <t>FLX02526</t>
  </si>
  <si>
    <t>2 Templado camara para Xiaomi Poco M3 Pro 1</t>
  </si>
  <si>
    <t>FLX01290</t>
  </si>
  <si>
    <t>2 Templado camara para Xiaomi Poco M3 Pro 2</t>
  </si>
  <si>
    <t>FLX02525</t>
  </si>
  <si>
    <t>2 Templado camara para Xiaomi Poco NFC X3 1</t>
  </si>
  <si>
    <t>FLX01438</t>
  </si>
  <si>
    <t>2 Templado camara para Xiaomi Poco NFC X3 2</t>
  </si>
  <si>
    <t>FLX02527</t>
  </si>
  <si>
    <t>2 Templado camara para Xiaomi Poco X3 Pro 1</t>
  </si>
  <si>
    <t>FLX01291</t>
  </si>
  <si>
    <t>2 Templado camara para Xiaomi Poco X3 Pro 2</t>
  </si>
  <si>
    <t>FLX02528</t>
  </si>
  <si>
    <t>2 Templado camara para Xiaomi Redmi 9 1</t>
  </si>
  <si>
    <t>FLX01292</t>
  </si>
  <si>
    <t>2 Templado camara para Xiaomi Redmi 9 2</t>
  </si>
  <si>
    <t>FLX02529</t>
  </si>
  <si>
    <t>2 Templado camara para Xiaomi Redmi 9A 1</t>
  </si>
  <si>
    <t>FLX01293</t>
  </si>
  <si>
    <t>2 Templado camara para Xiaomi Redmi 9A 2</t>
  </si>
  <si>
    <t>FLX02530</t>
  </si>
  <si>
    <t>2 Templado camara para Xiaomi Redmi 9C 1</t>
  </si>
  <si>
    <t>FLX01294</t>
  </si>
  <si>
    <t>2 Templado camara para Xiaomi Redmi 9C 2</t>
  </si>
  <si>
    <t>FLX02531</t>
  </si>
  <si>
    <t>2 Templado camara para Xiaomi Redmi Note 10 4G S 1</t>
  </si>
  <si>
    <t>FLX01295</t>
  </si>
  <si>
    <t>2 Templado camara para Xiaomi Redmi Note 10 4G S 2</t>
  </si>
  <si>
    <t>FLX02532</t>
  </si>
  <si>
    <t>2 Templado camara para Xiaomi Redmi Note 10 PM 1</t>
  </si>
  <si>
    <t>FLX01296</t>
  </si>
  <si>
    <t>2 Templado camara para Xiaomi Redmi Note 10 PM 2</t>
  </si>
  <si>
    <t>FLX02533</t>
  </si>
  <si>
    <t>2 Templado camara para Xiaomi Redmi Note 11 1</t>
  </si>
  <si>
    <t>FLX01297</t>
  </si>
  <si>
    <t>2 Templado camara para Xiaomi Redmi Note 11 2</t>
  </si>
  <si>
    <t>FLX02534</t>
  </si>
  <si>
    <t>2 Templado camara para Xiaomi Redmi Note 9 4G 9T 1</t>
  </si>
  <si>
    <t>FLX01298</t>
  </si>
  <si>
    <t>2 Templado camara para Xiaomi Redmi Note 9 4G 9T 2</t>
  </si>
  <si>
    <t>FLX02535</t>
  </si>
  <si>
    <t>2 Templado camara para Xiaomi Redmi Note 9 Pro 1</t>
  </si>
  <si>
    <t>FLX01299</t>
  </si>
  <si>
    <t>2 Templado camara para Xiaomi Redmi Note 9 Pro 2</t>
  </si>
  <si>
    <t>FLX02536</t>
  </si>
  <si>
    <t>2 tornillos disco duro M.2 NVMe</t>
  </si>
  <si>
    <t>20 pcs retencion bracket fijador para iPhone 5S SE</t>
  </si>
  <si>
    <t>FLX01531</t>
  </si>
  <si>
    <t>21 pcs retencion bracket fijador para iPhone 6SP</t>
  </si>
  <si>
    <t>FLX01532</t>
  </si>
  <si>
    <t>27 herramientas tablets kit completo</t>
  </si>
  <si>
    <t>FLX01533</t>
  </si>
  <si>
    <t>27 kit tornillos para PlayStation 5 PS5</t>
  </si>
  <si>
    <t>FLX02706</t>
  </si>
  <si>
    <t>2X1 Cable cargador para iPod Shuffle 1 2 3 GEN</t>
  </si>
  <si>
    <t>3 Espatula plastica porta navaja naranja</t>
  </si>
  <si>
    <t>FLX01535</t>
  </si>
  <si>
    <t>3 pulsera antiestatica azul</t>
  </si>
  <si>
    <t>FLX02020</t>
  </si>
  <si>
    <t>4 pinza prensa sujetador fijador display plastico</t>
  </si>
  <si>
    <t>5 Adhesivo fijador bateria para iPhone 5S 5C</t>
  </si>
  <si>
    <t>FLX01208</t>
  </si>
  <si>
    <t>5 Adhesivo fijador bateria para iPhone 6 6S 7 1</t>
  </si>
  <si>
    <t>5 Adhesivo fijador bateria para iPhone 6 6S 7 2</t>
  </si>
  <si>
    <t>5 Adhesivo fijador bateria para iPhone 6 6S 7 Plus</t>
  </si>
  <si>
    <t>FLX00548</t>
  </si>
  <si>
    <t>5 anillo soporte celular circular azul</t>
  </si>
  <si>
    <t>5 anillo soporte celular circular negro</t>
  </si>
  <si>
    <t>FLX01538</t>
  </si>
  <si>
    <t>5 anillo soporte celular circular oro</t>
  </si>
  <si>
    <t>FLX01539</t>
  </si>
  <si>
    <t>5 anillo soporte celular circular plata</t>
  </si>
  <si>
    <t>FLX01540</t>
  </si>
  <si>
    <t>5 anillo soporte celular circular rosa</t>
  </si>
  <si>
    <t>FLX01541</t>
  </si>
  <si>
    <t>5 anillo soporte celular circular variado</t>
  </si>
  <si>
    <t>5 Capacitor electrolitico 6.3V 1800UF 1pack 1</t>
  </si>
  <si>
    <t>FLX00583</t>
  </si>
  <si>
    <t>5 Capacitor electrolitico 6.3V 1800UF 1pack 2</t>
  </si>
  <si>
    <t>5 Conector cople HDMI Full HD</t>
  </si>
  <si>
    <t>5 jack audio de control Xbox One Slim</t>
  </si>
  <si>
    <t>FLX01543</t>
  </si>
  <si>
    <t>5 Pin adaptador micro USB 2.54MM PCB</t>
  </si>
  <si>
    <t>FLX00809</t>
  </si>
  <si>
    <t>5 Pin carga para Galaxy A33 A52 A52S A53 A72 A73 1</t>
  </si>
  <si>
    <t>5 Pin carga para Galaxy A33 A52 A52S A53 A72 A73 2</t>
  </si>
  <si>
    <t>5 Pin carga para Galaxy J1 J3 J5 J7 A10 A02 A6 2</t>
  </si>
  <si>
    <t>5 Pin carga para Galaxy J1 J3 J5 J7 A10 A02 A6 A7</t>
  </si>
  <si>
    <t>5 pin centro puerto carga para Moto G7 Play XT1952</t>
  </si>
  <si>
    <t>FLX01782</t>
  </si>
  <si>
    <t>5 Pin puerto centro carga V3 8 Pin 4 Patas MP3 MP4</t>
  </si>
  <si>
    <t>FLX00459</t>
  </si>
  <si>
    <t>5 Resistencia con teflon 2MM 23.8CM</t>
  </si>
  <si>
    <t>5 Resistencia con teflon 2MM 34.3CM</t>
  </si>
  <si>
    <t>FLX00481</t>
  </si>
  <si>
    <t>5 Tapa USB para Galaxy S5 G900 plata</t>
  </si>
  <si>
    <t>FLX01848</t>
  </si>
  <si>
    <t>Accesorio cubierta camara metal Negro S6 Flat Edge</t>
  </si>
  <si>
    <t>FLX01547</t>
  </si>
  <si>
    <t>Accesorio cubierta camara metal Plata S6 Flat Edge</t>
  </si>
  <si>
    <t>FLX01548</t>
  </si>
  <si>
    <t>Accesorio lente camara para iPhone X gris</t>
  </si>
  <si>
    <t>FLX01549</t>
  </si>
  <si>
    <t>Accesorio lente camara para iPhone X plata</t>
  </si>
  <si>
    <t>FLX01550</t>
  </si>
  <si>
    <t>Activador de baterias</t>
  </si>
  <si>
    <t>FLX02702</t>
  </si>
  <si>
    <t>Actuador para puerta de auto 12V 4A</t>
  </si>
  <si>
    <t>FLX02692</t>
  </si>
  <si>
    <t>Adaptador 6.35MM - 3.5MM estereo</t>
  </si>
  <si>
    <t>FLX01014</t>
  </si>
  <si>
    <t>Adaptador 6.35MM - 3.5MM mono</t>
  </si>
  <si>
    <t>Adaptador 6.35MM - RCA estereo</t>
  </si>
  <si>
    <t>Adaptador 8 a 30 pins para iPhone blanco</t>
  </si>
  <si>
    <t>FLX01552</t>
  </si>
  <si>
    <t>Adaptador AV hembra DC 5.5 x 2.1MM</t>
  </si>
  <si>
    <t>FLX02695</t>
  </si>
  <si>
    <t>Adaptador AV macho DC 5.5 x 2.1MM</t>
  </si>
  <si>
    <t>Adaptador barril cople RCA doble</t>
  </si>
  <si>
    <t>Adaptador cable Share HD HDMI para iPhone Baseus</t>
  </si>
  <si>
    <t>FLX02943</t>
  </si>
  <si>
    <t>Adaptador cambiador genero hembra hembra VGA</t>
  </si>
  <si>
    <t>FLX02761</t>
  </si>
  <si>
    <t>Adaptador cambiador genero macho con macho VGA</t>
  </si>
  <si>
    <t>FLX02762</t>
  </si>
  <si>
    <t>Adaptador cambiador genero macho para hembra VGA</t>
  </si>
  <si>
    <t>FLX02760</t>
  </si>
  <si>
    <t>Adaptador carga para Xperia magnetico negro</t>
  </si>
  <si>
    <t>FLX02283</t>
  </si>
  <si>
    <t>Adaptador cargador para Xperia magnetico blanco</t>
  </si>
  <si>
    <t>Adaptador cargador para Xperia magnetico negro</t>
  </si>
  <si>
    <t>FLX00498</t>
  </si>
  <si>
    <t>Adaptador conector cople HDMI 4K</t>
  </si>
  <si>
    <t>Adaptador conector cople HDMI Full HD</t>
  </si>
  <si>
    <t>Adaptador conector cople HDMI Hembra - Macho 270</t>
  </si>
  <si>
    <t>FLX02612</t>
  </si>
  <si>
    <t>Adaptador conector cople HDMI Hembra - Macho 90</t>
  </si>
  <si>
    <t>FLX02641</t>
  </si>
  <si>
    <t>Adaptador conector cople HDMI Hembra - Macho Recto</t>
  </si>
  <si>
    <t>FLX02640</t>
  </si>
  <si>
    <t>Adaptador convertidor Audio Optico RCA Toslink</t>
  </si>
  <si>
    <t>Adaptador convertidor video AV - HDMI AV2HDMI</t>
  </si>
  <si>
    <t>Adaptador convertidor video AV- VGA AV2VGA</t>
  </si>
  <si>
    <t>FLX01123</t>
  </si>
  <si>
    <t>Adaptador convertidor video HDMI - AV HDMI2AV</t>
  </si>
  <si>
    <t>Adaptador convertidor video HDMI USB C 3.0 Rock</t>
  </si>
  <si>
    <t>FLX01560</t>
  </si>
  <si>
    <t>Adaptador convertidor video VGA - AV</t>
  </si>
  <si>
    <t>FLX01124</t>
  </si>
  <si>
    <t>Adaptador cople RCA triple Audio Video</t>
  </si>
  <si>
    <t>FLX02696</t>
  </si>
  <si>
    <t>Adaptador corriente clavija cargador para iPad 1</t>
  </si>
  <si>
    <t>Adaptador corriente clavija cargador para iPad 2</t>
  </si>
  <si>
    <t>Adaptador divisor 3.5MM - RCA splitter jack</t>
  </si>
  <si>
    <t>Adaptador divisor 3.5MM microfono audifono azul</t>
  </si>
  <si>
    <t>FLX01555</t>
  </si>
  <si>
    <t>Adaptador divisor 3.5MM microfono audifono blanco</t>
  </si>
  <si>
    <t>Adaptador divisor 3.5MM microfono audifono negro</t>
  </si>
  <si>
    <t>Adaptador divisor 3.5MM microfono audifono rojo</t>
  </si>
  <si>
    <t>Adaptador divisor 3.5MM microfono audifono verde</t>
  </si>
  <si>
    <t>Adaptador divisor RCA splitter</t>
  </si>
  <si>
    <t>Adaptador divisor video HDMI splitter</t>
  </si>
  <si>
    <t>FLX02699</t>
  </si>
  <si>
    <t>Adaptador micro USB 30 pins para iPhone iPod iPad</t>
  </si>
  <si>
    <t>FLX03365</t>
  </si>
  <si>
    <t>Adaptador micro USB a C Nillkin 2.5CM Oro</t>
  </si>
  <si>
    <t>FLX01561</t>
  </si>
  <si>
    <t>Adaptador micro USB a C Nillkin 2.5CM Plata</t>
  </si>
  <si>
    <t>FLX01562</t>
  </si>
  <si>
    <t>Adaptador micro USB a C Nillkin 2.5CM Rosa</t>
  </si>
  <si>
    <t>FLX01563</t>
  </si>
  <si>
    <t>Adaptador micro USB a C Rock 2.3CM Blanco</t>
  </si>
  <si>
    <t>FLX01564</t>
  </si>
  <si>
    <t>Adaptador micro USB OTG Blanco</t>
  </si>
  <si>
    <t>Adaptador micro USB OTG Negro</t>
  </si>
  <si>
    <t>Adaptador nano micro sim a sim</t>
  </si>
  <si>
    <t>FLX01300</t>
  </si>
  <si>
    <t>Adaptador pasivo video DVI a VGA 24+1 solo digital</t>
  </si>
  <si>
    <t>FLX01558</t>
  </si>
  <si>
    <t>Adaptador pasivo video DVI a VGA 24+5</t>
  </si>
  <si>
    <t>FLX01559</t>
  </si>
  <si>
    <t>Adaptador pasivo video DVI D a HDMI 24+1</t>
  </si>
  <si>
    <t>Adaptador pasivo video DVI I a HDMI 24+5</t>
  </si>
  <si>
    <t>Adaptador USB C OTG Blanco</t>
  </si>
  <si>
    <t>Adaptador USB C OTG Negro</t>
  </si>
  <si>
    <t>FLX01091</t>
  </si>
  <si>
    <t>Adhesivo fijador bateria para iPhone 11</t>
  </si>
  <si>
    <t>Adhesivo fijador bateria para iPhone 11P</t>
  </si>
  <si>
    <t>FLX01199</t>
  </si>
  <si>
    <t>Adhesivo fijador bateria para iPhone 11PM</t>
  </si>
  <si>
    <t>FLX01200</t>
  </si>
  <si>
    <t>Adhesivo fijador bateria para iPhone 12 / 12 Pro</t>
  </si>
  <si>
    <t>FLX01201</t>
  </si>
  <si>
    <t>Adhesivo fijador bateria para iPhone 12PM</t>
  </si>
  <si>
    <t>FLX01202</t>
  </si>
  <si>
    <t>Adhesivo fijador bateria para iPhone 13</t>
  </si>
  <si>
    <t>Adhesivo fijador bateria para iPhone 13P</t>
  </si>
  <si>
    <t>FLX01204</t>
  </si>
  <si>
    <t>Adhesivo fijador bateria para iPhone 13PM</t>
  </si>
  <si>
    <t>FLX01205</t>
  </si>
  <si>
    <t>Adhesivo fijador bateria para iPhone 4</t>
  </si>
  <si>
    <t>FLX01206</t>
  </si>
  <si>
    <t>Adhesivo fijador bateria para iPhone 5</t>
  </si>
  <si>
    <t>FLX01215</t>
  </si>
  <si>
    <t>Adhesivo fijador bateria para iPhone 5S 5C</t>
  </si>
  <si>
    <t>FLX01207</t>
  </si>
  <si>
    <t>Adhesivo fijador bateria para iPhone 6 6S 7 4.7" 1</t>
  </si>
  <si>
    <t>Adhesivo fijador bateria para iPhone 6 6S 7 4.7" 2</t>
  </si>
  <si>
    <t>FLX02094</t>
  </si>
  <si>
    <t>Adhesivo fijador bateria para iPhone 6 6S 7 Plus 1</t>
  </si>
  <si>
    <t>FLX01210</t>
  </si>
  <si>
    <t>Adhesivo fijador bateria para iPhone 6 6S 7 Plus 2</t>
  </si>
  <si>
    <t>Adhesivo fijador bateria para iPhone 8 4.7" 1</t>
  </si>
  <si>
    <t>FLX00936</t>
  </si>
  <si>
    <t>Adhesivo fijador bateria para iPhone 8 4.7" 2</t>
  </si>
  <si>
    <t>FLX02096</t>
  </si>
  <si>
    <t>Adhesivo fijador bateria para iPhone 8 Plus 5.5" 1</t>
  </si>
  <si>
    <t>FLX00935</t>
  </si>
  <si>
    <t>Adhesivo fijador bateria para iPhone 8 Plus 5.5" 2</t>
  </si>
  <si>
    <t>FLX02097</t>
  </si>
  <si>
    <t>Adhesivo fijador bateria para iPhone X 1</t>
  </si>
  <si>
    <t>Adhesivo fijador bateria para iPhone X 2</t>
  </si>
  <si>
    <t>FLX02095</t>
  </si>
  <si>
    <t>Adhesivo fijador bateria para iPhone XS</t>
  </si>
  <si>
    <t>FLX01213</t>
  </si>
  <si>
    <t>Adhesivo fijador bateria para iPhone XS Max</t>
  </si>
  <si>
    <t>FLX01214</t>
  </si>
  <si>
    <t>Adhesivo OCA para Galaxy S3 0.25MM</t>
  </si>
  <si>
    <t>FLX01266</t>
  </si>
  <si>
    <t>Adhesivo OCA para iPad 10.5 Air 3 Pro 10.5"</t>
  </si>
  <si>
    <t>FLX00623</t>
  </si>
  <si>
    <t>Adhesivo OCA para iPad 9.7</t>
  </si>
  <si>
    <t>FLX00828</t>
  </si>
  <si>
    <t>Adhesivo OCA para iPad Mini 7.9"</t>
  </si>
  <si>
    <t>FLX00619</t>
  </si>
  <si>
    <t>Adhesivo OCA para iPhone 4 4S 0.25MM</t>
  </si>
  <si>
    <t>FLX01411</t>
  </si>
  <si>
    <t>Adhesivo OCA para iPhone 5 5S 5C SE 0.25MM</t>
  </si>
  <si>
    <t>FLX01412</t>
  </si>
  <si>
    <t>Adhesivo OCA para iPhone 6 6S 7 4.7 0.25MM</t>
  </si>
  <si>
    <t>FLX01413</t>
  </si>
  <si>
    <t>Adhesivo OCA para iPhone 6 6S 7 Plus 5.5" 0.25MM</t>
  </si>
  <si>
    <t>FLX01414</t>
  </si>
  <si>
    <t>Adhesivo pantalla para iPhone 11</t>
  </si>
  <si>
    <t>Adhesivo pantalla para iPhone 11P</t>
  </si>
  <si>
    <t>Adhesivo pantalla para iPhone 11PM</t>
  </si>
  <si>
    <t>Adhesivo pantalla para iPhone 12</t>
  </si>
  <si>
    <t>FLX01190</t>
  </si>
  <si>
    <t>Adhesivo pantalla para iPhone 12P</t>
  </si>
  <si>
    <t>FLX01191</t>
  </si>
  <si>
    <t>Adhesivo pantalla para iPhone 12PM</t>
  </si>
  <si>
    <t>Adhesivo pantalla para iPhone 13</t>
  </si>
  <si>
    <t>FLX01193</t>
  </si>
  <si>
    <t>Adhesivo pantalla para iPhone 13P</t>
  </si>
  <si>
    <t>Adhesivo pantalla para iPhone 13PM</t>
  </si>
  <si>
    <t>FLX01195</t>
  </si>
  <si>
    <t>Adhesivo pantalla para iPhone 6S 4.7" blanco</t>
  </si>
  <si>
    <t>FLX00741</t>
  </si>
  <si>
    <t>Adhesivo pantalla para iPhone 6S 4.7" negro</t>
  </si>
  <si>
    <t>FLX00570</t>
  </si>
  <si>
    <t>Adhesivo pantalla para iPhone 6S Plus blanco</t>
  </si>
  <si>
    <t>FLX00573</t>
  </si>
  <si>
    <t>Adhesivo pantalla para iPhone 6S Plus negro</t>
  </si>
  <si>
    <t>Adhesivo pantalla para iPhone 7 4.7" blanco</t>
  </si>
  <si>
    <t>FLX00569</t>
  </si>
  <si>
    <t>Adhesivo pantalla para iPhone 7 4.7" negro</t>
  </si>
  <si>
    <t>Adhesivo pantalla para iPhone 7 Plus blanco</t>
  </si>
  <si>
    <t>FLX00549</t>
  </si>
  <si>
    <t>Adhesivo pantalla para iPhone 7 Plus negro</t>
  </si>
  <si>
    <t>FLX01196</t>
  </si>
  <si>
    <t>Adhesivo pantalla para iPhone 8 4.7" blanco</t>
  </si>
  <si>
    <t>Adhesivo pantalla para iPhone 8 4.7" negro</t>
  </si>
  <si>
    <t>Adhesivo pantalla para iPhone 8 Plus blanco</t>
  </si>
  <si>
    <t>FLX00650</t>
  </si>
  <si>
    <t>Adhesivo pantalla para iPhone 8 Plus negro</t>
  </si>
  <si>
    <t>Adhesivo pantalla para iPhone X</t>
  </si>
  <si>
    <t>Adhesivo pantalla para iPhone XR</t>
  </si>
  <si>
    <t>Adhesivo pantalla para iPhone XS</t>
  </si>
  <si>
    <t>Adhesivo pantalla para iPhone XS Max</t>
  </si>
  <si>
    <t>Adhesivo para Galaxy A3 2016 A310 tapa</t>
  </si>
  <si>
    <t>FLX01617</t>
  </si>
  <si>
    <t>Adhesivo para Galaxy A3 2017 A320 tapa</t>
  </si>
  <si>
    <t>FLX01618</t>
  </si>
  <si>
    <t>Adhesivo para Galaxy A3 pantalla</t>
  </si>
  <si>
    <t>FLX01575</t>
  </si>
  <si>
    <t>Adhesivo para Galaxy A7 2016 A710 tapa</t>
  </si>
  <si>
    <t>FLX01619</t>
  </si>
  <si>
    <t>Adhesivo para Galaxy A7 2017 A720 pantalla</t>
  </si>
  <si>
    <t>FLX01597</t>
  </si>
  <si>
    <t>Adhesivo para Galaxy Ace touch</t>
  </si>
  <si>
    <t>FLX00618</t>
  </si>
  <si>
    <t>Adhesivo para Galaxy Alpha G850 pantalla</t>
  </si>
  <si>
    <t>FLX01615</t>
  </si>
  <si>
    <t>Adhesivo para Galaxy C5 pantalla</t>
  </si>
  <si>
    <t>FLX01595</t>
  </si>
  <si>
    <t>Adhesivo para Galaxy C7 pantalla</t>
  </si>
  <si>
    <t>FLX01596</t>
  </si>
  <si>
    <t>Adhesivo para Galaxy J3 2016 J320 pantalla</t>
  </si>
  <si>
    <t>FLX01588</t>
  </si>
  <si>
    <t>Adhesivo para Galaxy J5 G570 pantalla</t>
  </si>
  <si>
    <t>FLX01587</t>
  </si>
  <si>
    <t>Adhesivo para Galaxy J5 J500 pantalla</t>
  </si>
  <si>
    <t>FLX01577</t>
  </si>
  <si>
    <t>Adhesivo para Galaxy Note 2 N7100 cristal</t>
  </si>
  <si>
    <t>FLX02931</t>
  </si>
  <si>
    <t>Adhesivo para Galaxy Note 2 N7100 marco</t>
  </si>
  <si>
    <t>FLX01614</t>
  </si>
  <si>
    <t>Adhesivo para Galaxy Note 3 N900 cristal</t>
  </si>
  <si>
    <t>FLX02932</t>
  </si>
  <si>
    <t>Adhesivo para Galaxy Note 4 N910 pantalla</t>
  </si>
  <si>
    <t>FLX01584</t>
  </si>
  <si>
    <t>Adhesivo para Galaxy Note 5 N920 pantalla</t>
  </si>
  <si>
    <t>FLX01585</t>
  </si>
  <si>
    <t>Adhesivo para Galaxy Note 5 N920 tapa</t>
  </si>
  <si>
    <t>FLX01620</t>
  </si>
  <si>
    <t>Adhesivo para Galaxy S2 I9100 cristal</t>
  </si>
  <si>
    <t>FLX02933</t>
  </si>
  <si>
    <t>Adhesivo para Galaxy S3 Mini i8190 cristal</t>
  </si>
  <si>
    <t>FLX02935</t>
  </si>
  <si>
    <t>Adhesivo para Galaxy S4 Active i9295 pantalla</t>
  </si>
  <si>
    <t>FLX01602</t>
  </si>
  <si>
    <t>Adhesivo para Galaxy S4 I337 cristal</t>
  </si>
  <si>
    <t>FLX02067</t>
  </si>
  <si>
    <t>Adhesivo para Galaxy S4 Mini i9190 cristal</t>
  </si>
  <si>
    <t>FLX02934</t>
  </si>
  <si>
    <t>Adhesivo para Galaxy S5 G900 pantalla</t>
  </si>
  <si>
    <t>FLX01578</t>
  </si>
  <si>
    <t>Adhesivo para Galaxy S6 Edge pantalla</t>
  </si>
  <si>
    <t>FLX01574</t>
  </si>
  <si>
    <t>Adhesivo para Galaxy S6 Edge tapa</t>
  </si>
  <si>
    <t>FLX01580</t>
  </si>
  <si>
    <t>Adhesivo para Galaxy S6 G920 pantalla</t>
  </si>
  <si>
    <t>FLX01579</t>
  </si>
  <si>
    <t>Adhesivo para Galaxy S6 G920 tapa</t>
  </si>
  <si>
    <t>FLX01581</t>
  </si>
  <si>
    <t>Adhesivo para Galaxy S7 Edge complemento pantalla</t>
  </si>
  <si>
    <t>FLX01605</t>
  </si>
  <si>
    <t>Adhesivo para Galaxy S7 Edge pantalla</t>
  </si>
  <si>
    <t>FLX01609</t>
  </si>
  <si>
    <t>Adhesivo para Galaxy S7 G930 / Edge</t>
  </si>
  <si>
    <t>FLX01572</t>
  </si>
  <si>
    <t>Adhesivo para Galaxy S7 G930 pantalla</t>
  </si>
  <si>
    <t>FLX01576</t>
  </si>
  <si>
    <t>Adhesivo para Galaxy S7 G930 tapa</t>
  </si>
  <si>
    <t>FLX01582</t>
  </si>
  <si>
    <t>Adhesivo para Galaxy S7 G930 tapa camara pantalla</t>
  </si>
  <si>
    <t>FLX01573</t>
  </si>
  <si>
    <t>Adhesivo para Galaxy S8 G950 camara</t>
  </si>
  <si>
    <t>FLX01570</t>
  </si>
  <si>
    <t>Adhesivo para Galaxy S8 Plus camara</t>
  </si>
  <si>
    <t>FLX01571</t>
  </si>
  <si>
    <t>Adhesivo para iPad 3 y 4 touch</t>
  </si>
  <si>
    <t>FLX01583</t>
  </si>
  <si>
    <t>Adhesivo para iPad 3 y 4 touch negro</t>
  </si>
  <si>
    <t>FLX02929</t>
  </si>
  <si>
    <t>Adhesivo para iPad Air 2 touch negro</t>
  </si>
  <si>
    <t>FLX02930</t>
  </si>
  <si>
    <t>Adhesivo para iPad Air touch negro</t>
  </si>
  <si>
    <t>FLX02937</t>
  </si>
  <si>
    <t>Adhesivo para iPad Mini 3 touch</t>
  </si>
  <si>
    <t>FLX02927</t>
  </si>
  <si>
    <t>Adhesivo para iPad Mini 4 touch</t>
  </si>
  <si>
    <t>FLX02928</t>
  </si>
  <si>
    <t>Adhesivo para iPhone 3g 3gs</t>
  </si>
  <si>
    <t>FLX01637</t>
  </si>
  <si>
    <t>Adhesivo para iPhone 4 anti estático tapa</t>
  </si>
  <si>
    <t>FLX01569</t>
  </si>
  <si>
    <t>Adhesivo para iPhone 4s marco</t>
  </si>
  <si>
    <t>FLX01636</t>
  </si>
  <si>
    <t>Adhesivo para iPhone 5 5S cristal vidrio trasero</t>
  </si>
  <si>
    <t>FLX01566</t>
  </si>
  <si>
    <t>Adhesivo para iPhone 5 cristal</t>
  </si>
  <si>
    <t>FLX01818</t>
  </si>
  <si>
    <t>Adhesivo para iPhone 6 cristal</t>
  </si>
  <si>
    <t>FLX01567</t>
  </si>
  <si>
    <t>Adhesivo para iPhone 6 Plus cristal</t>
  </si>
  <si>
    <t>FLX01568</t>
  </si>
  <si>
    <t>Adhesivo para iPhone X tapa</t>
  </si>
  <si>
    <t>FLX00572</t>
  </si>
  <si>
    <t>Adhesivo para Moto Z Play tapa</t>
  </si>
  <si>
    <t>FLX01616</t>
  </si>
  <si>
    <t>Adhesivo para Motorola Nexus 6 tapa</t>
  </si>
  <si>
    <t>FLX01631</t>
  </si>
  <si>
    <t>Adhesivo para Xperia E3 pantalla</t>
  </si>
  <si>
    <t>FLX01611</t>
  </si>
  <si>
    <t>Adhesivo para Xperia M2 pantalla</t>
  </si>
  <si>
    <t>FLX01604</t>
  </si>
  <si>
    <t>Adhesivo para Xperia M2 tapa</t>
  </si>
  <si>
    <t>FLX01621</t>
  </si>
  <si>
    <t>Adhesivo para Xperia M4 pantalla</t>
  </si>
  <si>
    <t>FLX01612</t>
  </si>
  <si>
    <t>Adhesivo para Xperia M5 pantalla</t>
  </si>
  <si>
    <t>FLX01586</t>
  </si>
  <si>
    <t>Adhesivo para Xperia M5 tapa</t>
  </si>
  <si>
    <t>FLX01622</t>
  </si>
  <si>
    <t>Adhesivo para Xperia T3 pantalla</t>
  </si>
  <si>
    <t>FLX01589</t>
  </si>
  <si>
    <t>Adhesivo para Xperia X Compact pantalla</t>
  </si>
  <si>
    <t>FLX01613</t>
  </si>
  <si>
    <t>Adhesivo para Xperia X Compact tapa</t>
  </si>
  <si>
    <t>FLX01632</t>
  </si>
  <si>
    <t>Adhesivo para Xperia XA marco</t>
  </si>
  <si>
    <t>FLX01601</t>
  </si>
  <si>
    <t>Adhesivo para Xperia XA pantalla</t>
  </si>
  <si>
    <t>FLX01598</t>
  </si>
  <si>
    <t>Adhesivo para Xperia XZ  tapa</t>
  </si>
  <si>
    <t>FLX01633</t>
  </si>
  <si>
    <t>Adhesivo para Xperia XZ Premium pantalla</t>
  </si>
  <si>
    <t>FLX01599</t>
  </si>
  <si>
    <t>Adhesivo para Xperia XZ1 Compact pantalla</t>
  </si>
  <si>
    <t>FLX01600</t>
  </si>
  <si>
    <t>Adhesivo para Xperia Z pantalla</t>
  </si>
  <si>
    <t>FLX01590</t>
  </si>
  <si>
    <t>Adhesivo para Xperia Z tapa</t>
  </si>
  <si>
    <t>FLX01630</t>
  </si>
  <si>
    <t>Adhesivo para Xperia Z1 Compact marco</t>
  </si>
  <si>
    <t>FLX01591</t>
  </si>
  <si>
    <t>Adhesivo para Xperia Z1 Compact pantalla</t>
  </si>
  <si>
    <t>FLX01603</t>
  </si>
  <si>
    <t>Adhesivo para Xperia Z1 Compact tapa</t>
  </si>
  <si>
    <t>FLX01623</t>
  </si>
  <si>
    <t>Adhesivo para Xperia Z1 pantalla</t>
  </si>
  <si>
    <t>FLX01592</t>
  </si>
  <si>
    <t>Adhesivo para Xperia Z1 tapa</t>
  </si>
  <si>
    <t>FLX01624</t>
  </si>
  <si>
    <t>Adhesivo para Xperia Z2 pantalla</t>
  </si>
  <si>
    <t>FLX01594</t>
  </si>
  <si>
    <t>Adhesivo para Xperia Z2 tapa</t>
  </si>
  <si>
    <t>FLX01625</t>
  </si>
  <si>
    <t>Adhesivo para Xperia Z3 Compact tapa</t>
  </si>
  <si>
    <t>FLX01626</t>
  </si>
  <si>
    <t>Adhesivo para Xperia Z3 pantalla</t>
  </si>
  <si>
    <t>FLX00526</t>
  </si>
  <si>
    <t>Adhesivo para Xperia Z3 tapa</t>
  </si>
  <si>
    <t>FLX01627</t>
  </si>
  <si>
    <t>Adhesivo para Xperia Z3+ Plus pantalla</t>
  </si>
  <si>
    <t>FLX01593</t>
  </si>
  <si>
    <t>Adhesivo para Xperia Z3+ Plus tapa</t>
  </si>
  <si>
    <t>FLX01628</t>
  </si>
  <si>
    <t>Adhesivo para Xperia Z5 caliente pantalla</t>
  </si>
  <si>
    <t>FLX01606</t>
  </si>
  <si>
    <t>Adhesivo para Xperia Z5 Compact caliente pantalla</t>
  </si>
  <si>
    <t>FLX01608</t>
  </si>
  <si>
    <t>Adhesivo para Xperia Z5 Compact pantalla</t>
  </si>
  <si>
    <t>FLX01610</t>
  </si>
  <si>
    <t>Adhesivo para Xperia Z5 Compact tapa</t>
  </si>
  <si>
    <t>FLX01629</t>
  </si>
  <si>
    <t>Adhesivo para Xperia Z5 Premium caliente pantalla</t>
  </si>
  <si>
    <t>FLX01607</t>
  </si>
  <si>
    <t>Adhesivo para Xperia Z5 Premium tapa</t>
  </si>
  <si>
    <t>FLX01635</t>
  </si>
  <si>
    <t>Adhesivo para Xperia Z5 tapa</t>
  </si>
  <si>
    <t>FLX01634</t>
  </si>
  <si>
    <t>Adhesivo pegamento optico LOCA UV 50gr 1</t>
  </si>
  <si>
    <t>Adhesivo pegamento optico LOCA UV 50gr 2</t>
  </si>
  <si>
    <t>FLX02268</t>
  </si>
  <si>
    <t>Adhesivo pegamento optico LOCA UV 5ml</t>
  </si>
  <si>
    <t>FLX01143</t>
  </si>
  <si>
    <t>Adhesivo pegamento T7000 negro 15ML</t>
  </si>
  <si>
    <t>FLX02697</t>
  </si>
  <si>
    <t>Adhesivo pegamento UV B7000 110ML</t>
  </si>
  <si>
    <t>FLX02936</t>
  </si>
  <si>
    <t>Adhesivo pegamento UV B7000 15ML Transparente</t>
  </si>
  <si>
    <t>Anillo circular POP azul claro</t>
  </si>
  <si>
    <t>FLX01655</t>
  </si>
  <si>
    <t>Anillo circular POP azul fuerte</t>
  </si>
  <si>
    <t>FLX02514</t>
  </si>
  <si>
    <t>Anillo circular POP blanco</t>
  </si>
  <si>
    <t>FLX01656</t>
  </si>
  <si>
    <t>Anillo circular POP gris</t>
  </si>
  <si>
    <t>FLX01660</t>
  </si>
  <si>
    <t>Anillo circular POP morado</t>
  </si>
  <si>
    <t>FLX02513</t>
  </si>
  <si>
    <t>Anillo circular POP naranja</t>
  </si>
  <si>
    <t>FLX01657</t>
  </si>
  <si>
    <t>Anillo circular POP negro</t>
  </si>
  <si>
    <t>FLX01658</t>
  </si>
  <si>
    <t>Anillo circular POP rojo</t>
  </si>
  <si>
    <t>FLX01659</t>
  </si>
  <si>
    <t>Anillo circular POP verde</t>
  </si>
  <si>
    <t>FLX01661</t>
  </si>
  <si>
    <t>Anillo soporte celular circular azul 1</t>
  </si>
  <si>
    <t>FLX01115</t>
  </si>
  <si>
    <t>Anillo soporte celular circular azul 2</t>
  </si>
  <si>
    <t>Anillo soporte celular circular BARATO azul</t>
  </si>
  <si>
    <t>FLX03936</t>
  </si>
  <si>
    <t>Anillo soporte celular circular negro 1</t>
  </si>
  <si>
    <t>FLX01112</t>
  </si>
  <si>
    <t>Anillo soporte celular circular negro 2</t>
  </si>
  <si>
    <t>Anillo soporte celular circular oro 1</t>
  </si>
  <si>
    <t>FLX01113</t>
  </si>
  <si>
    <t>Anillo soporte celular circular oro 2</t>
  </si>
  <si>
    <t>Anillo soporte celular circular plata 1</t>
  </si>
  <si>
    <t>FLX01111</t>
  </si>
  <si>
    <t>Anillo soporte celular circular plata 2</t>
  </si>
  <si>
    <t>Anillo soporte celular circular rosa 1</t>
  </si>
  <si>
    <t>FLX01114</t>
  </si>
  <si>
    <t>Anillo soporte celular circular rosa 2</t>
  </si>
  <si>
    <t>Anillo soporte celular magnetico azul</t>
  </si>
  <si>
    <t>Anillo soporte celular magnetico gris</t>
  </si>
  <si>
    <t>FLX00840</t>
  </si>
  <si>
    <t>Anillo soporte celular magnetico negro</t>
  </si>
  <si>
    <t>Anillo soporte celular magnetico rojo</t>
  </si>
  <si>
    <t>FLX00838</t>
  </si>
  <si>
    <t>Anillo soporte celular magnetico rosa</t>
  </si>
  <si>
    <t>FLX00839</t>
  </si>
  <si>
    <t>Anillo soporte celular magnetico verde</t>
  </si>
  <si>
    <t>FLX00837</t>
  </si>
  <si>
    <t>Anillo soporte celular oval negro</t>
  </si>
  <si>
    <t>Anillo soporte celular oval oro</t>
  </si>
  <si>
    <t>FLX01663</t>
  </si>
  <si>
    <t>Anillo soporte celular oval plata</t>
  </si>
  <si>
    <t>FLX01664</t>
  </si>
  <si>
    <t>Anillo soporte celular oval rosa</t>
  </si>
  <si>
    <t>FLX01665</t>
  </si>
  <si>
    <t>Anillo soporte celular rectangular azul</t>
  </si>
  <si>
    <t>Anillo soporte celular rectangular negro</t>
  </si>
  <si>
    <t>Anillo soporte celular rectangular oro</t>
  </si>
  <si>
    <t>Anillo soporte celular rectangular plata</t>
  </si>
  <si>
    <t>Anillo soporte celular rectangular rosa</t>
  </si>
  <si>
    <t>Anillo soporte circular celular negro</t>
  </si>
  <si>
    <t>Anillo soporte circular celular oro</t>
  </si>
  <si>
    <t>Anillo soporte circular celular plata</t>
  </si>
  <si>
    <t>Anillo soporte circular celular rosa</t>
  </si>
  <si>
    <t>Anillo soporte forma gota celular negro</t>
  </si>
  <si>
    <t>Anillo soporte forma gota celular oro</t>
  </si>
  <si>
    <t>Anillo soporte forma gota celular plata</t>
  </si>
  <si>
    <t>Anillo soporte forma gota celular rosa</t>
  </si>
  <si>
    <t>Antena para Galaxy Ace señal GSM</t>
  </si>
  <si>
    <t>FLX03490</t>
  </si>
  <si>
    <t>Antena para Galaxy Nexus I9250</t>
  </si>
  <si>
    <t>FLX02129</t>
  </si>
  <si>
    <t>Antena para Galaxy Note 2 N7100 I317</t>
  </si>
  <si>
    <t>FLX02082</t>
  </si>
  <si>
    <t>Antena para Galaxy Note 3 N900</t>
  </si>
  <si>
    <t>FLX01832</t>
  </si>
  <si>
    <t>Antena para Galaxy S2 i9100 GSM</t>
  </si>
  <si>
    <t>FLX01675</t>
  </si>
  <si>
    <t>Antena para Galaxy S4 i9500 i337 M919 GSM</t>
  </si>
  <si>
    <t>FLX01864</t>
  </si>
  <si>
    <t>Antena para iPhone 6 4.7 tarjeta logica</t>
  </si>
  <si>
    <t>FLX00903</t>
  </si>
  <si>
    <t>Antena para iPhone 8 wifi GPS</t>
  </si>
  <si>
    <t>FLX00210</t>
  </si>
  <si>
    <t>Antena para Nexus 4 GSM</t>
  </si>
  <si>
    <t>FLX01889</t>
  </si>
  <si>
    <t>Antena para Nokia Lumia 920 inferior principal</t>
  </si>
  <si>
    <t>FLX03398</t>
  </si>
  <si>
    <t>Antena para Xperia Z L36h GSM</t>
  </si>
  <si>
    <t>FLX03680</t>
  </si>
  <si>
    <t>Antena para Xperia Z1 C6902 L39h GSM</t>
  </si>
  <si>
    <t>FLX01792</t>
  </si>
  <si>
    <t>Antena para Xperia Z3 Compact señal GSM</t>
  </si>
  <si>
    <t>FLX03627</t>
  </si>
  <si>
    <t>Antena para Xperia Z3+ señal GSM</t>
  </si>
  <si>
    <t>FLX03772</t>
  </si>
  <si>
    <t>Antena para Xperia Z5 señal GSM</t>
  </si>
  <si>
    <t>FLX03775</t>
  </si>
  <si>
    <t>Audifonos L5 1.1M con microfono negro</t>
  </si>
  <si>
    <t>FLX01686</t>
  </si>
  <si>
    <t>Audifonos manos libres genericos</t>
  </si>
  <si>
    <t>FLX03391</t>
  </si>
  <si>
    <t>Auricular Awei bluetooth 4.0 gris</t>
  </si>
  <si>
    <t>FLX02187</t>
  </si>
  <si>
    <t>Auricular Awei bluetooth 4.0 oro rosado</t>
  </si>
  <si>
    <t>FLX03735</t>
  </si>
  <si>
    <t>Auricular stereo bluetooth 4.0 blanco</t>
  </si>
  <si>
    <t>FLX03734</t>
  </si>
  <si>
    <t>Auricular stereo bluetooth 4.0 negro</t>
  </si>
  <si>
    <t>FLX03733</t>
  </si>
  <si>
    <t>Bandeja para Galaxy A02 A022 azul</t>
  </si>
  <si>
    <t>FLX01690</t>
  </si>
  <si>
    <t>Bandeja para Galaxy A02 A022 negro 1</t>
  </si>
  <si>
    <t>Bandeja para Galaxy A02 A022 negro 2</t>
  </si>
  <si>
    <t>Bandeja para Galaxy A02S A025 negro</t>
  </si>
  <si>
    <t>Bandeja para Galaxy A04 A045 negro</t>
  </si>
  <si>
    <t>Bandeja para Galaxy A04S A047 negro</t>
  </si>
  <si>
    <t>Bandeja para Galaxy A10 A105 azul 1</t>
  </si>
  <si>
    <t>FLX00709</t>
  </si>
  <si>
    <t>Bandeja para Galaxy A10 A105 azul 2</t>
  </si>
  <si>
    <t>FLX02520</t>
  </si>
  <si>
    <t>Bandeja para Galaxy A10 A105 negro 2</t>
  </si>
  <si>
    <t>FLX02519</t>
  </si>
  <si>
    <t>Bandeja para Galaxy A10S A107 azul</t>
  </si>
  <si>
    <t>FLX00554</t>
  </si>
  <si>
    <t>Bandeja para Galaxy A10S A107 negro</t>
  </si>
  <si>
    <t>Bandeja para Galaxy A11 A115 azul</t>
  </si>
  <si>
    <t>Bandeja para Galaxy A11 A115 blanco</t>
  </si>
  <si>
    <t>FLX00702</t>
  </si>
  <si>
    <t>Bandeja para Galaxy A11 A115 negro 1</t>
  </si>
  <si>
    <t>Bandeja para Galaxy A11 A115 negro 2</t>
  </si>
  <si>
    <t>FLX02266</t>
  </si>
  <si>
    <t>Bandeja para Galaxy A12 A125 azul</t>
  </si>
  <si>
    <t>Bandeja para Galaxy A12 A125 negro</t>
  </si>
  <si>
    <t>Bandeja para Galaxy A13 A135 azul</t>
  </si>
  <si>
    <t>Bandeja para Galaxy A13 A135 negro</t>
  </si>
  <si>
    <t>Bandeja para Galaxy A20S A207 negro</t>
  </si>
  <si>
    <t>Bandeja para Galaxy A21 A215 negro 1</t>
  </si>
  <si>
    <t>FLX00673</t>
  </si>
  <si>
    <t>Bandeja para Galaxy A21 A215 negro 2</t>
  </si>
  <si>
    <t>FLX02265</t>
  </si>
  <si>
    <t>Bandeja para Galaxy A21S A217 azul</t>
  </si>
  <si>
    <t>FLX00704</t>
  </si>
  <si>
    <t>Bandeja para Galaxy A21S A217 negro 1</t>
  </si>
  <si>
    <t>FLX00791</t>
  </si>
  <si>
    <t>Bandeja para Galaxy A21S A217 negro 2</t>
  </si>
  <si>
    <t>Bandeja para Galaxy A22 A225 negro</t>
  </si>
  <si>
    <t>Bandeja para Galaxy A23 A236 5G azul</t>
  </si>
  <si>
    <t>Bandeja para Galaxy A23 A236 5G negro</t>
  </si>
  <si>
    <t>Bandeja para Galaxy A24 A245 negro</t>
  </si>
  <si>
    <t>Bandeja para Galaxy A3 A5 A7 blanco sim y memoria</t>
  </si>
  <si>
    <t>Bandeja para Galaxy A3 A5 A7 negro sim y memoria</t>
  </si>
  <si>
    <t>FLX03009</t>
  </si>
  <si>
    <t>Bandeja para Galaxy A30S A307 negro</t>
  </si>
  <si>
    <t>Bandeja para Galaxy A30S A307 verde</t>
  </si>
  <si>
    <t>Bandeja para Galaxy A31 A315 azul</t>
  </si>
  <si>
    <t>FLX00716</t>
  </si>
  <si>
    <t>Bandeja para Galaxy A31 A315 negro</t>
  </si>
  <si>
    <t>FLX00717</t>
  </si>
  <si>
    <t>Bandeja para Galaxy A32 A325 4G azul 1</t>
  </si>
  <si>
    <t>FLX00816</t>
  </si>
  <si>
    <t>Bandeja para Galaxy A32 A325 4G azul 2</t>
  </si>
  <si>
    <t>Bandeja para Galaxy A32 A325 4G negro 1</t>
  </si>
  <si>
    <t>Bandeja para Galaxy A32 A325 4G negro 2</t>
  </si>
  <si>
    <t>Bandeja para Galaxy A32 A326 5G azul</t>
  </si>
  <si>
    <t>FLX00817</t>
  </si>
  <si>
    <t>Bandeja para Galaxy A32 A326 5G negro</t>
  </si>
  <si>
    <t>FLX00818</t>
  </si>
  <si>
    <t>Bandeja para Galaxy A5 A3 blanco 2 memoria</t>
  </si>
  <si>
    <t>FLX02961</t>
  </si>
  <si>
    <t>Bandeja para Galaxy A5 A7 2017 negro</t>
  </si>
  <si>
    <t>FLX03008</t>
  </si>
  <si>
    <t>Bandeja para Galaxy A51 A515 azul 1</t>
  </si>
  <si>
    <t>Bandeja para Galaxy A51 A515 azul 2</t>
  </si>
  <si>
    <t>FLX02263</t>
  </si>
  <si>
    <t>Bandeja para Galaxy A51 A515 negro 1</t>
  </si>
  <si>
    <t>Bandeja para Galaxy A51 A515 negro 2</t>
  </si>
  <si>
    <t>Bandeja para Galaxy A52 / A52S azul</t>
  </si>
  <si>
    <t>FLX02664</t>
  </si>
  <si>
    <t>Bandeja para Galaxy A52 / A52S blanco</t>
  </si>
  <si>
    <t>FLX02665</t>
  </si>
  <si>
    <t>Bandeja para Galaxy A52 / A52S negro 1</t>
  </si>
  <si>
    <t>Bandeja para Galaxy A52 / A52S negro 2</t>
  </si>
  <si>
    <t>FLX02725</t>
  </si>
  <si>
    <t>Bandeja para Galaxy Core A01 A013 azul</t>
  </si>
  <si>
    <t>FLX00706</t>
  </si>
  <si>
    <t>Bandeja para Galaxy Core A01 A013 negro</t>
  </si>
  <si>
    <t>FLX00705</t>
  </si>
  <si>
    <t>Bandeja para Galaxy J5 J7 2017 oro sim y memoria</t>
  </si>
  <si>
    <t>FLX03007</t>
  </si>
  <si>
    <t>Bandeja para Galaxy Note 8 N950 azul</t>
  </si>
  <si>
    <t>FLX02559</t>
  </si>
  <si>
    <t>Bandeja para Galaxy Note 8 N950 negro</t>
  </si>
  <si>
    <t>Bandeja para Galaxy Note 8 N950 oro</t>
  </si>
  <si>
    <t>FLX02558</t>
  </si>
  <si>
    <t>Bandeja para Galaxy Note 8 N950 plata gris</t>
  </si>
  <si>
    <t>FLX02560</t>
  </si>
  <si>
    <t>Bandeja para Galaxy Note 9 N960 morado</t>
  </si>
  <si>
    <t>FLX02561</t>
  </si>
  <si>
    <t>Bandeja para Galaxy Note 9 N960 negro</t>
  </si>
  <si>
    <t>FLX02562</t>
  </si>
  <si>
    <t>Bandeja para Galaxy S6 Edge G925 oro</t>
  </si>
  <si>
    <t>FLX01827</t>
  </si>
  <si>
    <t>Bandeja para Galaxy S6 Edge G925 plata</t>
  </si>
  <si>
    <t>FLX01828</t>
  </si>
  <si>
    <t>Bandeja para Galaxy S6 G920 plata</t>
  </si>
  <si>
    <t>FLX03006</t>
  </si>
  <si>
    <t>Bandeja para Galaxy S7 Edge G935 oro</t>
  </si>
  <si>
    <t>FLX03005</t>
  </si>
  <si>
    <t>Bandeja para Galaxy S7 G930 rosa</t>
  </si>
  <si>
    <t>FLX03004</t>
  </si>
  <si>
    <t>Bandeja para Galaxy S8 / S8 Plus dual azul</t>
  </si>
  <si>
    <t>FLX03003</t>
  </si>
  <si>
    <t>Bandeja para Galaxy S8 / S8 Plus dual gris</t>
  </si>
  <si>
    <t>FLX03002</t>
  </si>
  <si>
    <t>Bandeja para Galaxy S8 / S8 Plus dual oro</t>
  </si>
  <si>
    <t>FLX03001</t>
  </si>
  <si>
    <t>Bandeja para Galaxy S8 / S8 Plus dual rosa</t>
  </si>
  <si>
    <t>FLX03000</t>
  </si>
  <si>
    <t>Bandeja para Galaxy S8 / S8 Plus single plata</t>
  </si>
  <si>
    <t>FLX02999</t>
  </si>
  <si>
    <t>Bandeja para Galaxy S8 / S8 Plus single rosa</t>
  </si>
  <si>
    <t>FLX02998</t>
  </si>
  <si>
    <t>Bandeja para HTC 10 negro sim y memoria</t>
  </si>
  <si>
    <t>FLX02055</t>
  </si>
  <si>
    <t>Bandeja para HTC 10 plata sim y memoria</t>
  </si>
  <si>
    <t>FLX02054</t>
  </si>
  <si>
    <t>Bandeja para HTC 10 rojo sim y memoria</t>
  </si>
  <si>
    <t>FLX02053</t>
  </si>
  <si>
    <t>Bandeja para HTC A9 plata sim y memoria</t>
  </si>
  <si>
    <t>FLX01851</t>
  </si>
  <si>
    <t>Bandeja para HTC Desire 626 826 negro</t>
  </si>
  <si>
    <t>FLX01760</t>
  </si>
  <si>
    <t>Bandeja para HTC Desire 626S</t>
  </si>
  <si>
    <t>FLX00771</t>
  </si>
  <si>
    <t>Bandeja para HTC Desire 820</t>
  </si>
  <si>
    <t>FLX02121</t>
  </si>
  <si>
    <t>Bandeja para HTC M8 gris</t>
  </si>
  <si>
    <t>FLX02969</t>
  </si>
  <si>
    <t>Bandeja para HTC M8 gris memoria</t>
  </si>
  <si>
    <t>FLX02965</t>
  </si>
  <si>
    <t>Bandeja para HTC M8 oro</t>
  </si>
  <si>
    <t>FLX02966</t>
  </si>
  <si>
    <t>Bandeja para HTC M8 oro memoria</t>
  </si>
  <si>
    <t>FLX02970</t>
  </si>
  <si>
    <t>Bandeja para HTC M8 plata memoria</t>
  </si>
  <si>
    <t>FLX02971</t>
  </si>
  <si>
    <t>Bandeja para HTC M8 rojo</t>
  </si>
  <si>
    <t>FLX02997</t>
  </si>
  <si>
    <t>Bandeja para HTC One X S720E G23</t>
  </si>
  <si>
    <t>FLX02089</t>
  </si>
  <si>
    <t>Bandeja para Huawei Ascend P6 P6-U06 blanco</t>
  </si>
  <si>
    <t>FLX02145</t>
  </si>
  <si>
    <t>Bandeja para Huawei Ascend P6 P6-U06 negro</t>
  </si>
  <si>
    <t>FLX02087</t>
  </si>
  <si>
    <t>Bandeja para Huawei Ascend P7 P7-L10 blanco</t>
  </si>
  <si>
    <t>FLX02086</t>
  </si>
  <si>
    <t>Bandeja para Huawei Ascend P7 P7-L10 negro</t>
  </si>
  <si>
    <t>FLX02996</t>
  </si>
  <si>
    <t>Bandeja para Huawei GR3 gris sim y memoria</t>
  </si>
  <si>
    <t>FLX01914</t>
  </si>
  <si>
    <t>Bandeja para Huawei GR3 plata sim y memoria</t>
  </si>
  <si>
    <t>FLX01915</t>
  </si>
  <si>
    <t>Bandeja para Huawei GW Metal Y7 Prime oro</t>
  </si>
  <si>
    <t>FLX02995</t>
  </si>
  <si>
    <t>Bandeja para Huawei Nexus 6P H1511 plata</t>
  </si>
  <si>
    <t>FLX01859</t>
  </si>
  <si>
    <t>Bandeja para Huawei Nova 3 PAR-LX1 azul</t>
  </si>
  <si>
    <t>FLX02666</t>
  </si>
  <si>
    <t>Bandeja para Huawei Nova 3 PAR-LX1 morado</t>
  </si>
  <si>
    <t>FLX00714</t>
  </si>
  <si>
    <t>Bandeja para Huawei Nova 3 PAR-LX1 negro</t>
  </si>
  <si>
    <t>Bandeja para Huawei Nova 5T YAL-L21 negro</t>
  </si>
  <si>
    <t>Bandeja para Huawei P Smart 2019 POT-LX1 negro</t>
  </si>
  <si>
    <t>Bandeja para Huawei P Smart 2021 PPA-LX1 negro</t>
  </si>
  <si>
    <t>FLX01696</t>
  </si>
  <si>
    <t>Bandeja para Huawei P Smart FIG-LX1 azul</t>
  </si>
  <si>
    <t>FLX01925</t>
  </si>
  <si>
    <t>Bandeja para Huawei P Smart FIG-LX1 negro</t>
  </si>
  <si>
    <t>FLX01926</t>
  </si>
  <si>
    <t>Bandeja para Huawei P10 Selfie BAC-L01 negro</t>
  </si>
  <si>
    <t>FLX00594</t>
  </si>
  <si>
    <t>Bandeja para Huawei P10 VTR-L29 azul</t>
  </si>
  <si>
    <t>FLX02075</t>
  </si>
  <si>
    <t>Bandeja para Huawei P10 VTR-L29 negro</t>
  </si>
  <si>
    <t>FLX02074</t>
  </si>
  <si>
    <t>Bandeja para Huawei P10 VTR-L29 plata</t>
  </si>
  <si>
    <t>FLX02073</t>
  </si>
  <si>
    <t>Bandeja para Huawei P10 VTR-L29 verde</t>
  </si>
  <si>
    <t>FLX02072</t>
  </si>
  <si>
    <t>Bandeja para Huawei P20 Lite ANE-LX1 Nova 3E azul</t>
  </si>
  <si>
    <t>FLX00557</t>
  </si>
  <si>
    <t>Bandeja para Huawei P20 Lite ANE-LX1 Nova 3E negro</t>
  </si>
  <si>
    <t>FLX00556</t>
  </si>
  <si>
    <t>Bandeja para Huawei P30 Lite MAR-LX1 azul</t>
  </si>
  <si>
    <t>Bandeja para Huawei P30 Lite MAR-LX1 negro</t>
  </si>
  <si>
    <t>Bandeja para Huawei P9 Lite VNS-L31 negro</t>
  </si>
  <si>
    <t>FLX01765</t>
  </si>
  <si>
    <t>Bandeja para Huawei Y5P DRA-LX9 negro</t>
  </si>
  <si>
    <t>FLX00712</t>
  </si>
  <si>
    <t>Bandeja para Huawei Y6P 2020 MED-LX9</t>
  </si>
  <si>
    <t>Bandeja para Huawei Y7A PPA-LX3 negro</t>
  </si>
  <si>
    <t>FLX00725</t>
  </si>
  <si>
    <t>Bandeja para Huawei Y7P 2020 ART-L28 negro</t>
  </si>
  <si>
    <t>Bandeja para Huawei Y9 Prime 2019 STK-L21 azul</t>
  </si>
  <si>
    <t>Bandeja para Huawei Y9 Prime 2019 STK-L21 negro</t>
  </si>
  <si>
    <t>Bandeja para iPhone 11 Pro Max negro</t>
  </si>
  <si>
    <t>FLX01719</t>
  </si>
  <si>
    <t>Bandeja para iPhone 11 Pro Max plata</t>
  </si>
  <si>
    <t>FLX01718</t>
  </si>
  <si>
    <t>Bandeja para iPhone 12 Pro Max azul</t>
  </si>
  <si>
    <t>FLX01722</t>
  </si>
  <si>
    <t>Bandeja para iPhone 12 Pro Max negro</t>
  </si>
  <si>
    <t>FLX01721</t>
  </si>
  <si>
    <t>Bandeja para iPhone 12 Pro Max plata</t>
  </si>
  <si>
    <t>Bandeja para iPhone 13 Pro Max azul</t>
  </si>
  <si>
    <t>Bandeja para iPhone 13 Pro Max gris</t>
  </si>
  <si>
    <t>FLX01724</t>
  </si>
  <si>
    <t>Bandeja para iPhone 13 Pro Max plata</t>
  </si>
  <si>
    <t>Bandeja para iPhone 14 Pro Max negro</t>
  </si>
  <si>
    <t>FLX02583</t>
  </si>
  <si>
    <t>Bandeja para iPhone 14 Pro Max plata</t>
  </si>
  <si>
    <t>FLX02584</t>
  </si>
  <si>
    <t>Bandeja para iPhone 5 5S SE plata</t>
  </si>
  <si>
    <t>Bandeja para iPhone 5 negro</t>
  </si>
  <si>
    <t>FLX01716</t>
  </si>
  <si>
    <t>Bandeja para iPhone 5S SE gris</t>
  </si>
  <si>
    <t>FLX02491</t>
  </si>
  <si>
    <t>Bandeja para iPhone 7 negro jet</t>
  </si>
  <si>
    <t>Bandeja para iPhone 7 negro matte</t>
  </si>
  <si>
    <t>FLX00797</t>
  </si>
  <si>
    <t>Bandeja para iPhone 7 plata</t>
  </si>
  <si>
    <t>FLX01713</t>
  </si>
  <si>
    <t>Bandeja para iPhone 7 Plus negro jet</t>
  </si>
  <si>
    <t>Bandeja para iPhone 7 Plus negro matte</t>
  </si>
  <si>
    <t>Bandeja para iPhone 7 Plus plata</t>
  </si>
  <si>
    <t>Bandeja para iPhone 8 oro</t>
  </si>
  <si>
    <t>FLX02994</t>
  </si>
  <si>
    <t>Bandeja para iPhone 8 plata</t>
  </si>
  <si>
    <t>FLX02993</t>
  </si>
  <si>
    <t>Bandeja para iPhone 8 Plus negro</t>
  </si>
  <si>
    <t>FLX02992</t>
  </si>
  <si>
    <t>Bandeja para iPhone 8 Plus oro</t>
  </si>
  <si>
    <t>FLX02991</t>
  </si>
  <si>
    <t>Bandeja para iPhone 8 Plus plata</t>
  </si>
  <si>
    <t>FLX02990</t>
  </si>
  <si>
    <t>Bandeja para iPhone X negro</t>
  </si>
  <si>
    <t>Bandeja para iPhone X plata</t>
  </si>
  <si>
    <t>Bandeja para iPhone XS Max plata</t>
  </si>
  <si>
    <t>FLX01715</t>
  </si>
  <si>
    <t>Bandeja para LG G2 D802 blanco</t>
  </si>
  <si>
    <t>FLX02989</t>
  </si>
  <si>
    <t>Bandeja para LG G5 H860 gris</t>
  </si>
  <si>
    <t>FLX02988</t>
  </si>
  <si>
    <t>Bandeja para LG G6 H870 rosa</t>
  </si>
  <si>
    <t>FLX02987</t>
  </si>
  <si>
    <t>Bandeja para LG K22 LMK200 azul</t>
  </si>
  <si>
    <t>FLX02663</t>
  </si>
  <si>
    <t>Bandeja para LG K22 LMK200 gris</t>
  </si>
  <si>
    <t>FLX00715</t>
  </si>
  <si>
    <t>Bandeja para LG K41S LMK410 negro</t>
  </si>
  <si>
    <t>FLX00727</t>
  </si>
  <si>
    <t>Bandeja para LG K42 LMK420 azul</t>
  </si>
  <si>
    <t>FLX00692</t>
  </si>
  <si>
    <t>Bandeja para LG K42 LMK420 gris</t>
  </si>
  <si>
    <t>FLX00693</t>
  </si>
  <si>
    <t>Bandeja para LG K52 LMK520 azul</t>
  </si>
  <si>
    <t>Bandeja para LG Optimus G E973 negro</t>
  </si>
  <si>
    <t>FLX02986</t>
  </si>
  <si>
    <t>Bandeja para LG Q6 M700 gris</t>
  </si>
  <si>
    <t>FLX02985</t>
  </si>
  <si>
    <t>Bandeja para LG Q6 M700 oro</t>
  </si>
  <si>
    <t>FLX02984</t>
  </si>
  <si>
    <t>Bandeja para Moto E20 XT2155 gris</t>
  </si>
  <si>
    <t>Bandeja para Moto E20 XT2155 verde</t>
  </si>
  <si>
    <t>Bandeja para Moto E6 Play XT2029 azul 1</t>
  </si>
  <si>
    <t>FLX00366</t>
  </si>
  <si>
    <t>Bandeja para Moto E6 Play XT2029 azul 2</t>
  </si>
  <si>
    <t>FLX02227</t>
  </si>
  <si>
    <t>Bandeja para Moto E6 Play XT2029 negro 1</t>
  </si>
  <si>
    <t>Bandeja para Moto E6 Play XT2029 negro 2</t>
  </si>
  <si>
    <t>Bandeja para Moto E7 Plus XT2081 azul</t>
  </si>
  <si>
    <t>Bandeja para Moto E7 Plus XT2081 bronce</t>
  </si>
  <si>
    <t>FLX02720</t>
  </si>
  <si>
    <t>Bandeja para Moto E7 Power XT2097 azul</t>
  </si>
  <si>
    <t>Bandeja para Moto E7 Power XT2097 rojo</t>
  </si>
  <si>
    <t>Bandeja para Moto G10 XT2127 gris</t>
  </si>
  <si>
    <t>Bandeja para Moto G10 XT2127 perla</t>
  </si>
  <si>
    <t>FLX00695</t>
  </si>
  <si>
    <t>Bandeja para Moto G20 XT2128 azul</t>
  </si>
  <si>
    <t>FLX00694</t>
  </si>
  <si>
    <t>Bandeja para Moto G30 XT2128 negro</t>
  </si>
  <si>
    <t>Bandeja para Moto G30 XT2129 rosa</t>
  </si>
  <si>
    <t>Bandeja para Moto G5 XT1672 gris</t>
  </si>
  <si>
    <t>Bandeja para Moto G5 XT1672 oro</t>
  </si>
  <si>
    <t>FLX02983</t>
  </si>
  <si>
    <t>Bandeja para Moto G50 XT2137 gris</t>
  </si>
  <si>
    <t>Bandeja para Moto G50 XT2137 verde</t>
  </si>
  <si>
    <t>FLX00795</t>
  </si>
  <si>
    <t>Bandeja para Moto G6 Play XT1922 negro azul</t>
  </si>
  <si>
    <t>FLX02241</t>
  </si>
  <si>
    <t>Bandeja para Moto G7 Power XT1955 negro 1</t>
  </si>
  <si>
    <t>FLX00365</t>
  </si>
  <si>
    <t>Bandeja para Moto G7 Power XT1955 negro 2</t>
  </si>
  <si>
    <t>FLX01958</t>
  </si>
  <si>
    <t>Bandeja para Moto G8 Plus XT2019 negro</t>
  </si>
  <si>
    <t>FLX00711</t>
  </si>
  <si>
    <t>Bandeja para Moto Razr XT925 gris</t>
  </si>
  <si>
    <t>FLX02982</t>
  </si>
  <si>
    <t>Bandeja para Moto X Style XT1572 gris negro</t>
  </si>
  <si>
    <t>FLX02981</t>
  </si>
  <si>
    <t>Bandeja para Moto X Style XT1572 plata</t>
  </si>
  <si>
    <t>FLX02980</t>
  </si>
  <si>
    <t>Bandeja para Moto X XT1053 blanco</t>
  </si>
  <si>
    <t>FLX02170</t>
  </si>
  <si>
    <t>Bandeja para Moto X2 Nexus 6 azul</t>
  </si>
  <si>
    <t>FLX02242</t>
  </si>
  <si>
    <t>Bandeja para Nokia E7 azul</t>
  </si>
  <si>
    <t>FLX02979</t>
  </si>
  <si>
    <t>Bandeja para Nokia E7 gris plata</t>
  </si>
  <si>
    <t>FLX02978</t>
  </si>
  <si>
    <t>Bandeja para Nokia E7 negro</t>
  </si>
  <si>
    <t>FLX02977</t>
  </si>
  <si>
    <t>Bandeja para Oppo A17 azul</t>
  </si>
  <si>
    <t>Bandeja para Oppo A17 negro</t>
  </si>
  <si>
    <t>Bandeja para Xiaomi M3 Note 9 azul</t>
  </si>
  <si>
    <t>FLX00559</t>
  </si>
  <si>
    <t>Bandeja para Xiaomi M3 Note 9 negro</t>
  </si>
  <si>
    <t>FLX00698</t>
  </si>
  <si>
    <t>Bandeja para Xiaomi Mi 10 gris</t>
  </si>
  <si>
    <t>FLX00710</t>
  </si>
  <si>
    <t>Bandeja para Xiaomi Mi 10 Lite gris</t>
  </si>
  <si>
    <t>FLX00720</t>
  </si>
  <si>
    <t>Bandeja para Xiaomi Mi 10 verde</t>
  </si>
  <si>
    <t>Bandeja para Xiaomi Mi 11 Lite azul</t>
  </si>
  <si>
    <t>FLX00722</t>
  </si>
  <si>
    <t>Bandeja para Xiaomi Mi 11 Lite negro</t>
  </si>
  <si>
    <t>Bandeja para Xiaomi Note 11 4G azul</t>
  </si>
  <si>
    <t>FLX01707</t>
  </si>
  <si>
    <t>Bandeja para Xiaomi Note 11 4G azul claro</t>
  </si>
  <si>
    <t>Bandeja para Xiaomi Note 11 4G negro</t>
  </si>
  <si>
    <t>Bandeja para Xiaomi Note 9S / 9 Pro azul</t>
  </si>
  <si>
    <t>Bandeja para Xiaomi Note 9S / 9 Pro verde</t>
  </si>
  <si>
    <t>FLX00582</t>
  </si>
  <si>
    <t>Bandeja para Xiaomi Poco X3 azul</t>
  </si>
  <si>
    <t>FLX00724</t>
  </si>
  <si>
    <t>Bandeja para Xiaomi Poco X3 negro</t>
  </si>
  <si>
    <t>Bandeja para Xiaomi Redmi 10 azul</t>
  </si>
  <si>
    <t>FLX00669</t>
  </si>
  <si>
    <t>Bandeja para Xiaomi Redmi 10 gris</t>
  </si>
  <si>
    <t>FLX00675</t>
  </si>
  <si>
    <t>Bandeja para Xiaomi Redmi 10C azul</t>
  </si>
  <si>
    <t>Bandeja para Xiaomi Redmi 10C negro</t>
  </si>
  <si>
    <t>Bandeja para Xiaomi Redmi 7 azul</t>
  </si>
  <si>
    <t>FLX01697</t>
  </si>
  <si>
    <t>Bandeja para Xiaomi Redmi 7 negro</t>
  </si>
  <si>
    <t>FLX01698</t>
  </si>
  <si>
    <t>Bandeja para Xiaomi Redmi 9 azul</t>
  </si>
  <si>
    <t>Bandeja para Xiaomi Redmi 9 gris</t>
  </si>
  <si>
    <t>Bandeja para Xiaomi Redmi 9A 9C azul</t>
  </si>
  <si>
    <t>Bandeja para Xiaomi Redmi 9A 9C negro</t>
  </si>
  <si>
    <t>Bandeja para Xiaomi Redmi Note 10 / 10S azul</t>
  </si>
  <si>
    <t>Bandeja para Xiaomi Redmi Note 10 / 10S negro</t>
  </si>
  <si>
    <t>Bandeja para Xiaomi Redmi Note 10 / 10S plata</t>
  </si>
  <si>
    <t>FLX02717</t>
  </si>
  <si>
    <t>Bandeja para Xiaomi Redmi Note 10 Pro azul</t>
  </si>
  <si>
    <t>Bandeja para Xiaomi Redmi Note 10 Pro negro</t>
  </si>
  <si>
    <t>Bandeja para Xiaomi Redmi Note 8 azul</t>
  </si>
  <si>
    <t>Bandeja para Xiaomi Redmi Note 8 negro</t>
  </si>
  <si>
    <t>Bandeja para Xperia C5 XA dual</t>
  </si>
  <si>
    <t>FLX02118</t>
  </si>
  <si>
    <t>Bandeja para Xperia C5 XA single</t>
  </si>
  <si>
    <t>FLX02976</t>
  </si>
  <si>
    <t>Bandeja para Xperia M5 memoria</t>
  </si>
  <si>
    <t>FLX02975</t>
  </si>
  <si>
    <t>Bandeja para Xperia Tablet Z</t>
  </si>
  <si>
    <t>FLX01866</t>
  </si>
  <si>
    <t>Bandeja para Xperia XZ</t>
  </si>
  <si>
    <t>FLX02183</t>
  </si>
  <si>
    <t>Bandeja para Xperia XZ Premium sim y memoria</t>
  </si>
  <si>
    <t>FLX02974</t>
  </si>
  <si>
    <t>Bandeja para Xperia Z3 / Z3 y Z5 Compact</t>
  </si>
  <si>
    <t>FLX00740</t>
  </si>
  <si>
    <t>Bandeja para ZTE Blade V9 negro</t>
  </si>
  <si>
    <t>FLX01927</t>
  </si>
  <si>
    <t>Bandeja para ZTE Blade V9 oro</t>
  </si>
  <si>
    <t>FLX01928</t>
  </si>
  <si>
    <t>Bandeja para ZTE V40 Vita azul</t>
  </si>
  <si>
    <t>FLX01703</t>
  </si>
  <si>
    <t>Base fija aluminio celular negro</t>
  </si>
  <si>
    <t>FLX02942</t>
  </si>
  <si>
    <t>Base fijador flexible tornillo tablet 7-12" 85CM</t>
  </si>
  <si>
    <t>FLX02944</t>
  </si>
  <si>
    <t>Base holder flexible 13CM JDF021 Amarillo</t>
  </si>
  <si>
    <t>FLX01042</t>
  </si>
  <si>
    <t>Base holder flexible 13CM JDF021 Azul</t>
  </si>
  <si>
    <t>FLX01044</t>
  </si>
  <si>
    <t>Base holder flexible 13CM JDF021 Blanco</t>
  </si>
  <si>
    <t>FLX01043</t>
  </si>
  <si>
    <t>Base holder flexible 13CM JDF021 Morado</t>
  </si>
  <si>
    <t>FLX01045</t>
  </si>
  <si>
    <t>Base holder flexible 13CM JDF021 Negro</t>
  </si>
  <si>
    <t>FLX01046</t>
  </si>
  <si>
    <t>Base holder flexible 13CM JDF021 Rosa</t>
  </si>
  <si>
    <t>FLX01047</t>
  </si>
  <si>
    <t>Base holder flexible 13CM JDF021 Verde</t>
  </si>
  <si>
    <t>FLX01048</t>
  </si>
  <si>
    <t>Base holder soporte apertura telefono azul</t>
  </si>
  <si>
    <t>FLX03065</t>
  </si>
  <si>
    <t>Base holder soporte apertura telefono blanco</t>
  </si>
  <si>
    <t>FLX03066</t>
  </si>
  <si>
    <t>Base holder soporte apertura telefono morado</t>
  </si>
  <si>
    <t>FLX03067</t>
  </si>
  <si>
    <t>Base holder soporte apertura telefono negro</t>
  </si>
  <si>
    <t>FLX03068</t>
  </si>
  <si>
    <t>Base holder soporte apertura telefono verde</t>
  </si>
  <si>
    <t>FLX03069</t>
  </si>
  <si>
    <t>Base holder soporte elefante azul</t>
  </si>
  <si>
    <t>FLX03070</t>
  </si>
  <si>
    <t>Base holder soporte elefante gris</t>
  </si>
  <si>
    <t>FLX03071</t>
  </si>
  <si>
    <t>Base holder soporte elefante naranja</t>
  </si>
  <si>
    <t>FLX03072</t>
  </si>
  <si>
    <t>Base holder soporte elefante negro</t>
  </si>
  <si>
    <t>FLX03073</t>
  </si>
  <si>
    <t>Base holder soporte elefante rosa</t>
  </si>
  <si>
    <t>FLX03074</t>
  </si>
  <si>
    <t>Base holder soporte elefante verde</t>
  </si>
  <si>
    <t>FLX03075</t>
  </si>
  <si>
    <t>Base holder soporte tarjeta telefono azul</t>
  </si>
  <si>
    <t>FLX01001</t>
  </si>
  <si>
    <t>Base holder soporte tarjeta telefono negro</t>
  </si>
  <si>
    <t>FLX01002</t>
  </si>
  <si>
    <t>Base holder soporte tarjeta telefono rojo</t>
  </si>
  <si>
    <t>FLX01003</t>
  </si>
  <si>
    <t>Base holder soporte tarjeta telefono rosa</t>
  </si>
  <si>
    <t>FLX01004</t>
  </si>
  <si>
    <t>Base holder soporte tarjeta telefono verde</t>
  </si>
  <si>
    <t>FLX01005</t>
  </si>
  <si>
    <t>Base soporte montura tablet 7 - 11" para cama</t>
  </si>
  <si>
    <t>FLX02286</t>
  </si>
  <si>
    <t>Base soporte montura tornillo tablet 7-12" 80CM</t>
  </si>
  <si>
    <t>FLX02945</t>
  </si>
  <si>
    <t>Base soporte parabrisas soporte universal celular</t>
  </si>
  <si>
    <t>FLX02940</t>
  </si>
  <si>
    <t>Base soporte tablet Baseus</t>
  </si>
  <si>
    <t>FLX02757</t>
  </si>
  <si>
    <t>Base soporte tablet respaldo auto 7 11"</t>
  </si>
  <si>
    <t>FLX01739</t>
  </si>
  <si>
    <t>Base tablet holder con 4 bases UP-8</t>
  </si>
  <si>
    <t>FLX02596</t>
  </si>
  <si>
    <t>Base tablet holder UP-9S</t>
  </si>
  <si>
    <t>FLX02941</t>
  </si>
  <si>
    <t>Batería 18650 2000mAh</t>
  </si>
  <si>
    <t>Bateria control para PlayStation 3 PS3 1800mAh 1</t>
  </si>
  <si>
    <t>FLX02255</t>
  </si>
  <si>
    <t>Bateria control para PlayStation 3 PS3 1800mAh 2</t>
  </si>
  <si>
    <t>FLX02256</t>
  </si>
  <si>
    <t>Bateria control para PlayStation 4 PS4</t>
  </si>
  <si>
    <t>Bateria para AirPod NOR 1/2 par</t>
  </si>
  <si>
    <t>FLX02775</t>
  </si>
  <si>
    <t>Bateria para AirPod Pro 1 par</t>
  </si>
  <si>
    <t>Bateria para Alcatel 5024 Tlp030k7</t>
  </si>
  <si>
    <t>Bateria para Alcatel 8050 5098 9001 TLp025DC</t>
  </si>
  <si>
    <t>FLX01331</t>
  </si>
  <si>
    <t>Bateria para BlackBerry Q10 N-X1</t>
  </si>
  <si>
    <t>FLX03617</t>
  </si>
  <si>
    <t>Bateria para Blackberry Z30</t>
  </si>
  <si>
    <t>FLX02959</t>
  </si>
  <si>
    <t>Bateria para BLU Dash 3.5" C654804130T</t>
  </si>
  <si>
    <t>FLX01985</t>
  </si>
  <si>
    <t>Bateria para BLU Dash 4.0 D270 C684804150T</t>
  </si>
  <si>
    <t>FLX01952</t>
  </si>
  <si>
    <t>Bateria para Galaxy A02S</t>
  </si>
  <si>
    <t>FLX03428</t>
  </si>
  <si>
    <t>Bateria para Galaxy A320 EB-BA320ABE 2350mAh</t>
  </si>
  <si>
    <t>FLX03295</t>
  </si>
  <si>
    <t>Bateria para Galaxy A510 2016 3300mAh</t>
  </si>
  <si>
    <t>FLX03784</t>
  </si>
  <si>
    <t>Bateria para Galaxy A7 2015 2600mAh OEM</t>
  </si>
  <si>
    <t>FLX01837</t>
  </si>
  <si>
    <t>Bateria para Galaxy A7 2016 3300mAh OEM</t>
  </si>
  <si>
    <t>FLX03751</t>
  </si>
  <si>
    <t>Bateria para Galaxy A7 A750 BA750ABU</t>
  </si>
  <si>
    <t>FLX02120</t>
  </si>
  <si>
    <t>Bateria para Galaxy Ace 4 G313 Style G357</t>
  </si>
  <si>
    <t>FLX03697</t>
  </si>
  <si>
    <t>Bateria para Galaxy Ace S5830 1500mah generica</t>
  </si>
  <si>
    <t>FLX03355</t>
  </si>
  <si>
    <t>Bateria para Galaxy Alpha G850 2000mAh</t>
  </si>
  <si>
    <t>FLX03660</t>
  </si>
  <si>
    <t>Bateria para Galaxy E700</t>
  </si>
  <si>
    <t>FLX03750</t>
  </si>
  <si>
    <t>Bateria para Galaxy Epic S2 D710 1800mah generica</t>
  </si>
  <si>
    <t>FLX02246</t>
  </si>
  <si>
    <t>Bateria para Galaxy Grand Prime G530 2600mAh</t>
  </si>
  <si>
    <t>FLX03585</t>
  </si>
  <si>
    <t>Bateria para Galaxy i9070 S Advance 1800mah</t>
  </si>
  <si>
    <t>FLX02958</t>
  </si>
  <si>
    <t>Bateria para Galaxy J1 AC 1900mAh</t>
  </si>
  <si>
    <t>FLX03659</t>
  </si>
  <si>
    <t>Bateria para Galaxy J330 Pro EB-BH330ABE 2400mAh</t>
  </si>
  <si>
    <t>FLX01840</t>
  </si>
  <si>
    <t>Bateria para Galaxy Mega 5.8 i9152 2600mAh</t>
  </si>
  <si>
    <t>FLX03581</t>
  </si>
  <si>
    <t>Bateria para Galaxy Nexus 10 P8110 9000mAh</t>
  </si>
  <si>
    <t>FLX03704</t>
  </si>
  <si>
    <t>Bateria para Galaxy Note 10.1" P600 8220mAh T8220E</t>
  </si>
  <si>
    <t>FLX01349</t>
  </si>
  <si>
    <t>Bateria para Galaxy Note 2 N7100 3500mah generica</t>
  </si>
  <si>
    <t>FLX02956</t>
  </si>
  <si>
    <t>Bateria para Galaxy Note 2 N7100 i317 3100mah</t>
  </si>
  <si>
    <t>Bateria para Galaxy Note 3 4200mAh</t>
  </si>
  <si>
    <t>FLX03484</t>
  </si>
  <si>
    <t>Bateria para Galaxy Note N5100 4600mAh SP3770E1H</t>
  </si>
  <si>
    <t>FLX03583</t>
  </si>
  <si>
    <t>Bateria para Galaxy S2 i9100 1800mah GEN</t>
  </si>
  <si>
    <t>FLX02955</t>
  </si>
  <si>
    <t>Bateria para Galaxy S3 AC 2850mah</t>
  </si>
  <si>
    <t>FLX03383</t>
  </si>
  <si>
    <t>Bateria para Galaxy S3 i9300 2300mah generica</t>
  </si>
  <si>
    <t>FLX02954</t>
  </si>
  <si>
    <t>Bateria para Galaxy S3 Mini i8190 1500mah OEM</t>
  </si>
  <si>
    <t>FLX02919</t>
  </si>
  <si>
    <t>Bateria para Galaxy S3 Mini i8190 1900mah generica</t>
  </si>
  <si>
    <t>FLX02920</t>
  </si>
  <si>
    <t>Bateria para Galaxy S3 Mini i8190 2450mah</t>
  </si>
  <si>
    <t>FLX03539</t>
  </si>
  <si>
    <t>Bateria para Galaxy S4 2800mAh generica</t>
  </si>
  <si>
    <t>FLX03483</t>
  </si>
  <si>
    <t>Bateria para Galaxy S4 3030mAh</t>
  </si>
  <si>
    <t>FLX03529</t>
  </si>
  <si>
    <t>Bateria para Galaxy S4 I337</t>
  </si>
  <si>
    <t>FLX02953</t>
  </si>
  <si>
    <t>Bateria para Galaxy S5 2000mah GEN G900</t>
  </si>
  <si>
    <t>FLX03503</t>
  </si>
  <si>
    <t>Bateria para Galaxy S6 Active G890 3500mAh OEM</t>
  </si>
  <si>
    <t>FLX03661</t>
  </si>
  <si>
    <t>Bateria para Galaxy S6 Edge 2600mAh</t>
  </si>
  <si>
    <t>FLX03587</t>
  </si>
  <si>
    <t>Bateria para Galaxy S6 Edge Plus G928</t>
  </si>
  <si>
    <t>FLX03749</t>
  </si>
  <si>
    <t>Bateria para Galaxy S6 G920 2550mAh</t>
  </si>
  <si>
    <t>FLX03586</t>
  </si>
  <si>
    <t>Bateria para Galaxy S6 G920 2850mAh</t>
  </si>
  <si>
    <t>Bateria para Galaxy S6 G920 AC 2550mAh</t>
  </si>
  <si>
    <t>FLX03658</t>
  </si>
  <si>
    <t>Bateria para Galaxy S7 G930 3000mAh</t>
  </si>
  <si>
    <t>FLX03847</t>
  </si>
  <si>
    <t>Bateria para Galaxy S8 Flat EB-BG950ABE 3000mAh</t>
  </si>
  <si>
    <t>FLX01333</t>
  </si>
  <si>
    <t>Bateria para Galaxy Tab 10.1 P7100 6860mAh</t>
  </si>
  <si>
    <t>FLX02952</t>
  </si>
  <si>
    <t>Bateria para Galaxy Tab 2 P5100 13 SP3676B1A</t>
  </si>
  <si>
    <t>FLX01239</t>
  </si>
  <si>
    <t>Bateria para Galaxy Tab 3 Lite 7.0 T110 BT-115ABC</t>
  </si>
  <si>
    <t>FLX01334</t>
  </si>
  <si>
    <t>Bateria para Galaxy Tab 3 P5200 6800mAh T4500E</t>
  </si>
  <si>
    <t>Bateria para Galaxy Tab 3 T210 4000mAh T4000E</t>
  </si>
  <si>
    <t>FLX01030</t>
  </si>
  <si>
    <t>Bateria para Galaxy Tab 3 T310 T311 T315 4450mAh</t>
  </si>
  <si>
    <t>FLX01335</t>
  </si>
  <si>
    <t>Bateria para Galaxy Tab 4 10.1" T535 T530 BT530FBU</t>
  </si>
  <si>
    <t>FLX01029</t>
  </si>
  <si>
    <t>Bateria para Galaxy Tab 4 T230 T235 EB-BT230FBE 1</t>
  </si>
  <si>
    <t>FLX01307</t>
  </si>
  <si>
    <t>Bateria para Galaxy Tab 4 T230 T235 EB-BT230FBE 2</t>
  </si>
  <si>
    <t>FLX02092</t>
  </si>
  <si>
    <t>Bateria para Galaxy Tab 8.0" EB-BT330FBE T330 T335</t>
  </si>
  <si>
    <t>FLX01939</t>
  </si>
  <si>
    <t>Bateria para Galaxy Tab A 10.1 2019 T510 T515</t>
  </si>
  <si>
    <t>Bateria para Galaxy Tab A 10.1 EB-BT585ABE T580</t>
  </si>
  <si>
    <t>Bateria para Galaxy Tab A 7 T280 T285 EB-BT280ABE</t>
  </si>
  <si>
    <t>FLX01336</t>
  </si>
  <si>
    <t>Bateria para Galaxy Tab A 8.0 2019 T290 T295</t>
  </si>
  <si>
    <t>Bateria para Galaxy Tab A 8.0" T350 EB-BT355ABE</t>
  </si>
  <si>
    <t>FLX03748</t>
  </si>
  <si>
    <t>Bateria para Galaxy Tab A 9.7" T550 P550 555</t>
  </si>
  <si>
    <t>FLX03686</t>
  </si>
  <si>
    <t>Bateria para Galaxy Tab A6 10.4 T500 T505</t>
  </si>
  <si>
    <t>Bateria para Galaxy Tab A7 Lite T220 T225 HQ-3565S</t>
  </si>
  <si>
    <t>FLX02572</t>
  </si>
  <si>
    <t>Bateria para Galaxy Tab E T560 EB-BT561ABE 1</t>
  </si>
  <si>
    <t>Bateria para Galaxy Tab E T560 EB-BT561ABE 2</t>
  </si>
  <si>
    <t>FLX02236</t>
  </si>
  <si>
    <t>Bateria para Galaxy Tab Note Pro 12.2 P900</t>
  </si>
  <si>
    <t>Bateria para Galaxy Tab P3100 P6200 10 SP4960C3B</t>
  </si>
  <si>
    <t>FLX01337</t>
  </si>
  <si>
    <t>Bateria para Galaxy Tab Pro 8.4 4800ma T320 T4800E</t>
  </si>
  <si>
    <t>FLX03582</t>
  </si>
  <si>
    <t>Bateria para Galaxy Tab S 10.5" T800 7900mAh</t>
  </si>
  <si>
    <t>FLX03584</t>
  </si>
  <si>
    <t>Bateria para Galaxy Tab S2 8 EB-BT710AB T715 1</t>
  </si>
  <si>
    <t>Bateria para Galaxy Tab S2 8 EB-BT710AB T715 2</t>
  </si>
  <si>
    <t>FLX01338</t>
  </si>
  <si>
    <t>Bateria para Galaxy Tab S2 EB-BT810ABE T810</t>
  </si>
  <si>
    <t>FLX03294</t>
  </si>
  <si>
    <t>Bateria para Galaxy Tab S3 9.7 T820 T825 T827</t>
  </si>
  <si>
    <t>FLX01243</t>
  </si>
  <si>
    <t>Bateria para Galaxy Tab S4 10.5 T830 T835</t>
  </si>
  <si>
    <t>FLX01244</t>
  </si>
  <si>
    <t>Bateria para Galaxy Tab S6 T860 T865 P610 P615</t>
  </si>
  <si>
    <t>Bateria para Galaxy Tab S7 T870 T875 T876</t>
  </si>
  <si>
    <t>FLX01246</t>
  </si>
  <si>
    <t>Bateria para Harman Onyx Mini CP-HK07P954374</t>
  </si>
  <si>
    <t>FLX02743</t>
  </si>
  <si>
    <t>Bateria para HTC 10 M10 B2PS6100 3000mAh</t>
  </si>
  <si>
    <t>FLX03825</t>
  </si>
  <si>
    <t>Bateria para HTC D530 2200mAh B2PST100</t>
  </si>
  <si>
    <t>FLX03823</t>
  </si>
  <si>
    <t>Bateria para HTC Evo 3D GEN 1800mah</t>
  </si>
  <si>
    <t>FLX02923</t>
  </si>
  <si>
    <t>Bateria para HTC M9 B0PGE100</t>
  </si>
  <si>
    <t>FLX03868</t>
  </si>
  <si>
    <t>Bateria para HTC One A9 B2PQ9100 2150mAh</t>
  </si>
  <si>
    <t>Bateria para Huawei 2050mAh P6 U00 U06 HB3742A0EBC</t>
  </si>
  <si>
    <t>FLX01308</t>
  </si>
  <si>
    <t>Bateria para Huawei Ascend P10 HB386280ECW</t>
  </si>
  <si>
    <t>FLX03819</t>
  </si>
  <si>
    <t>Bateria para Huawei Ascend P8 2680mAh HB3447A9EBW</t>
  </si>
  <si>
    <t>FLX01312</t>
  </si>
  <si>
    <t>Bateria para Huawei G7 3000mAh</t>
  </si>
  <si>
    <t>Bateria para Huawei Honor 3C G730 HB4742A0RBC</t>
  </si>
  <si>
    <t>FLX01313</t>
  </si>
  <si>
    <t>Bateria para Huawei Mate 7 4100mAh HB417094EBC</t>
  </si>
  <si>
    <t>FLX01309</t>
  </si>
  <si>
    <t>Bateria para Huawei Mate 9 HB396689ECW</t>
  </si>
  <si>
    <t>Bateria para Huawei Mate MT1-U06 HB496791EBC</t>
  </si>
  <si>
    <t>FLX01311</t>
  </si>
  <si>
    <t>Bateria para Huawei Nexus 6P HB416683ECW 3450mAh</t>
  </si>
  <si>
    <t>FLX01314</t>
  </si>
  <si>
    <t>Bateria para Huawei Nova 3 HB386589ECW</t>
  </si>
  <si>
    <t>FLX01315</t>
  </si>
  <si>
    <t>Bateria para Huawei P1 T9200 Ascend D1 HB4Q1HV</t>
  </si>
  <si>
    <t>FLX01316</t>
  </si>
  <si>
    <t>Bateria para Huawei P10 Lite Y6 Y7 HB366481ECW</t>
  </si>
  <si>
    <t>Bateria para Huawei P10 Selfie HB356687ECW</t>
  </si>
  <si>
    <t>FLX01318</t>
  </si>
  <si>
    <t>Bateria para iPad 2 A1395 A1396 A1376</t>
  </si>
  <si>
    <t>Bateria para iPad 3 &amp; 4 A1416 A1458</t>
  </si>
  <si>
    <t>Bateria para iPad Air 1 5 6 7 8 1</t>
  </si>
  <si>
    <t>Bateria para iPad Air 1 5 6 7 8 2</t>
  </si>
  <si>
    <t>Bateria para iPad Air 2 A1566 A1567</t>
  </si>
  <si>
    <t>Bateria para iPad Mini 1 A1432 A1454 A1455</t>
  </si>
  <si>
    <t>FLX03464</t>
  </si>
  <si>
    <t>Bateria para iPad Mini 2 3 A1489 A1490 A1491</t>
  </si>
  <si>
    <t>Bateria para iPad Mini 3 A1599 A1600 A1601</t>
  </si>
  <si>
    <t>Bateria para iPad Mini 4 A1538 A1550</t>
  </si>
  <si>
    <t>Bateria para iPad Pro A1673 A1674</t>
  </si>
  <si>
    <t>FLX03931</t>
  </si>
  <si>
    <t>Bateria para iPhone 4</t>
  </si>
  <si>
    <t>FLX01340</t>
  </si>
  <si>
    <t>Bateria para iPhone 4 2680mAh</t>
  </si>
  <si>
    <t>FLX03676</t>
  </si>
  <si>
    <t>Bateria para iPhone 4S 2680mAh</t>
  </si>
  <si>
    <t>FLX01330</t>
  </si>
  <si>
    <t>Bateria para iPhone 5 1440mAh</t>
  </si>
  <si>
    <t>FLX03325</t>
  </si>
  <si>
    <t>Bateria para iPhone 5 2680mAh</t>
  </si>
  <si>
    <t>FLX03677</t>
  </si>
  <si>
    <t>Bateria para iPhone 5 Flexcop1440mAh</t>
  </si>
  <si>
    <t>FLX01071</t>
  </si>
  <si>
    <t>Bateria para iPhone 5C 1507mah</t>
  </si>
  <si>
    <t>FLX03501</t>
  </si>
  <si>
    <t>Bateria para iPhone 5C 2680mAh</t>
  </si>
  <si>
    <t>FLX03678</t>
  </si>
  <si>
    <t>Bateria para iPhone 5S 1560mah</t>
  </si>
  <si>
    <t>FLX03502</t>
  </si>
  <si>
    <t>Bateria para iPhone 5S 2680mAh</t>
  </si>
  <si>
    <t>FLX02918</t>
  </si>
  <si>
    <t>Bateria para iPhone 6 4.7" 1810mAh Flexcop</t>
  </si>
  <si>
    <t>FLX01341</t>
  </si>
  <si>
    <t>Bateria para iPhone 6 Plus 5.5" 2915mAh</t>
  </si>
  <si>
    <t>FLX03618</t>
  </si>
  <si>
    <t>Bateria para iPhone 6S 4.7" 1715mAh</t>
  </si>
  <si>
    <t>FLX03755</t>
  </si>
  <si>
    <t>Bateria para iPhone 6S 4.7" 1715mAh Flexcop</t>
  </si>
  <si>
    <t>FLX01342</t>
  </si>
  <si>
    <t>Bateria para iPhone 6S Plus 5.5" 2750mAh</t>
  </si>
  <si>
    <t>FLX03756</t>
  </si>
  <si>
    <t>Bateria para iPhone 7 4.7" Cobalto</t>
  </si>
  <si>
    <t>FLX01343</t>
  </si>
  <si>
    <t>Bateria para iPhone 7 4.7" Flexcop</t>
  </si>
  <si>
    <t>FLX03933</t>
  </si>
  <si>
    <t>Bateria para iPod Classic 160gb A1136 A1238</t>
  </si>
  <si>
    <t>FLX03522</t>
  </si>
  <si>
    <t>Bateria para iPod Nano 6G</t>
  </si>
  <si>
    <t>Bateria para iPod Nano 7G</t>
  </si>
  <si>
    <t>FLX02234</t>
  </si>
  <si>
    <t>Bateria para iPod Touch 4G</t>
  </si>
  <si>
    <t>FLX01762</t>
  </si>
  <si>
    <t>Bateria para iPod Touch 5 1030mAh 1</t>
  </si>
  <si>
    <t>FLX01329</t>
  </si>
  <si>
    <t>Bateria para iPod Touch 5 1030mAh 2</t>
  </si>
  <si>
    <t>FLX02258</t>
  </si>
  <si>
    <t>Bateria para iPod Touch 6 1043mAh 1</t>
  </si>
  <si>
    <t>Bateria para iPod Touch 6 1043mAh 2</t>
  </si>
  <si>
    <t>Bateria para iPod Video 60Gb 80Gb 120Gb 616-0232</t>
  </si>
  <si>
    <t>FLX03521</t>
  </si>
  <si>
    <t>Bateria para iPod Video 616-0392 Negra</t>
  </si>
  <si>
    <t>FLX03520</t>
  </si>
  <si>
    <t>Bateria para iPod Video Delgada 0229</t>
  </si>
  <si>
    <t>Bateria para iPod Video Gruesa 0232</t>
  </si>
  <si>
    <t>Bateria para JBL Charge 3 Ver 2016 1</t>
  </si>
  <si>
    <t>FLX01306</t>
  </si>
  <si>
    <t>Bateria para JBL Charge 3 Ver 2016 2</t>
  </si>
  <si>
    <t>Bateria para JBL Charge 4 ID998 1NR19/66-3</t>
  </si>
  <si>
    <t>Bateria para JBL Charge 5 GSP-1S3P-CH4D</t>
  </si>
  <si>
    <t>Bateria para JBL Clip 3 L0721-L</t>
  </si>
  <si>
    <t>FLX00541</t>
  </si>
  <si>
    <t>Bateria para JBL Flip 3 GSP872693</t>
  </si>
  <si>
    <t>Bateria para JBL Flip 4 GSP87269301</t>
  </si>
  <si>
    <t>Bateria para JBL Flip 5 1INR19/66-2 ID1060-B</t>
  </si>
  <si>
    <t>FLX02569</t>
  </si>
  <si>
    <t>Bateria para JBL Flip 6 GSP-1S2P-F6D</t>
  </si>
  <si>
    <t>FLX02884</t>
  </si>
  <si>
    <t>Bateria para JBL Go 2 MLP284154 304055</t>
  </si>
  <si>
    <t>Bateria para JBL Pulse 2 / 3</t>
  </si>
  <si>
    <t>Bateria para JBL Pulse 4 LY1091 7260</t>
  </si>
  <si>
    <t>FLX02882</t>
  </si>
  <si>
    <t>Bateria para JBL Pulse 5 gsp-1s3p-ch4d</t>
  </si>
  <si>
    <t>FLX02883</t>
  </si>
  <si>
    <t>Bateria para JBL Xtreme 1 GSP0931134</t>
  </si>
  <si>
    <t>FLX02573</t>
  </si>
  <si>
    <t>Bateria para JBL Xtreme 2 SUN-I</t>
  </si>
  <si>
    <t>FLX00429</t>
  </si>
  <si>
    <t>Bateria para JBL Xtreme 3 GSP-2S2P-XT3A</t>
  </si>
  <si>
    <t>FLX02571</t>
  </si>
  <si>
    <t>Bateria para Lenovo 3650mAh A1000 A1010 A3 A5</t>
  </si>
  <si>
    <t>FLX03657</t>
  </si>
  <si>
    <t>Bateria para Lenovo LePhone Vibe Z K910e BL216</t>
  </si>
  <si>
    <t>FLX02173</t>
  </si>
  <si>
    <t>Bateria para LG BL-44JN</t>
  </si>
  <si>
    <t>FLX02922</t>
  </si>
  <si>
    <t>Bateria para LG Duet P715 L7 II Bl-59JH 2600mAh</t>
  </si>
  <si>
    <t>FLX01319</t>
  </si>
  <si>
    <t>Bateria para LG G Pro E980/88 F240S/K 3000mAh AC</t>
  </si>
  <si>
    <t>FLX03515</t>
  </si>
  <si>
    <t>Bateria para LG G2 D800 D802 3000mah</t>
  </si>
  <si>
    <t>FLX01776</t>
  </si>
  <si>
    <t>Bateria para LG G3 D850 D855 LS990 2400mAh</t>
  </si>
  <si>
    <t>FLX02957</t>
  </si>
  <si>
    <t>Bateria para LG G4 Beat H735 BL-49SF-1</t>
  </si>
  <si>
    <t>FLX03747</t>
  </si>
  <si>
    <t>Bateria para LG G7 Q7 BL-T39</t>
  </si>
  <si>
    <t>FLX01346</t>
  </si>
  <si>
    <t>Bateria para LG K7 Tribute 5 2125mAh BL-46ZH</t>
  </si>
  <si>
    <t>FLX03821</t>
  </si>
  <si>
    <t>Bateria para LG Optimus L65 L70 D320 BL-52UH</t>
  </si>
  <si>
    <t>FLX01320</t>
  </si>
  <si>
    <t>Bateria para LG Q6 Prime M700 BL-T33 3000mAh</t>
  </si>
  <si>
    <t>Bateria para LG V10 BL-45B1F 2300mah</t>
  </si>
  <si>
    <t>FLX03698</t>
  </si>
  <si>
    <t>Bateria para Moto G3 XT1548</t>
  </si>
  <si>
    <t>FLX03616</t>
  </si>
  <si>
    <t>Bateria para Moto G4 Plus GA40 XT1644</t>
  </si>
  <si>
    <t>FLX01347</t>
  </si>
  <si>
    <t>Bateria para Moto G5 Plus HG40</t>
  </si>
  <si>
    <t>Bateria para Moto G6 Play BL270 1</t>
  </si>
  <si>
    <t>FLX01322</t>
  </si>
  <si>
    <t>Bateria para Moto G6 Play BL270 2</t>
  </si>
  <si>
    <t>Bateria para Moto G6 Plus JT40</t>
  </si>
  <si>
    <t>FLX01323</t>
  </si>
  <si>
    <t>Bateria para Moto Razr XT912 XT910</t>
  </si>
  <si>
    <t>FLX01348</t>
  </si>
  <si>
    <t>Bateria para Moto Z GV30 XT1650</t>
  </si>
  <si>
    <t>FLX03836</t>
  </si>
  <si>
    <t>Bateria para Motorola Moto X4 HX40</t>
  </si>
  <si>
    <t>FLX03770</t>
  </si>
  <si>
    <t>Bateria para Nexus 4 E960 2100mah 3.8v BL-T5</t>
  </si>
  <si>
    <t>FLX03504</t>
  </si>
  <si>
    <t>Bateria para Nexus 5 D820 2300mah BL-T9</t>
  </si>
  <si>
    <t>FLX01975</t>
  </si>
  <si>
    <t>Bateria para Nexus 6 XT1100 3025mAh EZ30</t>
  </si>
  <si>
    <t>FLX03695</t>
  </si>
  <si>
    <t>Bateria para Nintendo 2DS 3DS 2000mAh CTR-003 1</t>
  </si>
  <si>
    <t>FLX01248</t>
  </si>
  <si>
    <t>Bateria para Nintendo 2DS 3DS 2000mAh CTR-003 2</t>
  </si>
  <si>
    <t>Bateria para Nintendo 3DS XL 2000mAh SPR-003 1</t>
  </si>
  <si>
    <t>Bateria para Nintendo 3DS XL 2000mAh SPR-003 2</t>
  </si>
  <si>
    <t>Bateria para Nintendo DS Lite</t>
  </si>
  <si>
    <t>FLX01325</t>
  </si>
  <si>
    <t>Bateria para Nintendo DSi 2000mAh</t>
  </si>
  <si>
    <t>FLX02328</t>
  </si>
  <si>
    <t>Bateria para Nintendo DSi XL</t>
  </si>
  <si>
    <t>FLX02327</t>
  </si>
  <si>
    <t>Bateria para Nintendo Gameboy Advance SP</t>
  </si>
  <si>
    <t>Bateria para Nintendo Joycon Switch HAC-006</t>
  </si>
  <si>
    <t>Bateria para Nintendo Switch 4310mah RA-003</t>
  </si>
  <si>
    <t>Bateria para Nintendo Switch Lite HDH-003</t>
  </si>
  <si>
    <t>FLX01327</t>
  </si>
  <si>
    <t>Bateria para Nintendo Wii U WUP-012 1500mAh 1</t>
  </si>
  <si>
    <t>FLX02259</t>
  </si>
  <si>
    <t>Bateria para Nintendo Wii U WUP-012 1500mAh 2</t>
  </si>
  <si>
    <t>Bateria para Nokia Lumia 1020</t>
  </si>
  <si>
    <t>FLX02925</t>
  </si>
  <si>
    <t>Bateria para Nokia Lumia 1520</t>
  </si>
  <si>
    <t>FLX02924</t>
  </si>
  <si>
    <t>Bateria para Nokia Lumia 2680mAh E5 E7 N97 Mini N8</t>
  </si>
  <si>
    <t>FLX01345</t>
  </si>
  <si>
    <t>Bateria para Nokia Lumia 820 BP-5T AC</t>
  </si>
  <si>
    <t>FLX01974</t>
  </si>
  <si>
    <t>Bateria para Nokia Lumia 920</t>
  </si>
  <si>
    <t>FLX01826</t>
  </si>
  <si>
    <t>Bateria para PSP 2000 3000 1</t>
  </si>
  <si>
    <t>Bateria para PSP 2000 3000 2</t>
  </si>
  <si>
    <t>Bateria para PSP Vita</t>
  </si>
  <si>
    <t>Bateria para PSP Vita Slim</t>
  </si>
  <si>
    <t>Bateria para Xiaomi Mi 6 BM39</t>
  </si>
  <si>
    <t>Bateria para Xiaomi Mi 6X BN36 2910mAh</t>
  </si>
  <si>
    <t>FLX01087</t>
  </si>
  <si>
    <t>Bateria para Xiaomi Note 4 BN41</t>
  </si>
  <si>
    <t>FLX03282</t>
  </si>
  <si>
    <t>Bateria para Xiaomi Note 5 BN45</t>
  </si>
  <si>
    <t>Bateria para Xiaomi Note 6 Pro BN48 3900mAh</t>
  </si>
  <si>
    <t>Bateria para Xiaomi Redmi 5 Plus BN44</t>
  </si>
  <si>
    <t>Bateria para Xiaomi Redmi A4 BN30</t>
  </si>
  <si>
    <t>FLX01351</t>
  </si>
  <si>
    <t>Bateria para Xiaomi Redmi Note 3 BM46</t>
  </si>
  <si>
    <t>Bateria para Xiaomi Redmi Note 4X BN43</t>
  </si>
  <si>
    <t>Bateria para Xperia E4 2300mAh</t>
  </si>
  <si>
    <t>FLX03675</t>
  </si>
  <si>
    <t>Bateria para Xperia GO ST27i ST27a</t>
  </si>
  <si>
    <t>FLX03530</t>
  </si>
  <si>
    <t>Bateria para Xperia M5 2600mAh</t>
  </si>
  <si>
    <t>FLX03706</t>
  </si>
  <si>
    <t>Bateria para Xperia SP C5303 M35h M35c</t>
  </si>
  <si>
    <t>FLX01940</t>
  </si>
  <si>
    <t>Bateria para Xperia T LT30P</t>
  </si>
  <si>
    <t>FLX01801</t>
  </si>
  <si>
    <t>Bateria para Xperia XA1 Ultra LIP1641ERPXC</t>
  </si>
  <si>
    <t>FLX01355</t>
  </si>
  <si>
    <t>Bateria para Xperia XZ LIS1632ERPC 2900mAh F8331</t>
  </si>
  <si>
    <t>FLX02947</t>
  </si>
  <si>
    <t>Bateria para Xperia Z Ultra LTE C6806 3000mAh</t>
  </si>
  <si>
    <t>Bateria para Xperia Z1 C6903 C6902 C6906 L39H NOR</t>
  </si>
  <si>
    <t>FLX03565</t>
  </si>
  <si>
    <t>Bateria para Xperia Z1 L39T L39U</t>
  </si>
  <si>
    <t>FLX02949</t>
  </si>
  <si>
    <t>Bateria para Xperia Z2 3200mAh</t>
  </si>
  <si>
    <t>FLX02948</t>
  </si>
  <si>
    <t>Bateria para Xperia Z3 3100mAh</t>
  </si>
  <si>
    <t>FLX03626</t>
  </si>
  <si>
    <t>Bateria para Xperia Z3 Compact C4 2600mAh</t>
  </si>
  <si>
    <t>FLX03625</t>
  </si>
  <si>
    <t>Bateria para Xperia Z3+ Plus 3100mAh</t>
  </si>
  <si>
    <t>FLX03666</t>
  </si>
  <si>
    <t>Bateria para Xperia Z5 2900mAh</t>
  </si>
  <si>
    <t>FLX02950</t>
  </si>
  <si>
    <t>Bateria para Xperia Z5 3000mAh</t>
  </si>
  <si>
    <t>FLX03699</t>
  </si>
  <si>
    <t>Bateria para Xperia Z5 Compact LIS594ERPC 2700mAh</t>
  </si>
  <si>
    <t>FLX03705</t>
  </si>
  <si>
    <t>Bateria para Xperia Z5 Premium LIS1605ERPC</t>
  </si>
  <si>
    <t>Bateria para ZTE A510 Li3822T43P8h725640</t>
  </si>
  <si>
    <t>Bateria para ZTE Blade A520</t>
  </si>
  <si>
    <t>Bateria para ZTE Blade V880 U880 1350mAh</t>
  </si>
  <si>
    <t>FLX02174</t>
  </si>
  <si>
    <t>Bateria para ZTE V8 Li3927T44P8h786035 2730mAh</t>
  </si>
  <si>
    <t>FLX02946</t>
  </si>
  <si>
    <t>Bateria para ZTE Z Max Z982 V Ultra</t>
  </si>
  <si>
    <t>Bateria para Zune HD 16GB 32GB 700mAh</t>
  </si>
  <si>
    <t>FLX02921</t>
  </si>
  <si>
    <t>Bateria power bank Xiaomi gris plata 5.1V 5000mAh</t>
  </si>
  <si>
    <t>FLX02951</t>
  </si>
  <si>
    <t>Bluetooth auricular Mini Azul</t>
  </si>
  <si>
    <t>Bluetooth auricular Mini Blanco</t>
  </si>
  <si>
    <t>Bluetooth auricular Mini Cafe</t>
  </si>
  <si>
    <t>FLX03787</t>
  </si>
  <si>
    <t>Bluetooth auricular Mini Negro</t>
  </si>
  <si>
    <t>FLX03786</t>
  </si>
  <si>
    <t>Bluetooth auricular Mini Rosa</t>
  </si>
  <si>
    <t>FLX03807</t>
  </si>
  <si>
    <t>Bocina altavoz antena para Galaxy Nexus I9250</t>
  </si>
  <si>
    <t>FLX01638</t>
  </si>
  <si>
    <t>Bocina altavoz antena para LG Nexus 4 E960</t>
  </si>
  <si>
    <t>FLX01647</t>
  </si>
  <si>
    <t>Bocina altavoz jack para Galaxy S3 blanco</t>
  </si>
  <si>
    <t>FLX01651</t>
  </si>
  <si>
    <t>Bocina altavoz jack para Galaxy S3 negro</t>
  </si>
  <si>
    <t>FLX01652</t>
  </si>
  <si>
    <t>Bocina altavoz para Galaxy A5 A500 2015</t>
  </si>
  <si>
    <t>FLX01899</t>
  </si>
  <si>
    <t>Bocina altavoz para Galaxy A7 A710 2016</t>
  </si>
  <si>
    <t>FLX00415</t>
  </si>
  <si>
    <t>Bocina altavoz para Galaxy A7 A730 2018</t>
  </si>
  <si>
    <t>FLX02137</t>
  </si>
  <si>
    <t>Bocina altavoz para Galaxy A8 A530 2018</t>
  </si>
  <si>
    <t>FLX00425</t>
  </si>
  <si>
    <t>Bocina altavoz para Galaxy Ace S5830</t>
  </si>
  <si>
    <t>FLX01649</t>
  </si>
  <si>
    <t>Bocina altavoz para Galaxy Alpha G850</t>
  </si>
  <si>
    <t>FLX02113</t>
  </si>
  <si>
    <t>Bocina altavoz para Galaxy Core 2 G355</t>
  </si>
  <si>
    <t>FLX03630</t>
  </si>
  <si>
    <t>Bocina altavoz para Galaxy J1 J100 2015</t>
  </si>
  <si>
    <t>FLX03631</t>
  </si>
  <si>
    <t>Bocina altavoz para Galaxy J3 J330 2017</t>
  </si>
  <si>
    <t>FLX01079</t>
  </si>
  <si>
    <t>Bocina altavoz para Galaxy J5 J530 2017</t>
  </si>
  <si>
    <t>FLX01641</t>
  </si>
  <si>
    <t>Bocina altavoz para Galaxy Note 10.1 P600</t>
  </si>
  <si>
    <t>FLX02166</t>
  </si>
  <si>
    <t>Bocina altavoz para Galaxy Note 2 N7100 blanco</t>
  </si>
  <si>
    <t>FLX01653</t>
  </si>
  <si>
    <t>Bocina altavoz para Galaxy Note 2 N7100 negro</t>
  </si>
  <si>
    <t>FLX01654</t>
  </si>
  <si>
    <t>Bocina altavoz para Galaxy Note 3 N900 negro</t>
  </si>
  <si>
    <t>FLX01643</t>
  </si>
  <si>
    <t>Bocina altavoz para Galaxy Note 4 N910</t>
  </si>
  <si>
    <t>FLX03729</t>
  </si>
  <si>
    <t>Bocina altavoz para Galaxy Note 5 N920</t>
  </si>
  <si>
    <t>FLX01650</t>
  </si>
  <si>
    <t>Bocina altavoz para Galaxy S10 G973</t>
  </si>
  <si>
    <t>FLX00732</t>
  </si>
  <si>
    <t>Bocina altavoz para Galaxy S4 i9500 blanco</t>
  </si>
  <si>
    <t>FLX01078</t>
  </si>
  <si>
    <t>Bocina altavoz para Galaxy S4 Zoom C101</t>
  </si>
  <si>
    <t>FLX00690</t>
  </si>
  <si>
    <t>Bocina altavoz para Galaxy S6 Edge G925</t>
  </si>
  <si>
    <t>FLX01825</t>
  </si>
  <si>
    <t>Bocina altavoz para Galaxy S7 Active G891</t>
  </si>
  <si>
    <t>FLX01083</t>
  </si>
  <si>
    <t>Bocina altavoz para Galaxy S7 Edge</t>
  </si>
  <si>
    <t>FLX01084</t>
  </si>
  <si>
    <t>Bocina altavoz para Galaxy S8 G950</t>
  </si>
  <si>
    <t>FLX01085</t>
  </si>
  <si>
    <t>Bocina altavoz para Galaxy S9 G960</t>
  </si>
  <si>
    <t>FLX00733</t>
  </si>
  <si>
    <t>Bocina altavoz para HTC One M8 Mini</t>
  </si>
  <si>
    <t>FLX03635</t>
  </si>
  <si>
    <t>Bocina altavoz para Huawei Mate 20 HMA-L29</t>
  </si>
  <si>
    <t>FLX01359</t>
  </si>
  <si>
    <t>Bocina altavoz para Huawei P Smart 7S</t>
  </si>
  <si>
    <t>FLX00354</t>
  </si>
  <si>
    <t>Bocina altavoz para Huawei P10 VTR-L29</t>
  </si>
  <si>
    <t>FLX02035</t>
  </si>
  <si>
    <t>Bocina altavoz para iPad 2</t>
  </si>
  <si>
    <t>FLX00567</t>
  </si>
  <si>
    <t>Bocina altavoz para iPad 3 y 4</t>
  </si>
  <si>
    <t>FLX00655</t>
  </si>
  <si>
    <t>Bocina altavoz para iPhone 4 y 4S</t>
  </si>
  <si>
    <t>FLX01639</t>
  </si>
  <si>
    <t>Bocina altavoz para iPhone 5</t>
  </si>
  <si>
    <t>FLX01080</t>
  </si>
  <si>
    <t>Bocina altavoz para iPhone 5S y SE</t>
  </si>
  <si>
    <t>FLX01642</t>
  </si>
  <si>
    <t>Bocina altavoz para iPhone 6 4.7 1</t>
  </si>
  <si>
    <t>FLX00433</t>
  </si>
  <si>
    <t>Bocina altavoz para iPhone 6 4.7 2</t>
  </si>
  <si>
    <t>FLX02232</t>
  </si>
  <si>
    <t>Bocina altavoz para iPhone 6 Plus 5.5</t>
  </si>
  <si>
    <t>FLX01844</t>
  </si>
  <si>
    <t>Bocina altavoz para iPhone 6S 4.7 1</t>
  </si>
  <si>
    <t>FLX01789</t>
  </si>
  <si>
    <t>Bocina altavoz para iPhone 6S 4.7 2</t>
  </si>
  <si>
    <t>FLX02165</t>
  </si>
  <si>
    <t>Bocina altavoz para iPhone 6S Plus 5.5</t>
  </si>
  <si>
    <t>FLX00802</t>
  </si>
  <si>
    <t>Bocina altavoz para iPhone 7 4.7"</t>
  </si>
  <si>
    <t>FLX00495</t>
  </si>
  <si>
    <t>Bocina altavoz para iPhone 7 Plus 5.5"</t>
  </si>
  <si>
    <t>Bocina altavoz para iPhone 8 4.7"</t>
  </si>
  <si>
    <t>Bocina altavoz para iPhone 8 Plus 5.5"</t>
  </si>
  <si>
    <t>Bocina altavoz para iPod Touch 2</t>
  </si>
  <si>
    <t>FLX03482</t>
  </si>
  <si>
    <t>Bocina altavoz para iPod Touch 3</t>
  </si>
  <si>
    <t>FLX03481</t>
  </si>
  <si>
    <t>Bocina altavoz para iPod Touch 4</t>
  </si>
  <si>
    <t>FLX00902</t>
  </si>
  <si>
    <t>Bocina altavoz para LG G5 H860</t>
  </si>
  <si>
    <t>FLX03272</t>
  </si>
  <si>
    <t>Bocina altavoz para LG Magna H50</t>
  </si>
  <si>
    <t>FLX00682</t>
  </si>
  <si>
    <t>Bocina altavoz para LG Nexus 5X</t>
  </si>
  <si>
    <t>FLX03523</t>
  </si>
  <si>
    <t>Bocina altavoz para LG Optimus L5 E610</t>
  </si>
  <si>
    <t>FLX01645</t>
  </si>
  <si>
    <t>Bocina altavoz para LG Optimus L7 P700</t>
  </si>
  <si>
    <t>FLX01646</t>
  </si>
  <si>
    <t>Bocina altavoz para Moto G6 / G6 Play</t>
  </si>
  <si>
    <t>Bocina altavoz para Moto G7 G8 Play Power Lite</t>
  </si>
  <si>
    <t>Bocina altavoz para Nexus 6 Xt1100</t>
  </si>
  <si>
    <t>FLX01640</t>
  </si>
  <si>
    <t>Bocina altavoz para Nexus 6P H1511</t>
  </si>
  <si>
    <t>FLX00432</t>
  </si>
  <si>
    <t>Bocina altavoz para Nokia Lumia 820</t>
  </si>
  <si>
    <t>FLX01644</t>
  </si>
  <si>
    <t>Bocina altavoz para Xperia E5</t>
  </si>
  <si>
    <t>FLX00348</t>
  </si>
  <si>
    <t>Bocina altavoz para Xperia M5</t>
  </si>
  <si>
    <t>FLX00689</t>
  </si>
  <si>
    <t>Bocina altavoz para Xperia XA1</t>
  </si>
  <si>
    <t>FLX00343</t>
  </si>
  <si>
    <t>Bocina altavoz para Xperia XA1 Ultra</t>
  </si>
  <si>
    <t>FLX03930</t>
  </si>
  <si>
    <t>Bocina altavoz para Xperia XA2 Ultra</t>
  </si>
  <si>
    <t>FLX00322</t>
  </si>
  <si>
    <t>Bocina altavoz para Xperia Z</t>
  </si>
  <si>
    <t>FLX03773</t>
  </si>
  <si>
    <t>Bocina altavoz para Xperia Z1 y Z2</t>
  </si>
  <si>
    <t>FLX03688</t>
  </si>
  <si>
    <t>Bocina altavoz vibrador para Xperia Z2</t>
  </si>
  <si>
    <t>FLX03843</t>
  </si>
  <si>
    <t>Bocina auricular jack para Galaxy Note 2 N7100</t>
  </si>
  <si>
    <t>FLX02070</t>
  </si>
  <si>
    <t>Bocina auricular jack para Galaxy Note 8" N5100</t>
  </si>
  <si>
    <t>Bocina auricular jack para Galaxy Note N7000</t>
  </si>
  <si>
    <t>FLX02167</t>
  </si>
  <si>
    <t>Bocina auricular jack para Galaxy S2 I727</t>
  </si>
  <si>
    <t>FLX01893</t>
  </si>
  <si>
    <t>Bocina auricular jack sensor para Galaxy S I9000</t>
  </si>
  <si>
    <t>FLX03438</t>
  </si>
  <si>
    <t>Bocina auricular para Galaxy A20 A30 A40 A50</t>
  </si>
  <si>
    <t>Bocina auricular para Galaxy Advance I9070</t>
  </si>
  <si>
    <t>FLX03510</t>
  </si>
  <si>
    <t>Bocina auricular para Galaxy Core Plus G3500</t>
  </si>
  <si>
    <t>FLX03634</t>
  </si>
  <si>
    <t>Bocina auricular para Galaxy Mega 2 G750</t>
  </si>
  <si>
    <t>FLX03632</t>
  </si>
  <si>
    <t>Bocina auricular para Galaxy Mega 6.3 i9200</t>
  </si>
  <si>
    <t>FLX03791</t>
  </si>
  <si>
    <t>Bocina auricular para Galaxy Nexus I9250</t>
  </si>
  <si>
    <t>FLX03397</t>
  </si>
  <si>
    <t>Bocina auricular para Galaxy S8 y S8 Plus</t>
  </si>
  <si>
    <t>FLX00764</t>
  </si>
  <si>
    <t>Bocina auricular para Galaxy S9 S10+ Plus</t>
  </si>
  <si>
    <t>FLX02704</t>
  </si>
  <si>
    <t>Bocina auricular para Galaxy Win I8552</t>
  </si>
  <si>
    <t>FLX02182</t>
  </si>
  <si>
    <t>Bocina auricular para iPhone 11 completo</t>
  </si>
  <si>
    <t>FLX02840</t>
  </si>
  <si>
    <t>Bocina auricular para iPhone 11 Pro completo</t>
  </si>
  <si>
    <t>Bocina auricular para iPhone 12</t>
  </si>
  <si>
    <t>FLX01188</t>
  </si>
  <si>
    <t>Bocina auricular para iPhone 3G y 3GS</t>
  </si>
  <si>
    <t>FLX01189</t>
  </si>
  <si>
    <t>Bocina auricular para iPhone 4</t>
  </si>
  <si>
    <t>FLX01780</t>
  </si>
  <si>
    <t>Bocina auricular para iPhone 4S</t>
  </si>
  <si>
    <t>FLX01081</t>
  </si>
  <si>
    <t>Bocina auricular para iPhone 5</t>
  </si>
  <si>
    <t>FLX01082</t>
  </si>
  <si>
    <t>Bocina auricular para iPhone 5C</t>
  </si>
  <si>
    <t>FLX01186</t>
  </si>
  <si>
    <t>Bocina auricular para iPhone 5S y SE</t>
  </si>
  <si>
    <t>FLX01187</t>
  </si>
  <si>
    <t>Bocina auricular para iPhone 6 4.7</t>
  </si>
  <si>
    <t>FLX01065</t>
  </si>
  <si>
    <t>Bocina auricular para iPhone 6 Plus 5.5</t>
  </si>
  <si>
    <t>FLX01066</t>
  </si>
  <si>
    <t>Bocina auricular para iPhone 6S 4.7</t>
  </si>
  <si>
    <t>FLX01067</t>
  </si>
  <si>
    <t>Bocina auricular para iPhone 6S Plus 5.5</t>
  </si>
  <si>
    <t>FLX00934</t>
  </si>
  <si>
    <t>Bocina auricular para iPhone 7 Plus 5.5" 1</t>
  </si>
  <si>
    <t>Bocina auricular para iPhone 7 Plus 5.5" 2</t>
  </si>
  <si>
    <t>FLX02135</t>
  </si>
  <si>
    <t>Bocina auricular para iPhone 7 y 8 4.7" 1</t>
  </si>
  <si>
    <t>Bocina auricular para iPhone 7 y 8 4.7" 2</t>
  </si>
  <si>
    <t>Bocina auricular para iPhone 7 y 8 4.7" 3</t>
  </si>
  <si>
    <t>FLX01900</t>
  </si>
  <si>
    <t>Bocina auricular para iPhone X</t>
  </si>
  <si>
    <t>Bocina auricular para iPhone X completo</t>
  </si>
  <si>
    <t>Bocina auricular para iPhone XR</t>
  </si>
  <si>
    <t>FLX00469</t>
  </si>
  <si>
    <t>Bocina auricular para iPhone XR completo 1</t>
  </si>
  <si>
    <t>FLX00207</t>
  </si>
  <si>
    <t>Bocina auricular para iPhone XR completo 2</t>
  </si>
  <si>
    <t>FLX02653</t>
  </si>
  <si>
    <t>Bocina auricular para iPhone XS completo</t>
  </si>
  <si>
    <t>FLX00206</t>
  </si>
  <si>
    <t>Bocina auricular para iPhone XS Max completo</t>
  </si>
  <si>
    <t>Bocina auricular para LG G4 Stylo 2 H815</t>
  </si>
  <si>
    <t>FLX03854</t>
  </si>
  <si>
    <t>Bocina auricular para LG G5 H860</t>
  </si>
  <si>
    <t>FLX01094</t>
  </si>
  <si>
    <t>Bocina auricular para LG L7 P700</t>
  </si>
  <si>
    <t>FLX03403</t>
  </si>
  <si>
    <t>Bocina auricular para LG Nexus 4 E960</t>
  </si>
  <si>
    <t>FLX03555</t>
  </si>
  <si>
    <t>Bocina auricular para LG Optimus L3 E400</t>
  </si>
  <si>
    <t>FLX03405</t>
  </si>
  <si>
    <t>Bocina auricular para LG Optimus L5 E610</t>
  </si>
  <si>
    <t>FLX03401</t>
  </si>
  <si>
    <t>Bocina auricular para Xperia M2</t>
  </si>
  <si>
    <t>FLX03844</t>
  </si>
  <si>
    <t>Bocina auricular para Xperia M4</t>
  </si>
  <si>
    <t>Bocina auricular para Xperia Z3 Compact</t>
  </si>
  <si>
    <t>FLX03689</t>
  </si>
  <si>
    <t>Bocina auricular sensor para Galaxy S6 Edge G925</t>
  </si>
  <si>
    <t>FLX03806</t>
  </si>
  <si>
    <t>Bocinas altavoces para Macbook A1278</t>
  </si>
  <si>
    <t>FLX02733</t>
  </si>
  <si>
    <t>Bocinas altavoces para Macbook A1286</t>
  </si>
  <si>
    <t>FLX02735</t>
  </si>
  <si>
    <t>Bocinas altavoces para Macbook A1398</t>
  </si>
  <si>
    <t>FLX02732</t>
  </si>
  <si>
    <t>Bocinas altavoces para Macbook A1502</t>
  </si>
  <si>
    <t>Bolsa 100 conector adaptador RJ45 Cat E5</t>
  </si>
  <si>
    <t>FLX02730</t>
  </si>
  <si>
    <t>Boton encendido hoverboard scooter patin</t>
  </si>
  <si>
    <t>FLX03737</t>
  </si>
  <si>
    <t>Boton encendido para Galaxy S I9000</t>
  </si>
  <si>
    <t>FLX03452</t>
  </si>
  <si>
    <t>Boton encendido para iPhone 4 y 4S metralla</t>
  </si>
  <si>
    <t>FLX03779</t>
  </si>
  <si>
    <t>Boton encendido para Moto G XT1032</t>
  </si>
  <si>
    <t>FLX00390</t>
  </si>
  <si>
    <t>Boton encendido volumen mute para iPad Mini negro</t>
  </si>
  <si>
    <t>FLX02181</t>
  </si>
  <si>
    <t>Boton encendido volumen mute para iPad Mini plata</t>
  </si>
  <si>
    <t>FLX02151</t>
  </si>
  <si>
    <t>Boton encendido volumen mute para iPhone 4S plata</t>
  </si>
  <si>
    <t>Boton encendido volumen mute para iPhone 5 negro</t>
  </si>
  <si>
    <t>FLX03307</t>
  </si>
  <si>
    <t>Boton encendido volumen mute para iPhone 5 plata</t>
  </si>
  <si>
    <t>FLX03306</t>
  </si>
  <si>
    <t>Boton encendido volumen mute para iPhone 5S plata</t>
  </si>
  <si>
    <t>FLX03463</t>
  </si>
  <si>
    <t>Boton encendido volumen mute para iPhone 8 negro</t>
  </si>
  <si>
    <t>FLX03928</t>
  </si>
  <si>
    <t>Boton encendido volumen mute para iPhone 8 oro</t>
  </si>
  <si>
    <t>FLX03927</t>
  </si>
  <si>
    <t>Boton encendido volumen mute para iPhone 8 plata</t>
  </si>
  <si>
    <t>FLX03926</t>
  </si>
  <si>
    <t>Boton encendido volumen mute para iPhone X negro</t>
  </si>
  <si>
    <t>FLX03929</t>
  </si>
  <si>
    <t>Boton encendido volumen mute para iPhone X plata</t>
  </si>
  <si>
    <t>FLX03296</t>
  </si>
  <si>
    <t>Boton encendido volumen para Galaxy Note 2 negro</t>
  </si>
  <si>
    <t>FLX03532</t>
  </si>
  <si>
    <t>Boton encendido volumen para iPhone 8 Plus negro</t>
  </si>
  <si>
    <t>FLX03923</t>
  </si>
  <si>
    <t>Boton encendido volumen para iPhone 8 Plus oro</t>
  </si>
  <si>
    <t>FLX03924</t>
  </si>
  <si>
    <t>Boton encendido volumen para iPhone 8 Plus plata</t>
  </si>
  <si>
    <t>FLX03925</t>
  </si>
  <si>
    <t>Boton encendido volumen para LG G2 D800 blanco</t>
  </si>
  <si>
    <t>FLX03561</t>
  </si>
  <si>
    <t>Boton encendido volumen para LG G2 D800 negro</t>
  </si>
  <si>
    <t>FLX03562</t>
  </si>
  <si>
    <t>Boton encendido volumen para Moto G7 Play azul</t>
  </si>
  <si>
    <t>Boton encendido volumen para Moto G7 Play oro</t>
  </si>
  <si>
    <t>Boton encendido volumen para Moto G8 Play negro</t>
  </si>
  <si>
    <t>FLX00639</t>
  </si>
  <si>
    <t>Boton home para Galaxy A3 A5 A7 A500 2015 azul</t>
  </si>
  <si>
    <t>FLX00492</t>
  </si>
  <si>
    <t>Boton home para Galaxy A3 A5 A7 A500 2015 blanco</t>
  </si>
  <si>
    <t>Boton home para Galaxy A3 A5 A7 A500 2015 oro</t>
  </si>
  <si>
    <t>FLX00493</t>
  </si>
  <si>
    <t>Boton home para Galaxy Grand Prime J500 blanco</t>
  </si>
  <si>
    <t>FLX01755</t>
  </si>
  <si>
    <t>Boton home para Galaxy Grand Prime J500 negro</t>
  </si>
  <si>
    <t>FLX01756</t>
  </si>
  <si>
    <t>Boton home para Galaxy Grand Prime J500 oro</t>
  </si>
  <si>
    <t>FLX01757</t>
  </si>
  <si>
    <t>Boton home para Galaxy Grand Prime J500 plata</t>
  </si>
  <si>
    <t>FLX01758</t>
  </si>
  <si>
    <t>Boton home para Galaxy Note 2 N7100 blanco</t>
  </si>
  <si>
    <t>FLX03395</t>
  </si>
  <si>
    <t>Boton home para Galaxy Note 2 N7100 gris</t>
  </si>
  <si>
    <t>FLX03427</t>
  </si>
  <si>
    <t>Boton home para Galaxy Note 2 N7100 negro</t>
  </si>
  <si>
    <t>FLX03394</t>
  </si>
  <si>
    <t>Boton home para Galaxy Note 3 N900 blanco</t>
  </si>
  <si>
    <t>FLX02068</t>
  </si>
  <si>
    <t>Boton home para Galaxy Note N7000 blanco</t>
  </si>
  <si>
    <t>FLX03415</t>
  </si>
  <si>
    <t>Boton home para Galaxy Note N7000 negro</t>
  </si>
  <si>
    <t>FLX03416</t>
  </si>
  <si>
    <t>Boton home para Galaxy S2 I9100 blanco</t>
  </si>
  <si>
    <t>FLX03374</t>
  </si>
  <si>
    <t>Boton home para Galaxy S3 I9300 azul</t>
  </si>
  <si>
    <t>FLX03356</t>
  </si>
  <si>
    <t>Boton home para Galaxy S3 I9300 blanco</t>
  </si>
  <si>
    <t>FLX03354</t>
  </si>
  <si>
    <t>Boton home para Galaxy S3 I9300 cafe</t>
  </si>
  <si>
    <t>FLX03433</t>
  </si>
  <si>
    <t>Boton home para Galaxy S3 I9300 gris</t>
  </si>
  <si>
    <t>FLX03430</t>
  </si>
  <si>
    <t>Boton home para Galaxy S3 I9300 negro</t>
  </si>
  <si>
    <t>FLX03426</t>
  </si>
  <si>
    <t>Boton home para Galaxy S3 I9300 rojo</t>
  </si>
  <si>
    <t>FLX03432</t>
  </si>
  <si>
    <t>Boton home para Galaxy S3 Mini I8190 azul</t>
  </si>
  <si>
    <t>FLX03423</t>
  </si>
  <si>
    <t>Boton home para Galaxy S4 I9500 azul</t>
  </si>
  <si>
    <t>FLX03431</t>
  </si>
  <si>
    <t>Boton home para Galaxy S4 I9500 blanco</t>
  </si>
  <si>
    <t>FLX02069</t>
  </si>
  <si>
    <t>Boton home para iPad 2 3 4 blanco</t>
  </si>
  <si>
    <t>Boton home para iPad 2 3 4 negro</t>
  </si>
  <si>
    <t>FLX03350</t>
  </si>
  <si>
    <t>Boton home para iPad 2 y 3 tarjeta</t>
  </si>
  <si>
    <t>FLX03357</t>
  </si>
  <si>
    <t>Boton home para iPad Air blanco</t>
  </si>
  <si>
    <t>FLX02052</t>
  </si>
  <si>
    <t>Boton home para iPad Air negro</t>
  </si>
  <si>
    <t>FLX02051</t>
  </si>
  <si>
    <t>Boton home para iPad Mini blanco</t>
  </si>
  <si>
    <t>FLX02143</t>
  </si>
  <si>
    <t>Boton home para iPad Mini negro</t>
  </si>
  <si>
    <t>FLX01947</t>
  </si>
  <si>
    <t>Boton home para iPhone 3G y 3GS blanco</t>
  </si>
  <si>
    <t>FLX03380</t>
  </si>
  <si>
    <t>Boton home para iPhone 3G y 3GS negro</t>
  </si>
  <si>
    <t>FLX03381</t>
  </si>
  <si>
    <t>Boton home para iPhone 4 y 4S blanco</t>
  </si>
  <si>
    <t>FLX03745</t>
  </si>
  <si>
    <t>Boton home para iPhone 4 y 4S negro</t>
  </si>
  <si>
    <t>FLX03744</t>
  </si>
  <si>
    <t>Boton home para iPhone 5 blanco</t>
  </si>
  <si>
    <t>FLX02033</t>
  </si>
  <si>
    <t>Boton home para iPhone 5 negro</t>
  </si>
  <si>
    <t>FLX03348</t>
  </si>
  <si>
    <t>Boton home para iPod Touch 2 y 3 negro</t>
  </si>
  <si>
    <t>FLX01951</t>
  </si>
  <si>
    <t>Boton home para iPod Touch 4 blanco goma</t>
  </si>
  <si>
    <t>FLX03358</t>
  </si>
  <si>
    <t>Boton home para iPod Touch 4 negro goma</t>
  </si>
  <si>
    <t>FLX03360</t>
  </si>
  <si>
    <t>Boton home para iPod Touch 5 negro</t>
  </si>
  <si>
    <t>FLX03359</t>
  </si>
  <si>
    <t>Botones para Xiaomi Redmi Note 7 Pro azul</t>
  </si>
  <si>
    <t>Botones para Xiaomi Redmi Note 7 Pro negro</t>
  </si>
  <si>
    <t>Bracket abrazadera sujetador bateria para iPhone 4</t>
  </si>
  <si>
    <t>FLX01546</t>
  </si>
  <si>
    <t>Bracket aro boton home para iPhone 5S</t>
  </si>
  <si>
    <t>FLX03461</t>
  </si>
  <si>
    <t>Bracket clip de antena wifi iPhone 4s</t>
  </si>
  <si>
    <t>FLX02153</t>
  </si>
  <si>
    <t>Bracket cubierta para iPhone 4 camara frontal</t>
  </si>
  <si>
    <t>FLX02175</t>
  </si>
  <si>
    <t>Bracket soporte boton home para iPhone 5</t>
  </si>
  <si>
    <t>Bracket soporte cubierta bateria para iPhone 4</t>
  </si>
  <si>
    <t>FLX02149</t>
  </si>
  <si>
    <t>Bracket soporte metalico cubierta para iPhone 3GS</t>
  </si>
  <si>
    <t>FLX03318</t>
  </si>
  <si>
    <t>Bracket sujetador bateria para iPhone 4S</t>
  </si>
  <si>
    <t>FLX03474</t>
  </si>
  <si>
    <t>Bracket sujetador flex volumen para iPhone 5</t>
  </si>
  <si>
    <t>FLX03454</t>
  </si>
  <si>
    <t>Bracket sujetador switch silencio para iPhone 5</t>
  </si>
  <si>
    <t>FLX03455</t>
  </si>
  <si>
    <t>Cable 1M Colores Certificado iOS 8 5 5S 6 6 Plus</t>
  </si>
  <si>
    <t>FLX03512</t>
  </si>
  <si>
    <t>Cable 2.54MM Smartwatch</t>
  </si>
  <si>
    <t>FLX02309</t>
  </si>
  <si>
    <t>Cable adaptador 3.5MM Mini Usb</t>
  </si>
  <si>
    <t>FLX03915</t>
  </si>
  <si>
    <t>Cable adaptador colilla control para Xbox 360</t>
  </si>
  <si>
    <t>Cable adaptador con puerto PS/2 para mouse teclado</t>
  </si>
  <si>
    <t>Cable adaptador Display Port a HDMI Full HD</t>
  </si>
  <si>
    <t>Cable adaptador divisor splitter video HDMI 1</t>
  </si>
  <si>
    <t>Cable adaptador divisor splitter video HDMI 2</t>
  </si>
  <si>
    <t>Cable adaptador divisor splitter video VGA</t>
  </si>
  <si>
    <t>Cable adaptador fuente para Xbox 360 E</t>
  </si>
  <si>
    <t>FLX02303</t>
  </si>
  <si>
    <t>Cable adaptador fuente para Xbox 360 One</t>
  </si>
  <si>
    <t>Cable adaptador fuente para Xbox 360 Slim</t>
  </si>
  <si>
    <t>FLX02301</t>
  </si>
  <si>
    <t>Cable adaptador IDE SATA USB 3.0</t>
  </si>
  <si>
    <t>Cable adaptador MHL Micro USB</t>
  </si>
  <si>
    <t>Cable adaptador Mini Display Port VGA blanco 1</t>
  </si>
  <si>
    <t>Cable adaptador Mini Display Port VGA blanco 2</t>
  </si>
  <si>
    <t>FLX02223</t>
  </si>
  <si>
    <t>Cable adaptador Mini Display Port VGA negro</t>
  </si>
  <si>
    <t>FLX02756</t>
  </si>
  <si>
    <t>Cable adaptador Mini DP DVI blanco</t>
  </si>
  <si>
    <t>FLX01120</t>
  </si>
  <si>
    <t>Cable adaptador Mini DP DVI negro</t>
  </si>
  <si>
    <t>Cable adaptador OTG a 30 pins para tablet Samsung</t>
  </si>
  <si>
    <t>FLX03366</t>
  </si>
  <si>
    <t>Cable adaptador para GoPro 3.5MM Mini Usb 3 3+ 4</t>
  </si>
  <si>
    <t>Cable adaptador red 1 puerto RJ45 USB</t>
  </si>
  <si>
    <t>FLX03776</t>
  </si>
  <si>
    <t>Cable adaptador red 1 puerto RJ45 USB C</t>
  </si>
  <si>
    <t>Cable adaptador red 3 puertos RJ45 USB C Hub</t>
  </si>
  <si>
    <t>Cable adaptador SATA USB 2 USB Cable 1</t>
  </si>
  <si>
    <t>FLX01176</t>
  </si>
  <si>
    <t>Cable adaptador SATA USB 2 USB Cable 2</t>
  </si>
  <si>
    <t>Cable adaptador SATA USB 3.0 Cable 1</t>
  </si>
  <si>
    <t>FLX01092</t>
  </si>
  <si>
    <t>Cable adaptador SATA USB 3.0 Cable 2</t>
  </si>
  <si>
    <t>FLX02269</t>
  </si>
  <si>
    <t>Cable adaptador SATA USB TIPO C 3.0</t>
  </si>
  <si>
    <t>FLX01565</t>
  </si>
  <si>
    <t>Cable adaptador USB C a SATA HDD blanco</t>
  </si>
  <si>
    <t>FLX01049</t>
  </si>
  <si>
    <t>Cable adaptador USB para Xbox</t>
  </si>
  <si>
    <t>Cable adaptador video HDMI a VGA blanco</t>
  </si>
  <si>
    <t>FLX01183</t>
  </si>
  <si>
    <t>Cable adaptador video HDMI a VGA negro</t>
  </si>
  <si>
    <t>FLX01184</t>
  </si>
  <si>
    <t>Cable adaptador video USB C - VGA</t>
  </si>
  <si>
    <t>Cable auxiliar 3.5MM 1M Negro</t>
  </si>
  <si>
    <t>FLX01685</t>
  </si>
  <si>
    <t>Cable AV para Nintendo Game Cube NES 64</t>
  </si>
  <si>
    <t>FLX02630</t>
  </si>
  <si>
    <t>Cable AV para PlayStation PS2 / PS3</t>
  </si>
  <si>
    <t>FLX02629</t>
  </si>
  <si>
    <t>Cable AV para Xbox 360</t>
  </si>
  <si>
    <t>FLX02299</t>
  </si>
  <si>
    <t>Cable AV para Xbox clasico</t>
  </si>
  <si>
    <t>Cable AV para Xbox E 360</t>
  </si>
  <si>
    <t>Cable cargador para Asus Transformer Eee Pad</t>
  </si>
  <si>
    <t>FLX03872</t>
  </si>
  <si>
    <t>Cable cargador para Fitbit Charge Force Normal</t>
  </si>
  <si>
    <t>FLX01095</t>
  </si>
  <si>
    <t>Cable cargador para Fitbit Force Charge HR Wireles</t>
  </si>
  <si>
    <t>FLX01101</t>
  </si>
  <si>
    <t>Cable cargador para Huawei Band 6 7 Fit Es 4X</t>
  </si>
  <si>
    <t>Cable cargador para iPod Shuffle 1 2 3 GEN 1</t>
  </si>
  <si>
    <t>FLX01182</t>
  </si>
  <si>
    <t>Cable cargador para iPod Shuffle 1 2 3 GEN 2</t>
  </si>
  <si>
    <t>Cable cargador para iPod Shuffle 1 2 3 OEM 1</t>
  </si>
  <si>
    <t>FLX01031</t>
  </si>
  <si>
    <t>Cable cargador para iPod Shuffle 1 2 3 OEM 2</t>
  </si>
  <si>
    <t>FLX02221</t>
  </si>
  <si>
    <t>Cable cargador para Macbook Magsafe 1 1.8M 12.6MM</t>
  </si>
  <si>
    <t>Cable cargador para Macbook Magsafe 2 1.8M 15.7mm</t>
  </si>
  <si>
    <t>FLX02767</t>
  </si>
  <si>
    <t>Cable cargador para Nintendo Switch 1.8M</t>
  </si>
  <si>
    <t>FLX01362</t>
  </si>
  <si>
    <t>Cable cargador para Xiaomi Mi Band 5 6 7</t>
  </si>
  <si>
    <t>FLX02642</t>
  </si>
  <si>
    <t>Cable cargador para Xperia Tablet S</t>
  </si>
  <si>
    <t>Cable cargador USB barril 2.0x0.6MM</t>
  </si>
  <si>
    <t>Cable cargador USB barril 2.5x0.7MM</t>
  </si>
  <si>
    <t>FLX01730</t>
  </si>
  <si>
    <t>Cable cargador USB barril 3.5x1.35MM</t>
  </si>
  <si>
    <t>FLX01731</t>
  </si>
  <si>
    <t>Cable cargador USB barril 4.0x1.7MM</t>
  </si>
  <si>
    <t>Cable cargador USB Barril 5.5x2.1MM</t>
  </si>
  <si>
    <t>Cable control para Xbox 360 blanco</t>
  </si>
  <si>
    <t>Cable control para Xbox 360 negro</t>
  </si>
  <si>
    <t>FLX01109</t>
  </si>
  <si>
    <t>Cable convertidor HDMI para Nintendo 64 Game Cube</t>
  </si>
  <si>
    <t>FLX02710</t>
  </si>
  <si>
    <t>Cable datos carga USB control para PlayStation PS3</t>
  </si>
  <si>
    <t>FLX01363</t>
  </si>
  <si>
    <t>Cable datos carga USB control para PlayStation PS4</t>
  </si>
  <si>
    <t>FLX01364</t>
  </si>
  <si>
    <t>Cable de carga USB Tipo C de 2A 1M</t>
  </si>
  <si>
    <t>Cable de carga USB Tipo C de 2A 30CM 1</t>
  </si>
  <si>
    <t>Cable de carga USB Tipo C de 2A 30CM 2</t>
  </si>
  <si>
    <t>Cable DVI D Macho a DVI D Macho 1.8 Tejido</t>
  </si>
  <si>
    <t>FLX01122</t>
  </si>
  <si>
    <t>Cable DVI D Macho a DVI D Macho1.5 Tejido</t>
  </si>
  <si>
    <t>FLX01262</t>
  </si>
  <si>
    <t>Cable extension USB 2.0 3M azul 1</t>
  </si>
  <si>
    <t>Cable extension USB 2.0 3M azul 2</t>
  </si>
  <si>
    <t>FLX02880</t>
  </si>
  <si>
    <t>Cable generico para Microsoft Surface Pro 3 4 1.1M</t>
  </si>
  <si>
    <t>FLX03878</t>
  </si>
  <si>
    <t>Cable HDMI 1080p HD1.5M</t>
  </si>
  <si>
    <t>Cable HDMI 1080p HD15 Metros 800gr</t>
  </si>
  <si>
    <t>FLX03271</t>
  </si>
  <si>
    <t>Cable HDMI 10M 10 Metros 4K</t>
  </si>
  <si>
    <t>Cable HDMI 4K 3D 24K Seenda 2M</t>
  </si>
  <si>
    <t>FLX03879</t>
  </si>
  <si>
    <t>Cable micro USB 3A 2 metros</t>
  </si>
  <si>
    <t>Cable micro USB Baseus Yaven 2.1A 1M blanco</t>
  </si>
  <si>
    <t>FLX03893</t>
  </si>
  <si>
    <t>Cable micro USB Baseus Yaven 2.1A 1M negro</t>
  </si>
  <si>
    <t>FLX03894</t>
  </si>
  <si>
    <t>Cable micro USB metalico WUW con bolsa</t>
  </si>
  <si>
    <t>FLX03896</t>
  </si>
  <si>
    <t>Cable micro USB V8 80CM blanco</t>
  </si>
  <si>
    <t>FLX01682</t>
  </si>
  <si>
    <t>Cable micro USB V8 80CM negro</t>
  </si>
  <si>
    <t>FLX01683</t>
  </si>
  <si>
    <t>Cable Mini Display Port hdmi Mac blanc 1</t>
  </si>
  <si>
    <t>FLX01177</t>
  </si>
  <si>
    <t>Cable Mini Display Port hdmi Mac blanc 2</t>
  </si>
  <si>
    <t>Cable Mini Display Port hdmi Mac blanc 3</t>
  </si>
  <si>
    <t>FLX02219</t>
  </si>
  <si>
    <t>Cable Mini Display Port hdmi Mac negro 1</t>
  </si>
  <si>
    <t>Cable Mini Display Port hdmi Mac negro 2</t>
  </si>
  <si>
    <t>FLX02505</t>
  </si>
  <si>
    <t>Cable OTG micro USB 15CM negro</t>
  </si>
  <si>
    <t>FLX03351</t>
  </si>
  <si>
    <t>Cable para Fitbit Alta</t>
  </si>
  <si>
    <t>FLX01097</t>
  </si>
  <si>
    <t>Cable para Fitbit Alta HR</t>
  </si>
  <si>
    <t>FLX01098</t>
  </si>
  <si>
    <t>Cable para Fitbit Blaze</t>
  </si>
  <si>
    <t>FLX01099</t>
  </si>
  <si>
    <t>Cable para Fitbit Charge 2</t>
  </si>
  <si>
    <t>FLX01100</t>
  </si>
  <si>
    <t>Cable para Fitbit Charge HR</t>
  </si>
  <si>
    <t>FLX01096</t>
  </si>
  <si>
    <t>Cable para Fitbit Flex</t>
  </si>
  <si>
    <t>FLX01102</t>
  </si>
  <si>
    <t>Cable para Fitbit Force y Charge</t>
  </si>
  <si>
    <t>FLX01103</t>
  </si>
  <si>
    <t>Cable para Fitbit IONIC</t>
  </si>
  <si>
    <t>FLX01104</t>
  </si>
  <si>
    <t>Cable para Fitbit One</t>
  </si>
  <si>
    <t>FLX01105</t>
  </si>
  <si>
    <t>Cable para Fitbit Surge</t>
  </si>
  <si>
    <t>FLX01106</t>
  </si>
  <si>
    <t>Cable para Galaxy Watch 3 4 5 Pro Active 1 2 3</t>
  </si>
  <si>
    <t>Cable para iPhone 1.2M Baseus Pretty Waist blanco</t>
  </si>
  <si>
    <t>FLX03882</t>
  </si>
  <si>
    <t>Cable para iPhone 1.2M Baseus Pretty Waist negro</t>
  </si>
  <si>
    <t>FLX03883</t>
  </si>
  <si>
    <t>Cable para iPhone 1.8M Baseus Yiven negro</t>
  </si>
  <si>
    <t>FLX03884</t>
  </si>
  <si>
    <t>Cable para iPhone 1M</t>
  </si>
  <si>
    <t>FLX01684</t>
  </si>
  <si>
    <t>Cable para iPhone Antila MFI 1.8 negro Baseus</t>
  </si>
  <si>
    <t>FLX03870</t>
  </si>
  <si>
    <t>Cable para iPhone Baseus Yaven 1M azul</t>
  </si>
  <si>
    <t>FLX03885</t>
  </si>
  <si>
    <t>Cable para iPhone Baseus Yaven 1M blanco</t>
  </si>
  <si>
    <t>Cable para iPhone Baseus Yaven 1M negro</t>
  </si>
  <si>
    <t>FLX03887</t>
  </si>
  <si>
    <t>Cable para iPhone Baseus Yaven 1M Verde</t>
  </si>
  <si>
    <t>FLX03891</t>
  </si>
  <si>
    <t>Cable para iPhone codo Baseus Yart negro</t>
  </si>
  <si>
    <t>FLX03873</t>
  </si>
  <si>
    <t>Cable para iPhone elastico negro Baseus 1.6M</t>
  </si>
  <si>
    <t>FLX03886</t>
  </si>
  <si>
    <t>Cable para iPhone MFI Certificado Rock 30CM</t>
  </si>
  <si>
    <t>FLX03871</t>
  </si>
  <si>
    <t>Cable para iPhone Rapid Series Baseus 1.5M oro</t>
  </si>
  <si>
    <t>FLX03888</t>
  </si>
  <si>
    <t>Cable para iPhone Rapid Series Baseus 1.5M plata</t>
  </si>
  <si>
    <t>FLX03889</t>
  </si>
  <si>
    <t>Cable para iPhone Rapid Series Baseus 1.5M rosa</t>
  </si>
  <si>
    <t>FLX03890</t>
  </si>
  <si>
    <t>Cable para iPhone zinc Baseus Keyble blanco</t>
  </si>
  <si>
    <t>FLX03827</t>
  </si>
  <si>
    <t>Cable para iPhone zinc Baseus Keyble negro</t>
  </si>
  <si>
    <t>FLX03837</t>
  </si>
  <si>
    <t>Cable para iPhone zinc Baseus Keyble verde</t>
  </si>
  <si>
    <t>FLX03845</t>
  </si>
  <si>
    <t>Cable para Macbook clavija extension corriente</t>
  </si>
  <si>
    <t>FLX03826</t>
  </si>
  <si>
    <t>Cable para toslink audio digital OD2.2 1M</t>
  </si>
  <si>
    <t>Cable para Xperia 95CM magnetico blanco</t>
  </si>
  <si>
    <t>FLX03877</t>
  </si>
  <si>
    <t>Cable para Xperia generico aluminio plata</t>
  </si>
  <si>
    <t>FLX03874</t>
  </si>
  <si>
    <t>Cable para Xperia magnetico con LED 1M morado</t>
  </si>
  <si>
    <t>FLX03875</t>
  </si>
  <si>
    <t>Cable para Xperia Wsken 100CM Magnetico plata</t>
  </si>
  <si>
    <t>FLX03892</t>
  </si>
  <si>
    <t>Cable reemplazo control para Nintendo Game Cube</t>
  </si>
  <si>
    <t>FLX02759</t>
  </si>
  <si>
    <t>Cable reemplazo para Magsafe 2 85W 1.8M tipo L</t>
  </si>
  <si>
    <t>FLX02698</t>
  </si>
  <si>
    <t>Cable reemplazo para Magsafe 2 85W 1.8M tipo T</t>
  </si>
  <si>
    <t>FLX02758</t>
  </si>
  <si>
    <t>Cable semi nuevo para iPhone 2G 3G 3GS 4 4S</t>
  </si>
  <si>
    <t>FLX03511</t>
  </si>
  <si>
    <t>Cable USB - DB25 25 pin IEEE 1284 1.8M</t>
  </si>
  <si>
    <t>Cable usb 2M para iPhone iPod iPad</t>
  </si>
  <si>
    <t>FLX03758</t>
  </si>
  <si>
    <t>Cable USB A/B 1.5M impresora</t>
  </si>
  <si>
    <t>Cable USB C 5A 2M 40W</t>
  </si>
  <si>
    <t>Cable USB C Baseus Zoole carga rapida 1M blanco</t>
  </si>
  <si>
    <t>FLX03895</t>
  </si>
  <si>
    <t>Cable USB C Baseus Zoole carga rapida 1M negro</t>
  </si>
  <si>
    <t>FLX03897</t>
  </si>
  <si>
    <t>Cable USB C Tejido 1M Azul</t>
  </si>
  <si>
    <t>FLX01679</t>
  </si>
  <si>
    <t>Cable USB C Tejido 1M Negro</t>
  </si>
  <si>
    <t>FLX01678</t>
  </si>
  <si>
    <t>Cable USB C Tejido 1M Plata</t>
  </si>
  <si>
    <t>FLX01680</t>
  </si>
  <si>
    <t>Cable USB C Tejido 1M Rojo</t>
  </si>
  <si>
    <t>FLX01681</t>
  </si>
  <si>
    <t>Cable usb para iPhone</t>
  </si>
  <si>
    <t>FLX03486</t>
  </si>
  <si>
    <t>Cable usb para iPhone magnetico con puntas</t>
  </si>
  <si>
    <t>FLX03769</t>
  </si>
  <si>
    <t>Cable USB para PlayStation PSP Vita Fat PSV1000</t>
  </si>
  <si>
    <t>Cable USB tipo c 1A 1M blanco</t>
  </si>
  <si>
    <t>FLX01687</t>
  </si>
  <si>
    <t>Cable USB tipo c 1M Baseus Flash series blanco</t>
  </si>
  <si>
    <t>FLX02026</t>
  </si>
  <si>
    <t>Cable USB triple para iPhone Android C 2M 5A negro</t>
  </si>
  <si>
    <t>FLX01677</t>
  </si>
  <si>
    <t>Cable UTP Cat7 10FT</t>
  </si>
  <si>
    <t>Cable UTP Cat7 3FT</t>
  </si>
  <si>
    <t>Cable UTP Cat7 50FT</t>
  </si>
  <si>
    <t>FLX01219</t>
  </si>
  <si>
    <t>Cable UTP Cat7 6FT</t>
  </si>
  <si>
    <t>Cable UTP Cat7 75FT</t>
  </si>
  <si>
    <t>Cable VGA 1.5M 1</t>
  </si>
  <si>
    <t>Cable VGA 1.5M 2</t>
  </si>
  <si>
    <t>FLX02496</t>
  </si>
  <si>
    <t>Caiman con adaptador DC 5.5MM 27CM</t>
  </si>
  <si>
    <t>FLX02694</t>
  </si>
  <si>
    <t>Caja Carplay</t>
  </si>
  <si>
    <t>FLX02889</t>
  </si>
  <si>
    <t>Caja case estuche carcasa UMD disco Sony PSP</t>
  </si>
  <si>
    <t>FLX01167</t>
  </si>
  <si>
    <t>Caja para Galaxy S3 Manuales Azul</t>
  </si>
  <si>
    <t>FLX03388</t>
  </si>
  <si>
    <t>Caja para Galaxy S3 Manuales Blanco</t>
  </si>
  <si>
    <t>FLX03387</t>
  </si>
  <si>
    <t>Caja para iPhone 4 16GB blanco</t>
  </si>
  <si>
    <t>FLX03389</t>
  </si>
  <si>
    <t>Caja para iPhone 4 16GB negro</t>
  </si>
  <si>
    <t>FLX03534</t>
  </si>
  <si>
    <t>Camara endoscopio 1Mt LED contra agua 7MM</t>
  </si>
  <si>
    <t>FLX03731</t>
  </si>
  <si>
    <t>Capacitor electrolitico 6.3V 1800UF 1pc</t>
  </si>
  <si>
    <t>FLX01365</t>
  </si>
  <si>
    <t>Cargador Auto 2.1A Blanco</t>
  </si>
  <si>
    <t>FLX01688</t>
  </si>
  <si>
    <t>Cargador automovil griffin</t>
  </si>
  <si>
    <t>FLX03361</t>
  </si>
  <si>
    <t>Cargador cable USB tipo c carga rapida para LG G5</t>
  </si>
  <si>
    <t>FLX03916</t>
  </si>
  <si>
    <t>Cargador eliminador Bose SoundLink 3</t>
  </si>
  <si>
    <t>Cargador generico para Xperia Tablet S</t>
  </si>
  <si>
    <t>FLX03741</t>
  </si>
  <si>
    <t>Cargador PSP Vita PSV2000</t>
  </si>
  <si>
    <t>FLX03292</t>
  </si>
  <si>
    <t>Cargador Remax RP-U95 para iPhone</t>
  </si>
  <si>
    <t>FLX02701</t>
  </si>
  <si>
    <t>Cargador Remax RP-U95 Tipo C</t>
  </si>
  <si>
    <t>FLX02700</t>
  </si>
  <si>
    <t>Cargador semi nuevo USB iPad</t>
  </si>
  <si>
    <t>FLX03803</t>
  </si>
  <si>
    <t>Cargador semi nuevo USB iPhone</t>
  </si>
  <si>
    <t>FLX03340</t>
  </si>
  <si>
    <t>Cargador triple 0.7A blanco blanco</t>
  </si>
  <si>
    <t>FLX01130</t>
  </si>
  <si>
    <t>Cargador triple 0.7A blanco naranja</t>
  </si>
  <si>
    <t>FLX00299</t>
  </si>
  <si>
    <t>Centro puerto carga hoverboard scooter patin</t>
  </si>
  <si>
    <t>FLX03738</t>
  </si>
  <si>
    <t>Chip IC modulo WiFi para iPhone 4</t>
  </si>
  <si>
    <t>FLX03386</t>
  </si>
  <si>
    <t>Chip modulo WiFi para iPhone 4S</t>
  </si>
  <si>
    <t>FLX03420</t>
  </si>
  <si>
    <t>Circuito tester probador centro carga micro USB</t>
  </si>
  <si>
    <t>FLX00558</t>
  </si>
  <si>
    <t>Circuito tester probador centro carga para iPhone</t>
  </si>
  <si>
    <t>FLX01366</t>
  </si>
  <si>
    <t>Circuito tester probador centro carga triple</t>
  </si>
  <si>
    <t>FLX00550</t>
  </si>
  <si>
    <t>Circuito tester probador centro carga USB C</t>
  </si>
  <si>
    <t>Conector jack audio audifonos para iPhone 5 blanco</t>
  </si>
  <si>
    <t>FLX03443</t>
  </si>
  <si>
    <t>Conector tarjeta FPC bateria para iPhone 4S</t>
  </si>
  <si>
    <t>FLX02080</t>
  </si>
  <si>
    <t>Conector tarjeta FPC bateria para iPhone 5</t>
  </si>
  <si>
    <t>FLX01843</t>
  </si>
  <si>
    <t>Conector tarjeta FPC bateria para iPhone 5S 5C</t>
  </si>
  <si>
    <t>FLX03535</t>
  </si>
  <si>
    <t>Conector tarjeta FPC camara frontal para iPhone 4</t>
  </si>
  <si>
    <t>FLX03469</t>
  </si>
  <si>
    <t>Conector tarjeta FPC camara trasera para iPhone 4</t>
  </si>
  <si>
    <t>FLX03467</t>
  </si>
  <si>
    <t>Conector tarjeta FPC camara trasera para iPhone 5</t>
  </si>
  <si>
    <t>FLX02288</t>
  </si>
  <si>
    <t>Conector tarjeta FPC centro carga para S4 i9500</t>
  </si>
  <si>
    <t>FLX03580</t>
  </si>
  <si>
    <t>Conector tarjeta FPC digitalizador para iPad 2</t>
  </si>
  <si>
    <t>FLX03507</t>
  </si>
  <si>
    <t>Conector tarjeta FPC digitalizador para iPhone 3GS</t>
  </si>
  <si>
    <t>FLX03494</t>
  </si>
  <si>
    <t>Conector tarjeta FPC digitalizador para iPhone 4</t>
  </si>
  <si>
    <t>FLX03472</t>
  </si>
  <si>
    <t>Conector tarjeta FPC digitalizador para iPhone 5</t>
  </si>
  <si>
    <t>FLX01905</t>
  </si>
  <si>
    <t>Conector tarjeta FPC encendido para iPhone 3GS</t>
  </si>
  <si>
    <t>FLX03495</t>
  </si>
  <si>
    <t>Conector tarjeta FPC jack audio para iPhone 4</t>
  </si>
  <si>
    <t>FLX03470</t>
  </si>
  <si>
    <t>Conector tarjeta FPC LCD display para iPhone 3GS</t>
  </si>
  <si>
    <t>FLX03493</t>
  </si>
  <si>
    <t>Conector tarjeta FPC LCD display para iPhone 4</t>
  </si>
  <si>
    <t>FLX03468</t>
  </si>
  <si>
    <t>Conector tarjeta FPC LCD display para iPhone 5</t>
  </si>
  <si>
    <t>FLX03442</t>
  </si>
  <si>
    <t>Conector tarjeta FPC sensor para iPhone 4</t>
  </si>
  <si>
    <t>FLX03471</t>
  </si>
  <si>
    <t>Control obturador bluetooth iOS Android</t>
  </si>
  <si>
    <t>Control remoto LG AKB75095307</t>
  </si>
  <si>
    <t>FLX02753</t>
  </si>
  <si>
    <t>Controller pak para Nintendo 64</t>
  </si>
  <si>
    <t>FLX02708</t>
  </si>
  <si>
    <t>Convertidor video para Nintendo Wii HDMI WII2HDMI</t>
  </si>
  <si>
    <t>Convertidor video para PlayStation PS2 HDMI</t>
  </si>
  <si>
    <t>FLX02799</t>
  </si>
  <si>
    <t>Copa de succion ventosa roja</t>
  </si>
  <si>
    <t>FLX02316</t>
  </si>
  <si>
    <t>Copa de succion ventosa verde</t>
  </si>
  <si>
    <t>Cortadora doble sim guillotina micro nano</t>
  </si>
  <si>
    <t>FLX03527</t>
  </si>
  <si>
    <t>Cristal digitalizador para Alcatel 8068 9009</t>
  </si>
  <si>
    <t>FLX02510</t>
  </si>
  <si>
    <t>Cristal digitalizador para Alcatel 8092</t>
  </si>
  <si>
    <t>FLX01375</t>
  </si>
  <si>
    <t>Cristal digitalizador para Alcatel 8094</t>
  </si>
  <si>
    <t>Cristal digitalizador para Alcatel 9013</t>
  </si>
  <si>
    <t>FLX01376</t>
  </si>
  <si>
    <t>Cristal digitalizador para Alcatel Idol OT 6030</t>
  </si>
  <si>
    <t>FLX00888</t>
  </si>
  <si>
    <t>Cristal digitalizador para Alcatel OT 4010</t>
  </si>
  <si>
    <t>FLX00891</t>
  </si>
  <si>
    <t>Cristal digitalizador para Alcatel OT 4033</t>
  </si>
  <si>
    <t>FLX00897</t>
  </si>
  <si>
    <t>Cristal digitalizador para Alcatel OT 5015 negro</t>
  </si>
  <si>
    <t>FLX00894</t>
  </si>
  <si>
    <t>Cristal digitalizador para Alcatel OT 6016</t>
  </si>
  <si>
    <t>FLX00895</t>
  </si>
  <si>
    <t>Cristal digitalizador para Alcatel OT Idol 2 6037</t>
  </si>
  <si>
    <t>FLX03662</t>
  </si>
  <si>
    <t>Cristal digitalizador para Alcatel OT Idol 3 6039</t>
  </si>
  <si>
    <t>FLX00893</t>
  </si>
  <si>
    <t>Cristal digitalizador para blanco ZTE Blade L2</t>
  </si>
  <si>
    <t>FLX03619</t>
  </si>
  <si>
    <t>Cristal digitalizador para BLU D050 blanco</t>
  </si>
  <si>
    <t>FLX02039</t>
  </si>
  <si>
    <t>Cristal digitalizador para BLU D530 negro</t>
  </si>
  <si>
    <t>FLX01924</t>
  </si>
  <si>
    <t>Cristal digitalizador para BLU D536 negro</t>
  </si>
  <si>
    <t>FLX03012</t>
  </si>
  <si>
    <t>Cristal digitalizador para BLU D630 negro</t>
  </si>
  <si>
    <t>Cristal digitalizador para BLU D670 negro</t>
  </si>
  <si>
    <t>FLX02041</t>
  </si>
  <si>
    <t>Cristal digitalizador para BLU D790 blanco</t>
  </si>
  <si>
    <t>FLX03018</t>
  </si>
  <si>
    <t>Cristal digitalizador para BLU D790 negro</t>
  </si>
  <si>
    <t>FLX03765</t>
  </si>
  <si>
    <t>Cristal digitalizador para BLU D890 5+5</t>
  </si>
  <si>
    <t>FLX03761</t>
  </si>
  <si>
    <t>Cristal digitalizador para BLU L100</t>
  </si>
  <si>
    <t>FLX03019</t>
  </si>
  <si>
    <t>Cristal digitalizador para BLU N010</t>
  </si>
  <si>
    <t>FLX03020</t>
  </si>
  <si>
    <t>Cristal digitalizador para BLU S330</t>
  </si>
  <si>
    <t>FLX03021</t>
  </si>
  <si>
    <t>Cristal digitalizador para BLU Studio G Plus S510</t>
  </si>
  <si>
    <t>FLX02056</t>
  </si>
  <si>
    <t>Cristal digitalizador para Galaxy Ace S5830 negro</t>
  </si>
  <si>
    <t>FLX03349</t>
  </si>
  <si>
    <t>Cristal digitalizador para HTC Desire 510</t>
  </si>
  <si>
    <t>FLX03690</t>
  </si>
  <si>
    <t>Cristal digitalizador para HTC Desire 820</t>
  </si>
  <si>
    <t>FLX03691</t>
  </si>
  <si>
    <t>Cristal digitalizador para HTC Evo 4G</t>
  </si>
  <si>
    <t>FLX02048</t>
  </si>
  <si>
    <t>Cristal digitalizador para HTC M7</t>
  </si>
  <si>
    <t>FLX03692</t>
  </si>
  <si>
    <t>Cristal digitalizador para HTC M8 negro</t>
  </si>
  <si>
    <t>FLX02071</t>
  </si>
  <si>
    <t>Cristal digitalizador para iPad 2 blanco</t>
  </si>
  <si>
    <t>FLX01011</t>
  </si>
  <si>
    <t>Cristal digitalizador para iPad 2 negro</t>
  </si>
  <si>
    <t>FLX01010</t>
  </si>
  <si>
    <t>Cristal digitalizador para iPad 3 4 Blanco 1</t>
  </si>
  <si>
    <t>Cristal digitalizador para iPad 3 4 Blanco 2</t>
  </si>
  <si>
    <t>FLX02218</t>
  </si>
  <si>
    <t>Cristal digitalizador para iPad 3 4 Negro 1</t>
  </si>
  <si>
    <t>FLX01228</t>
  </si>
  <si>
    <t>Cristal digitalizador para iPad 3 4 Negro 2</t>
  </si>
  <si>
    <t>FLX02217</t>
  </si>
  <si>
    <t>Cristal digitalizador para iPad 5 9.7" 2017 blanco</t>
  </si>
  <si>
    <t>FLX01232</t>
  </si>
  <si>
    <t>Cristal digitalizador para iPad 5 9.7" 2017 Negro</t>
  </si>
  <si>
    <t>Cristal digitalizador para iPad 6 A1893 blanco</t>
  </si>
  <si>
    <t>Cristal digitalizador para iPad 6 A1893 negro</t>
  </si>
  <si>
    <t>Cristal digitalizador para iPad 7 / 8 Blanco 1</t>
  </si>
  <si>
    <t>Cristal digitalizador para iPad 7 / 8 Blanco 2</t>
  </si>
  <si>
    <t>FLX02213</t>
  </si>
  <si>
    <t>Cristal digitalizador para iPad 7 / 8 Negro 1</t>
  </si>
  <si>
    <t>Cristal digitalizador para iPad 7 / 8 Negro 2</t>
  </si>
  <si>
    <t>FLX02212</t>
  </si>
  <si>
    <t>Cristal digitalizador para iPad 9 10.2" blanco</t>
  </si>
  <si>
    <t>Cristal digitalizador para iPad 9 10.2" negro</t>
  </si>
  <si>
    <t>FLX01236</t>
  </si>
  <si>
    <t>Cristal digitalizador para iPad Air Blanco 1</t>
  </si>
  <si>
    <t>FLX01051</t>
  </si>
  <si>
    <t>Cristal digitalizador para iPad Air blanco 2</t>
  </si>
  <si>
    <t>FLX02216</t>
  </si>
  <si>
    <t>Cristal digitalizador para iPad Air Negro 1</t>
  </si>
  <si>
    <t>FLX01052</t>
  </si>
  <si>
    <t>Cristal digitalizador para iPad Air Negro 2</t>
  </si>
  <si>
    <t>FLX01229</t>
  </si>
  <si>
    <t>Cristal digitalizador para iPhone 3G blanco</t>
  </si>
  <si>
    <t>FLX03376</t>
  </si>
  <si>
    <t>Cristal digitalizador para iPod 4 blanco</t>
  </si>
  <si>
    <t>FLX00900</t>
  </si>
  <si>
    <t>Cristal digitalizador para iPod nano 7 negro</t>
  </si>
  <si>
    <t>FLX03368</t>
  </si>
  <si>
    <t>Cristal digitalizador para LG cookie KP500</t>
  </si>
  <si>
    <t>FLX02960</t>
  </si>
  <si>
    <t>Cristal digitalizador para LG L70 D320 Negro</t>
  </si>
  <si>
    <t>FLX03792</t>
  </si>
  <si>
    <t>Cristal digitalizador para M10 TB-X505 negro</t>
  </si>
  <si>
    <t>FLX02508</t>
  </si>
  <si>
    <t>Cristal digitalizador para Microsoft Surface RT</t>
  </si>
  <si>
    <t>FLX03411</t>
  </si>
  <si>
    <t>Cristal digitalizador para Nexus 7 2 Asus</t>
  </si>
  <si>
    <t>FLX02962</t>
  </si>
  <si>
    <t>Cristal digitalizador para Nintendo Switch</t>
  </si>
  <si>
    <t>Cristal digitalizador para Nokia Lumia 1020</t>
  </si>
  <si>
    <t>FLX01923</t>
  </si>
  <si>
    <t>Cristal digitalizador para Nokia Lumia 510</t>
  </si>
  <si>
    <t>FLX03010</t>
  </si>
  <si>
    <t>Cristal digitalizador para Nokia Lumia 530</t>
  </si>
  <si>
    <t>FLX03563</t>
  </si>
  <si>
    <t>Cristal digitalizador para Nokia Lumia 620</t>
  </si>
  <si>
    <t>FLX03564</t>
  </si>
  <si>
    <t>Cristal digitalizador para XC-PG0700-235-A1</t>
  </si>
  <si>
    <t>Cristal digitalizador para Xperia C5 Ultra blanco</t>
  </si>
  <si>
    <t>FLX03805</t>
  </si>
  <si>
    <t>Cristal digitalizador para Xperia C5 Ultra negro</t>
  </si>
  <si>
    <t>FLX03011</t>
  </si>
  <si>
    <t>Cristal digitalizador para Xperia M2 negro</t>
  </si>
  <si>
    <t>FLX03024</t>
  </si>
  <si>
    <t>Cristal digitalizador para Xperia Z3 blanco</t>
  </si>
  <si>
    <t>FLX03708</t>
  </si>
  <si>
    <t>Cristal digitalizador para Xperia Z3 Compact negro</t>
  </si>
  <si>
    <t>FLX01913</t>
  </si>
  <si>
    <t>Cristal digitalizador para Xperia Z3 negro</t>
  </si>
  <si>
    <t>FLX03707</t>
  </si>
  <si>
    <t>Cristal digitalizador para Xperia Z3 Tablet negro</t>
  </si>
  <si>
    <t>FLX03820</t>
  </si>
  <si>
    <t>Cristal digitalizador para Xperia Z5</t>
  </si>
  <si>
    <t>FLX03022</t>
  </si>
  <si>
    <t>Cristal digitalizador para ZTE V795 V793 negro</t>
  </si>
  <si>
    <t>FLX03620</t>
  </si>
  <si>
    <t>Cristal digitalizador para ZTE V830 blanco</t>
  </si>
  <si>
    <t>FLX02566</t>
  </si>
  <si>
    <t>Cristal digitalizador para ZTE V830 negro</t>
  </si>
  <si>
    <t>FLX02567</t>
  </si>
  <si>
    <t>Cristal digitalizador para ZTE Z982 negro</t>
  </si>
  <si>
    <t>FLX01379</t>
  </si>
  <si>
    <t>Cristal para Galaxy A3 A320 2017 azul</t>
  </si>
  <si>
    <t>FLX00484</t>
  </si>
  <si>
    <t>Cristal para Galaxy A3 A320 2017 negro</t>
  </si>
  <si>
    <t>FLX02247</t>
  </si>
  <si>
    <t>Cristal para Galaxy A3 A320 2017 oro</t>
  </si>
  <si>
    <t>FLX00486</t>
  </si>
  <si>
    <t>Cristal para Galaxy E5 E500 azul</t>
  </si>
  <si>
    <t>FLX00491</t>
  </si>
  <si>
    <t>Cristal para Galaxy E5 E500 blanco</t>
  </si>
  <si>
    <t>FLX00489</t>
  </si>
  <si>
    <t>Cristal para Galaxy E5 E500 negro</t>
  </si>
  <si>
    <t>FLX00490</t>
  </si>
  <si>
    <t>Cristal para Galaxy J5 2017 J530 Pro azul</t>
  </si>
  <si>
    <t>FLX02964</t>
  </si>
  <si>
    <t>Cristal para Galaxy J5 2017 J530 Pro blanco</t>
  </si>
  <si>
    <t>FLX03061</t>
  </si>
  <si>
    <t>Cristal para Galaxy J5 2017 J530 Pro negro</t>
  </si>
  <si>
    <t>FLX02967</t>
  </si>
  <si>
    <t>Cristal para Galaxy J5 2017 J530 Pro oro</t>
  </si>
  <si>
    <t>FLX03060</t>
  </si>
  <si>
    <t>Cristal para Galaxy J5 2017 J530 Pro rosa</t>
  </si>
  <si>
    <t>FLX03059</t>
  </si>
  <si>
    <t>Cristal para Galaxy Nexus i9250 negro</t>
  </si>
  <si>
    <t>FLX00430</t>
  </si>
  <si>
    <t>Cristal para Galaxy Note 2 blanco</t>
  </si>
  <si>
    <t>FLX03434</t>
  </si>
  <si>
    <t>Cristal para Galaxy Note 2 N7100 gris</t>
  </si>
  <si>
    <t>FLX03478</t>
  </si>
  <si>
    <t>Cristal para Galaxy Note 2 N7100 i317 azul</t>
  </si>
  <si>
    <t>FLX03477</t>
  </si>
  <si>
    <t>Cristal para Galaxy Note 2 N7100 negro</t>
  </si>
  <si>
    <t>FLX03476</t>
  </si>
  <si>
    <t>Cristal para Galaxy Note 2 N7100 rosa</t>
  </si>
  <si>
    <t>FLX03479</t>
  </si>
  <si>
    <t>Cristal para Galaxy Note 3 N9000 azul</t>
  </si>
  <si>
    <t>FLX03491</t>
  </si>
  <si>
    <t>Cristal para Galaxy Note 3 N9000 negro</t>
  </si>
  <si>
    <t>Cristal para Galaxy Note 3 N9000 rojo</t>
  </si>
  <si>
    <t>FLX03492</t>
  </si>
  <si>
    <t>Cristal para Galaxy Note 3 rosa</t>
  </si>
  <si>
    <t>FLX02034</t>
  </si>
  <si>
    <t>Cristal para Galaxy Note 4 N910 blanco</t>
  </si>
  <si>
    <t>FLX00420</t>
  </si>
  <si>
    <t>Cristal para Galaxy Note 4 N910 negro</t>
  </si>
  <si>
    <t>FLX00419</t>
  </si>
  <si>
    <t>Cristal para Galaxy Note 5 N920 blanco</t>
  </si>
  <si>
    <t>FLX03629</t>
  </si>
  <si>
    <t>Cristal para Galaxy Note N7000 blanco</t>
  </si>
  <si>
    <t>FLX02968</t>
  </si>
  <si>
    <t>Cristal para Galaxy Note N7000 negro</t>
  </si>
  <si>
    <t>FLX02973</t>
  </si>
  <si>
    <t>Cristal para Galaxy Premier i9260 blanco</t>
  </si>
  <si>
    <t>FLX03517</t>
  </si>
  <si>
    <t>Cristal para Galaxy Premier i9260 negro</t>
  </si>
  <si>
    <t>FLX02539</t>
  </si>
  <si>
    <t>Cristal para Galaxy S Advance i9070 blanco</t>
  </si>
  <si>
    <t>FLX00858</t>
  </si>
  <si>
    <t>Cristal para Galaxy S Advance i9070 negro</t>
  </si>
  <si>
    <t>FLX00857</t>
  </si>
  <si>
    <t>Cristal para Galaxy S2 D710 Epic blanco</t>
  </si>
  <si>
    <t>FLX02043</t>
  </si>
  <si>
    <t>Cristal para Galaxy S2 D710 Epic negro</t>
  </si>
  <si>
    <t>FLX03057</t>
  </si>
  <si>
    <t>Cristal para Galaxy S2 i9100 blanco</t>
  </si>
  <si>
    <t>FLX03056</t>
  </si>
  <si>
    <t>Cristal para Galaxy S2 i9100 negro</t>
  </si>
  <si>
    <t>FLX03055</t>
  </si>
  <si>
    <t>Cristal para Galaxy S2 T989 Hercules blanco</t>
  </si>
  <si>
    <t>FLX02042</t>
  </si>
  <si>
    <t>Cristal para Galaxy S3 i9300 L710 blanco</t>
  </si>
  <si>
    <t>FLX02205</t>
  </si>
  <si>
    <t>Cristal para Galaxy S3 i9300 negro</t>
  </si>
  <si>
    <t>FLX02040</t>
  </si>
  <si>
    <t>Cristal para Galaxy S3 i999 i747 azul</t>
  </si>
  <si>
    <t>Cristal para Galaxy S4 i9500 i337 blanco</t>
  </si>
  <si>
    <t>FLX03516</t>
  </si>
  <si>
    <t>Cristal para Galaxy S4 i9500 i337 Oro</t>
  </si>
  <si>
    <t>FLX00873</t>
  </si>
  <si>
    <t>Cristal para Galaxy S4 i9500 i337 rojo</t>
  </si>
  <si>
    <t>FLX00874</t>
  </si>
  <si>
    <t>Cristal para Galaxy S4 i9500 i337 rosa</t>
  </si>
  <si>
    <t>FLX00875</t>
  </si>
  <si>
    <t>Cristal para Galaxy S4 Mini i9190 azul</t>
  </si>
  <si>
    <t>FLX00872</t>
  </si>
  <si>
    <t>Cristal para Galaxy S4 Mini i9195 blanco</t>
  </si>
  <si>
    <t>FLX00871</t>
  </si>
  <si>
    <t>Cristal para Galaxy S5 i9600 azul</t>
  </si>
  <si>
    <t>FLX00851</t>
  </si>
  <si>
    <t>Cristal para Galaxy S5 i9600 blanco</t>
  </si>
  <si>
    <t>FLX00849</t>
  </si>
  <si>
    <t>Cristal para Galaxy S5 i9600 morado</t>
  </si>
  <si>
    <t>FLX00850</t>
  </si>
  <si>
    <t>Cristal para Galaxy S5 i9600 negro</t>
  </si>
  <si>
    <t>FLX00848</t>
  </si>
  <si>
    <t>Cristal para Galaxy S5 i9600 rosa</t>
  </si>
  <si>
    <t>FLX00852</t>
  </si>
  <si>
    <t>Cristal para Galaxy S5 Mini G800 azul</t>
  </si>
  <si>
    <t>FLX00853</t>
  </si>
  <si>
    <t>Cristal para Galaxy S5 Mini G800 Blanco</t>
  </si>
  <si>
    <t>FLX00854</t>
  </si>
  <si>
    <t>Cristal para Galaxy S7 Active G891 negro</t>
  </si>
  <si>
    <t>FLX03288</t>
  </si>
  <si>
    <t>Cristal para Galaxy S7 G930 blanco</t>
  </si>
  <si>
    <t>FLX00860</t>
  </si>
  <si>
    <t>Cristal para Galaxy S7 G930 negro</t>
  </si>
  <si>
    <t>FLX00859</t>
  </si>
  <si>
    <t>Cristal para Galaxy S7 G930 oro</t>
  </si>
  <si>
    <t>FLX01380</t>
  </si>
  <si>
    <t>Cristal para Galaxy S7 G930 Plata</t>
  </si>
  <si>
    <t>FLX00869</t>
  </si>
  <si>
    <t>Cristal para Galaxy S8 G950</t>
  </si>
  <si>
    <t>Cristal para Galaxy Vibrant Plus 4G T959 negro</t>
  </si>
  <si>
    <t>FLX03025</t>
  </si>
  <si>
    <t>Cristal para HTC A9 blanco</t>
  </si>
  <si>
    <t>FLX03017</t>
  </si>
  <si>
    <t>Cristal para HTC A9 negro</t>
  </si>
  <si>
    <t>FLX03015</t>
  </si>
  <si>
    <t>Cristal para Huawei Ascend P10 blanco</t>
  </si>
  <si>
    <t>FLX00916</t>
  </si>
  <si>
    <t>Cristal para Huawei Ascend P10 negro</t>
  </si>
  <si>
    <t>FLX00921</t>
  </si>
  <si>
    <t>Cristal para Huawei Ascend P10 oro</t>
  </si>
  <si>
    <t>FLX00912</t>
  </si>
  <si>
    <t>Cristal para Huawei Ascend P6 blanco</t>
  </si>
  <si>
    <t>FLX00911</t>
  </si>
  <si>
    <t>Cristal para Huawei Ascend P6 negro</t>
  </si>
  <si>
    <t>FLX00919</t>
  </si>
  <si>
    <t>Cristal para Huawei Ascend P7 blanco</t>
  </si>
  <si>
    <t>FLX00917</t>
  </si>
  <si>
    <t>Cristal para Huawei Ascend P8 blanco</t>
  </si>
  <si>
    <t>FLX00908</t>
  </si>
  <si>
    <t>Cristal para Huawei Ascend P8 negro</t>
  </si>
  <si>
    <t>FLX00922</t>
  </si>
  <si>
    <t>Cristal para Huawei Ascend P8 oro</t>
  </si>
  <si>
    <t>FLX00920</t>
  </si>
  <si>
    <t>Cristal para Huawei Mate 7 blanco</t>
  </si>
  <si>
    <t>FLX00910</t>
  </si>
  <si>
    <t>Cristal para Huawei Mate 7 negro</t>
  </si>
  <si>
    <t>FLX00923</t>
  </si>
  <si>
    <t>Cristal para Huawei Nexus 6P negro</t>
  </si>
  <si>
    <t>FLX00909</t>
  </si>
  <si>
    <t>Cristal para Huawei P10 Plus blanco</t>
  </si>
  <si>
    <t>FLX00918</t>
  </si>
  <si>
    <t>Cristal para Huawei P9 blanco</t>
  </si>
  <si>
    <t>FLX00913</t>
  </si>
  <si>
    <t>Cristal para Huawei P9 negro</t>
  </si>
  <si>
    <t>FLX00907</t>
  </si>
  <si>
    <t>Cristal para iPhone 4 / 4S negro</t>
  </si>
  <si>
    <t>FLX03524</t>
  </si>
  <si>
    <t>Cristal para iPhone 5 5S 5C blanco</t>
  </si>
  <si>
    <t>FLX03526</t>
  </si>
  <si>
    <t>Cristal para iPhone 5 5S 5C negro</t>
  </si>
  <si>
    <t>FLX03525</t>
  </si>
  <si>
    <t>Cristal para iPhone 6 blanco</t>
  </si>
  <si>
    <t>FLX03536</t>
  </si>
  <si>
    <t>Cristal para iPhone 6 negro</t>
  </si>
  <si>
    <t>Cristal para iPhone 6 Plus blanco</t>
  </si>
  <si>
    <t>FLX03537</t>
  </si>
  <si>
    <t>Cristal para iPhone 6 Plus negro</t>
  </si>
  <si>
    <t>FLX03538</t>
  </si>
  <si>
    <t>Cristal para iPhone 7 4.7" negro</t>
  </si>
  <si>
    <t>Cristal para iPhone 7 Plus 5.5" blanco</t>
  </si>
  <si>
    <t>FLX03768</t>
  </si>
  <si>
    <t>Cristal para iPhone 7 Plus 5.5" negro</t>
  </si>
  <si>
    <t>FLX03767</t>
  </si>
  <si>
    <t>Cristal para LG G6 blanco</t>
  </si>
  <si>
    <t>FLX03028</t>
  </si>
  <si>
    <t>Cristal para LG G6 negro</t>
  </si>
  <si>
    <t>FLX03846</t>
  </si>
  <si>
    <t>Cristal para LG K3 K100 negro</t>
  </si>
  <si>
    <t>FLX00880</t>
  </si>
  <si>
    <t>Cristal para LG X Power 2 blanco</t>
  </si>
  <si>
    <t>FLX03029</t>
  </si>
  <si>
    <t>Cristal para LG X Power 2 negro</t>
  </si>
  <si>
    <t>FLX03027</t>
  </si>
  <si>
    <t>Cristal para LG X Power 2 oro</t>
  </si>
  <si>
    <t>FLX03026</t>
  </si>
  <si>
    <t>Cristal para LG X Power negro</t>
  </si>
  <si>
    <t>FLX03058</t>
  </si>
  <si>
    <t>Cristal para Moto Droid Turbo Maxx negro</t>
  </si>
  <si>
    <t>FLX03031</t>
  </si>
  <si>
    <t>Cristal para Moto E2 XT1527 blanco</t>
  </si>
  <si>
    <t>FLX03038</t>
  </si>
  <si>
    <t>Cristal para Moto G XT1032 negro</t>
  </si>
  <si>
    <t>FLX03039</t>
  </si>
  <si>
    <t>Cristal para Moto G XT1032 XT1033 blanco</t>
  </si>
  <si>
    <t>FLX03036</t>
  </si>
  <si>
    <t>Cristal para Moto G2 XT1068 blanco</t>
  </si>
  <si>
    <t>FLX03035</t>
  </si>
  <si>
    <t>Cristal para Moto G2 XT1068 negro</t>
  </si>
  <si>
    <t>FLX03752</t>
  </si>
  <si>
    <t>Cristal para Moto G3 XT1541 blanco</t>
  </si>
  <si>
    <t>FLX01769</t>
  </si>
  <si>
    <t>Cristal para Moto G3 XT1541 negro</t>
  </si>
  <si>
    <t>FLX01770</t>
  </si>
  <si>
    <t>Cristal para Moto G4 Plus blanco</t>
  </si>
  <si>
    <t>FLX03037</t>
  </si>
  <si>
    <t>Cristal para Moto G4 Plus negro</t>
  </si>
  <si>
    <t>FLX02963</t>
  </si>
  <si>
    <t>Cristal para Moto G4 XT1620 blanco</t>
  </si>
  <si>
    <t>FLX03033</t>
  </si>
  <si>
    <t>Cristal para Moto G4 XT1620 negro</t>
  </si>
  <si>
    <t>FLX03032</t>
  </si>
  <si>
    <t>Cristal para Moto Razr XT925 HD negro</t>
  </si>
  <si>
    <t>FLX03052</t>
  </si>
  <si>
    <t>Cristal para Moto X XT1058 blanco</t>
  </si>
  <si>
    <t>FLX03518</t>
  </si>
  <si>
    <t>Cristal para Moto X2 XT1095 blanco</t>
  </si>
  <si>
    <t>FLX02237</t>
  </si>
  <si>
    <t>Cristal para Moto X2 XT1095 negro</t>
  </si>
  <si>
    <t>FLX02238</t>
  </si>
  <si>
    <t>Cristal para Moto Z Play Droid blanco</t>
  </si>
  <si>
    <t>FLX03030</t>
  </si>
  <si>
    <t>Cristal para Nexus 5 D820 negro</t>
  </si>
  <si>
    <t>FLX03040</t>
  </si>
  <si>
    <t>Cristal para Nokia 6 negro</t>
  </si>
  <si>
    <t>FLX03042</t>
  </si>
  <si>
    <t>Cristal para Xperia XA Blanco</t>
  </si>
  <si>
    <t>FLX03054</t>
  </si>
  <si>
    <t>Cristal para Xperia XA rosa</t>
  </si>
  <si>
    <t>FLX03051</t>
  </si>
  <si>
    <t>Cristal para Xperia XA Ultra amarillo</t>
  </si>
  <si>
    <t>FLX03050</t>
  </si>
  <si>
    <t>Cristal para Xperia XA Ultra blanco</t>
  </si>
  <si>
    <t>FLX03049</t>
  </si>
  <si>
    <t>Cristal para Xperia XA Ultra negro</t>
  </si>
  <si>
    <t>FLX03041</t>
  </si>
  <si>
    <t>Cristal para Xperia XA Verde</t>
  </si>
  <si>
    <t>FLX03053</t>
  </si>
  <si>
    <t>Cristal superior inferior para iPhone 5 blanco</t>
  </si>
  <si>
    <t>FLX01933</t>
  </si>
  <si>
    <t>Cristal superior inferior para iPhone 5 negro</t>
  </si>
  <si>
    <t>FLX01934</t>
  </si>
  <si>
    <t>Cristal superior inferior para iPhone 5S blanco</t>
  </si>
  <si>
    <t>FLX01935</t>
  </si>
  <si>
    <t>Cristal superior inferior para iPhone 5S negro</t>
  </si>
  <si>
    <t>FLX01936</t>
  </si>
  <si>
    <t>Cristal templado frontal para Alpha G8508</t>
  </si>
  <si>
    <t>FLX03085</t>
  </si>
  <si>
    <t>Cristal templado frontal para Galaxy A3 A300</t>
  </si>
  <si>
    <t>FLX03086</t>
  </si>
  <si>
    <t>Cristal templado frontal para Galaxy A5 A500</t>
  </si>
  <si>
    <t>FLX03087</t>
  </si>
  <si>
    <t>Cristal templado frontal para Galaxy A7 A700</t>
  </si>
  <si>
    <t>FLX03088</t>
  </si>
  <si>
    <t>Cristal templado frontal para Galaxy A8 A800</t>
  </si>
  <si>
    <t>FLX03089</t>
  </si>
  <si>
    <t>Cristal templado frontal para Galaxy Ace 4 G313</t>
  </si>
  <si>
    <t>FLX03090</t>
  </si>
  <si>
    <t>Cristal templado frontal para Galaxy Core 2</t>
  </si>
  <si>
    <t>FLX03091</t>
  </si>
  <si>
    <t>Cristal templado frontal para Galaxy E5</t>
  </si>
  <si>
    <t>FLX03092</t>
  </si>
  <si>
    <t>Cristal templado frontal para Galaxy E7</t>
  </si>
  <si>
    <t>FLX03093</t>
  </si>
  <si>
    <t>Cristal templado frontal para Galaxy Grand 3 G7200</t>
  </si>
  <si>
    <t>FLX03094</t>
  </si>
  <si>
    <t>Cristal templado frontal para Galaxy Mega 2 G750</t>
  </si>
  <si>
    <t>FLX03095</t>
  </si>
  <si>
    <t>Cristal templado frontal para Galaxy Mega i9152</t>
  </si>
  <si>
    <t>FLX03096</t>
  </si>
  <si>
    <t>Cristal templado frontal para Galaxy Note 2</t>
  </si>
  <si>
    <t>FLX03097</t>
  </si>
  <si>
    <t>Cristal templado frontal para Galaxy Note 3 N9000</t>
  </si>
  <si>
    <t>FLX03098</t>
  </si>
  <si>
    <t>Cristal templado frontal para Galaxy Note 3 Neo</t>
  </si>
  <si>
    <t>FLX03099</t>
  </si>
  <si>
    <t>Cristal templado frontal para Galaxy Note 4 N910</t>
  </si>
  <si>
    <t>FLX03100</t>
  </si>
  <si>
    <t>Cristal templado frontal para Galaxy Note Edge</t>
  </si>
  <si>
    <t>FLX03101</t>
  </si>
  <si>
    <t>Cristal templado frontal para Galaxy Note N7000</t>
  </si>
  <si>
    <t>FLX03102</t>
  </si>
  <si>
    <t>Cristal templado frontal para Galaxy S3</t>
  </si>
  <si>
    <t>FLX03103</t>
  </si>
  <si>
    <t>Cristal templado frontal para Galaxy S3 Mini I8190</t>
  </si>
  <si>
    <t>FLX03104</t>
  </si>
  <si>
    <t>Cristal templado frontal para Galaxy S4</t>
  </si>
  <si>
    <t>FLX03105</t>
  </si>
  <si>
    <t>Cristal templado frontal para Galaxy S4 Mini I9195</t>
  </si>
  <si>
    <t>FLX03106</t>
  </si>
  <si>
    <t>Cristal templado frontal para Galaxy S5</t>
  </si>
  <si>
    <t>FLX03107</t>
  </si>
  <si>
    <t>Cristal templado frontal para Galaxy S5 Active</t>
  </si>
  <si>
    <t>FLX03108</t>
  </si>
  <si>
    <t>Cristal templado frontal para Galaxy S6 Edge</t>
  </si>
  <si>
    <t>FLX03109</t>
  </si>
  <si>
    <t>Cristal templado frontal para Galaxy S6 G920</t>
  </si>
  <si>
    <t>FLX03110</t>
  </si>
  <si>
    <t>Cristal templado frontal para Galaxy Tab 2 P3100</t>
  </si>
  <si>
    <t>FLX03111</t>
  </si>
  <si>
    <t>Cristal templado frontal para HTC M7</t>
  </si>
  <si>
    <t>FLX03112</t>
  </si>
  <si>
    <t>Cristal templado frontal para HTC M8 Mini</t>
  </si>
  <si>
    <t>FLX03113</t>
  </si>
  <si>
    <t>Cristal templado frontal para HTC M9</t>
  </si>
  <si>
    <t>FLX03114</t>
  </si>
  <si>
    <t>Cristal templado frontal para HTC M9+ Plus</t>
  </si>
  <si>
    <t>FLX01813</t>
  </si>
  <si>
    <t>Cristal templado frontal para Huawei G7</t>
  </si>
  <si>
    <t>FLX03048</t>
  </si>
  <si>
    <t>Cristal templado frontal para Huawei Honor 6</t>
  </si>
  <si>
    <t>FLX03047</t>
  </si>
  <si>
    <t>Cristal templado frontal para Huawei Honor 7</t>
  </si>
  <si>
    <t>FLX03046</t>
  </si>
  <si>
    <t>Cristal templado frontal para Huawei P6</t>
  </si>
  <si>
    <t>FLX03045</t>
  </si>
  <si>
    <t>Cristal templado frontal para Huawei Y600</t>
  </si>
  <si>
    <t>FLX03044</t>
  </si>
  <si>
    <t>Cristal templado frontal para Huawei Y635</t>
  </si>
  <si>
    <t>FLX03043</t>
  </si>
  <si>
    <t>Cristal templado frontal para iPad 2 3 4</t>
  </si>
  <si>
    <t>FLX03115</t>
  </si>
  <si>
    <t>Cristal templado frontal para iPad Air 1 &amp; 2 5 6</t>
  </si>
  <si>
    <t>FLX03116</t>
  </si>
  <si>
    <t>Cristal templado frontal para iPad Mini 1 2 &amp; 3</t>
  </si>
  <si>
    <t>FLX03117</t>
  </si>
  <si>
    <t>Cristal templado frontal para iPhone 4 4S H9</t>
  </si>
  <si>
    <t>FLX03118</t>
  </si>
  <si>
    <t>Cristal templado frontal para iPhone 5 5C 5S H9</t>
  </si>
  <si>
    <t>FLX03119</t>
  </si>
  <si>
    <t>Cristal templado frontal para iPhone 5 5C 5S UD</t>
  </si>
  <si>
    <t>FLX03120</t>
  </si>
  <si>
    <t>Cristal templado frontal para iPhone 6 4.7" H9</t>
  </si>
  <si>
    <t>FLX03121</t>
  </si>
  <si>
    <t>Cristal templado frontal para iPhone 6 Plus H9</t>
  </si>
  <si>
    <t>FLX02061</t>
  </si>
  <si>
    <t>Cristal templado frontal para Lenovo A850</t>
  </si>
  <si>
    <t>FLX03122</t>
  </si>
  <si>
    <t>Cristal templado frontal para LG G Pro Lite D680</t>
  </si>
  <si>
    <t>FLX03123</t>
  </si>
  <si>
    <t>Cristal templado frontal para LG G2 D800</t>
  </si>
  <si>
    <t>FLX03124</t>
  </si>
  <si>
    <t>Cristal templado frontal para LG G2 Mini D625</t>
  </si>
  <si>
    <t>FLX03125</t>
  </si>
  <si>
    <t>Cristal templado frontal para LG G3</t>
  </si>
  <si>
    <t>FLX03126</t>
  </si>
  <si>
    <t>Cristal templado frontal para LG G3 Stylus</t>
  </si>
  <si>
    <t>FLX03127</t>
  </si>
  <si>
    <t>Cristal templado frontal para LG G3 Vigor LS885</t>
  </si>
  <si>
    <t>FLX03128</t>
  </si>
  <si>
    <t>Cristal templado frontal para LG G4</t>
  </si>
  <si>
    <t>FLX03129</t>
  </si>
  <si>
    <t>Cristal templado frontal para LG L70 D320 D320N</t>
  </si>
  <si>
    <t>FLX03130</t>
  </si>
  <si>
    <t>Cristal templado frontal para LG L70 Fino</t>
  </si>
  <si>
    <t>FLX03131</t>
  </si>
  <si>
    <t>Cristal templado frontal para LG L80 D331 D337</t>
  </si>
  <si>
    <t>FLX03132</t>
  </si>
  <si>
    <t>Cristal templado frontal para LG Nexus 4 E960</t>
  </si>
  <si>
    <t>FLX01804</t>
  </si>
  <si>
    <t>Cristal templado frontal para LG Nexus 5 D820</t>
  </si>
  <si>
    <t>FLX01796</t>
  </si>
  <si>
    <t>Cristal templado frontal para LG Spirit H420</t>
  </si>
  <si>
    <t>FLX03133</t>
  </si>
  <si>
    <t>Cristal templado frontal para Moto E 2da Gen</t>
  </si>
  <si>
    <t>FLX03134</t>
  </si>
  <si>
    <t>Cristal templado frontal para Moto E XT1021</t>
  </si>
  <si>
    <t>FLX03135</t>
  </si>
  <si>
    <t>Cristal templado frontal para Moto G 2da Gen</t>
  </si>
  <si>
    <t>FLX03136</t>
  </si>
  <si>
    <t>Cristal templado frontal para Moto G XT1032</t>
  </si>
  <si>
    <t>FLX03137</t>
  </si>
  <si>
    <t>Cristal templado frontal para Moto X XT1058</t>
  </si>
  <si>
    <t>FLX03138</t>
  </si>
  <si>
    <t>Cristal templado frontal para Moto X2da Gen</t>
  </si>
  <si>
    <t>FLX02254</t>
  </si>
  <si>
    <t>Cristal templado frontal para Nexus 6 XT1100</t>
  </si>
  <si>
    <t>FLX03139</t>
  </si>
  <si>
    <t>Cristal templado frontal para Nokia Lumia 1320</t>
  </si>
  <si>
    <t>FLX03014</t>
  </si>
  <si>
    <t>Cristal templado frontal para Nokia Lumia 1520</t>
  </si>
  <si>
    <t>FLX03140</t>
  </si>
  <si>
    <t>Cristal templado frontal para Nokia Lumia 520</t>
  </si>
  <si>
    <t>FLX03141</t>
  </si>
  <si>
    <t>Cristal templado frontal para Nokia Lumia 530</t>
  </si>
  <si>
    <t>FLX03142</t>
  </si>
  <si>
    <t>Cristal templado frontal para Nokia Lumia 535</t>
  </si>
  <si>
    <t>FLX03143</t>
  </si>
  <si>
    <t>Cristal templado frontal para Nokia Lumia 630 5 6</t>
  </si>
  <si>
    <t>FLX03144</t>
  </si>
  <si>
    <t>Cristal templado frontal para Nokia Lumia 820</t>
  </si>
  <si>
    <t>FLX03145</t>
  </si>
  <si>
    <t>Cristal templado frontal para Nokia Lumia 830</t>
  </si>
  <si>
    <t>FLX03146</t>
  </si>
  <si>
    <t>Cristal templado frontal para Nokia Lumia 920</t>
  </si>
  <si>
    <t>FLX01887</t>
  </si>
  <si>
    <t>Cristal templado frontal para Xperia C3</t>
  </si>
  <si>
    <t>FLX03149</t>
  </si>
  <si>
    <t>Cristal templado frontal para Xperia E3</t>
  </si>
  <si>
    <t>FLX03150</t>
  </si>
  <si>
    <t>Cristal templado frontal para Xperia E4g</t>
  </si>
  <si>
    <t>FLX03151</t>
  </si>
  <si>
    <t>Cristal templado frontal para Xperia L S36h</t>
  </si>
  <si>
    <t>FLX03152</t>
  </si>
  <si>
    <t>Cristal templado frontal para Xperia M4 Aqua</t>
  </si>
  <si>
    <t>FLX03153</t>
  </si>
  <si>
    <t>Cristal templado frontal para Xperia SP M35h</t>
  </si>
  <si>
    <t>FLX03154</t>
  </si>
  <si>
    <t>Cristal templado frontal para Xperia T2</t>
  </si>
  <si>
    <t>FLX03155</t>
  </si>
  <si>
    <t>Cristal templado frontal para Xperia T3</t>
  </si>
  <si>
    <t>FLX03156</t>
  </si>
  <si>
    <t>Cristal templado frontal para Xperia Z L36h C6602</t>
  </si>
  <si>
    <t>FLX02123</t>
  </si>
  <si>
    <t>Cristal templado frontal para Xperia Z Ultra XL39h</t>
  </si>
  <si>
    <t>FLX03157</t>
  </si>
  <si>
    <t>Cristal templado frontal para Xperia Z1 Compact</t>
  </si>
  <si>
    <t>FLX03158</t>
  </si>
  <si>
    <t>Cristal templado frontal para Xperia Z1 L39h C6902</t>
  </si>
  <si>
    <t>FLX03159</t>
  </si>
  <si>
    <t>Cristal templado frontal para Xperia Z2 D6502</t>
  </si>
  <si>
    <t>FLX03160</t>
  </si>
  <si>
    <t>Cristal templado frontal para Xperia Z3 Compact</t>
  </si>
  <si>
    <t>FLX03161</t>
  </si>
  <si>
    <t>Cristal templado frontal para Xperia Z3 D6603</t>
  </si>
  <si>
    <t>FLX03162</t>
  </si>
  <si>
    <t>Cristal templado frontal para Xperia Z4 Z3+</t>
  </si>
  <si>
    <t>FLX03163</t>
  </si>
  <si>
    <t>Cristal templado frontal para Xperia Z5 E6653</t>
  </si>
  <si>
    <t>FLX03064</t>
  </si>
  <si>
    <t>Cristal templado frontal Universal 4.0"</t>
  </si>
  <si>
    <t>FLX01487</t>
  </si>
  <si>
    <t>Cristal templado frontal Universal 4.5"</t>
  </si>
  <si>
    <t>FLX03164</t>
  </si>
  <si>
    <t>Cristal templado frontal Universal 4.7"</t>
  </si>
  <si>
    <t>FLX03165</t>
  </si>
  <si>
    <t>Cristal templado frontal Universal 5.0"</t>
  </si>
  <si>
    <t>FLX03166</t>
  </si>
  <si>
    <t>Cristal templado frontal Universal 5.3"</t>
  </si>
  <si>
    <t>FLX03167</t>
  </si>
  <si>
    <t>Cristal templado frontal Universal 5.5"</t>
  </si>
  <si>
    <t>FLX03168</t>
  </si>
  <si>
    <t>Cristal templado para Apple Watch 38MM</t>
  </si>
  <si>
    <t>FLX03169</t>
  </si>
  <si>
    <t>Cristal templado para Apple Watch 42MM</t>
  </si>
  <si>
    <t>FLX03170</t>
  </si>
  <si>
    <t>Cristal templado para Galaxy Core Plus Trend 3</t>
  </si>
  <si>
    <t>FLX03171</t>
  </si>
  <si>
    <t>Cristal templado para Galaxy Core Prime G360 G3608</t>
  </si>
  <si>
    <t>FLX03172</t>
  </si>
  <si>
    <t>Cristal templado para Galaxy Grand Neo i9060</t>
  </si>
  <si>
    <t>FLX03173</t>
  </si>
  <si>
    <t>Cristal templado para Galaxy J1 J100 / LTE 4G</t>
  </si>
  <si>
    <t>FLX02047</t>
  </si>
  <si>
    <t>Cristal templado para Galaxy Note 5 N920</t>
  </si>
  <si>
    <t>FLX03174</t>
  </si>
  <si>
    <t>Cristal templado para Galaxy Note 8.0 N5100 N5110</t>
  </si>
  <si>
    <t>FLX03175</t>
  </si>
  <si>
    <t>Cristal templado para Galaxy Tab 2 N8000 P5100</t>
  </si>
  <si>
    <t>FLX03176</t>
  </si>
  <si>
    <t>Cristal templado para Galaxy Tab 3 7.0" T110 T111</t>
  </si>
  <si>
    <t>FLX03177</t>
  </si>
  <si>
    <t>Cristal templado para Galaxy Tab 3 7.0" T210 1 5</t>
  </si>
  <si>
    <t>FLX03178</t>
  </si>
  <si>
    <t>Cristal templado para Galaxy Tab 3 8.0 T310 1 5</t>
  </si>
  <si>
    <t>FLX03179</t>
  </si>
  <si>
    <t>Cristal templado para Galaxy Tab 3 P5200 5210 5220</t>
  </si>
  <si>
    <t>FLX03180</t>
  </si>
  <si>
    <t>Cristal templado para Galaxy Tab 4 7.0 T230 1 5</t>
  </si>
  <si>
    <t>FLX03181</t>
  </si>
  <si>
    <t>Cristal templado para Galaxy Tab 4 8.0" T330 1 7</t>
  </si>
  <si>
    <t>FLX03182</t>
  </si>
  <si>
    <t>Cristal templado para Galaxy Tab Note T520 P600</t>
  </si>
  <si>
    <t>FLX03183</t>
  </si>
  <si>
    <t>Cristal templado para Galaxy Tab Pro 8.4 T320 1 5</t>
  </si>
  <si>
    <t>FLX03184</t>
  </si>
  <si>
    <t>Cristal templado para Galaxy Tab S 10.5" T800 T805</t>
  </si>
  <si>
    <t>FLX03185</t>
  </si>
  <si>
    <t>Cristal templado para Galaxy Tab S 8.4 T700 T705</t>
  </si>
  <si>
    <t>FLX03186</t>
  </si>
  <si>
    <t>Cristal templado para Galaxy Tab Tab 4 T530 1 5</t>
  </si>
  <si>
    <t>FLX03187</t>
  </si>
  <si>
    <t>Cristal templado para Galaxy Win i8552</t>
  </si>
  <si>
    <t>FLX03188</t>
  </si>
  <si>
    <t>Cristal templado para Galaxy Win Pro S3 Slim</t>
  </si>
  <si>
    <t>FLX03601</t>
  </si>
  <si>
    <t>Cristal templado para Galaxy Young 2 G130</t>
  </si>
  <si>
    <t>FLX03602</t>
  </si>
  <si>
    <t>Cristal templado para Galaxy Z1 Z130</t>
  </si>
  <si>
    <t>FLX03600</t>
  </si>
  <si>
    <t>Cristal templado para iPhone 6 frente atras azul</t>
  </si>
  <si>
    <t>Cristal templado para iPhone 6 frente atras negro</t>
  </si>
  <si>
    <t>Cristal templado para iPhone 6 frente atras oro</t>
  </si>
  <si>
    <t>FLX03604</t>
  </si>
  <si>
    <t>Cristal templado para iPhone 6 frente atras plata</t>
  </si>
  <si>
    <t>FLX03603</t>
  </si>
  <si>
    <t>Cristal templado para iPod Touch 5G 6G</t>
  </si>
  <si>
    <t>FLX03595</t>
  </si>
  <si>
    <t>Cristal templado para Microsoft Surface Pro 2</t>
  </si>
  <si>
    <t>FLX03147</t>
  </si>
  <si>
    <t>Cristal templado para OPPO N1</t>
  </si>
  <si>
    <t>FLX03605</t>
  </si>
  <si>
    <t>Cristal templado para OPPO R5</t>
  </si>
  <si>
    <t>FLX03606</t>
  </si>
  <si>
    <t>Cristal templado para OPPO R827</t>
  </si>
  <si>
    <t>FLX03607</t>
  </si>
  <si>
    <t>Cristal templado para OPPO R831</t>
  </si>
  <si>
    <t>FLX03608</t>
  </si>
  <si>
    <t>Cristal templado para Surface Pro 3</t>
  </si>
  <si>
    <t>FLX03148</t>
  </si>
  <si>
    <t>Cristal templado para Xperia M2 Aqua</t>
  </si>
  <si>
    <t>FLX03610</t>
  </si>
  <si>
    <t>Cristal templado trasero para Galaxy S6 Edge</t>
  </si>
  <si>
    <t>FLX03599</t>
  </si>
  <si>
    <t>Cristal templado trasero para Galaxy S6 G920</t>
  </si>
  <si>
    <t>FLX03611</t>
  </si>
  <si>
    <t>Cristal templado trasero para iPhone 4</t>
  </si>
  <si>
    <t>FLX03596</t>
  </si>
  <si>
    <t>Cristal templado trasero para iPhone 5 5S</t>
  </si>
  <si>
    <t>FLX01802</t>
  </si>
  <si>
    <t>Cristal templado trasero para iPhone 6 4.7"</t>
  </si>
  <si>
    <t>FLX03597</t>
  </si>
  <si>
    <t>Cristal templado trasero para iPhone 6 Plus 9H</t>
  </si>
  <si>
    <t>FLX02204</t>
  </si>
  <si>
    <t>Cristal templado trasero para Xperia Z1 Compact</t>
  </si>
  <si>
    <t>FLX02081</t>
  </si>
  <si>
    <t>Cristal templado trasero para Xperia Z2</t>
  </si>
  <si>
    <t>FLX03598</t>
  </si>
  <si>
    <t>Cristal templado trasero para Xperia Z3+</t>
  </si>
  <si>
    <t>FLX03609</t>
  </si>
  <si>
    <t>Cristal touch para Alcatel OT Pop C7 7040 blanco</t>
  </si>
  <si>
    <t>FLX00896</t>
  </si>
  <si>
    <t>Cristal touch para Alcatel OT Pop C7 7040 negro</t>
  </si>
  <si>
    <t>FLX00889</t>
  </si>
  <si>
    <t>Cristal touch para Galaxy Fame S6810 azul</t>
  </si>
  <si>
    <t>FLX03062</t>
  </si>
  <si>
    <t>Cristal touch para Galaxy Fame S6810 blanco</t>
  </si>
  <si>
    <t>FLX03063</t>
  </si>
  <si>
    <t>Cristal touch para Galaxy Grand Prime G530 blanco</t>
  </si>
  <si>
    <t>FLX01922</t>
  </si>
  <si>
    <t>Cristal touch para Galaxy Grand Prime G530 gris</t>
  </si>
  <si>
    <t>Cristal touch para Galaxy Grand Prime G531 gris</t>
  </si>
  <si>
    <t>FLX03714</t>
  </si>
  <si>
    <t>Cristal touch para Galaxy Grand Prime G531 oro</t>
  </si>
  <si>
    <t>FLX03715</t>
  </si>
  <si>
    <t>Cristal touch para Galaxy J2 Prime G532 gris</t>
  </si>
  <si>
    <t>FLX03804</t>
  </si>
  <si>
    <t>Cristal touch para Galaxy Note 10.1" P600 Negro</t>
  </si>
  <si>
    <t>FLX03513</t>
  </si>
  <si>
    <t>Cristal touch para Galaxy Tab 2 P3100 I705 Blanco</t>
  </si>
  <si>
    <t>FLX01374</t>
  </si>
  <si>
    <t>Cristal touch para Galaxy Tab 2 P5100 blanco</t>
  </si>
  <si>
    <t>FLX03362</t>
  </si>
  <si>
    <t>Cristal touch para Galaxy Tab 2 P5100 negro</t>
  </si>
  <si>
    <t>FLX01368</t>
  </si>
  <si>
    <t>Cristal touch para Galaxy Tab 3 8.0 T310 negro</t>
  </si>
  <si>
    <t>Cristal touch para Galaxy Tab 3 Lite T110 blanco</t>
  </si>
  <si>
    <t>Cristal touch para Galaxy Tab 3 Lite T110 negro</t>
  </si>
  <si>
    <t>FLX03713</t>
  </si>
  <si>
    <t>Cristal touch para Galaxy Tab 3 Lite T111 blanco</t>
  </si>
  <si>
    <t>FLX01371</t>
  </si>
  <si>
    <t>Cristal touch para Galaxy Tab 3 Lite T111 negro</t>
  </si>
  <si>
    <t>FLX01372</t>
  </si>
  <si>
    <t>Cristal touch para Galaxy Tab 3 T210 blanco</t>
  </si>
  <si>
    <t>Cristal touch para Galaxy Tab 4 T230NU 7.0" blanco</t>
  </si>
  <si>
    <t>FLX00565</t>
  </si>
  <si>
    <t>Cristal touch para Galaxy Tab 4 T230NU 7.0" negro</t>
  </si>
  <si>
    <t>FLX00564</t>
  </si>
  <si>
    <t>Cristal touch para Galaxy Tab 7.0 Plus P6200 negro</t>
  </si>
  <si>
    <t>FLX01373</t>
  </si>
  <si>
    <t>Cristal touch para Galaxy Tab E T113 7,0 negro</t>
  </si>
  <si>
    <t>FLX01377</t>
  </si>
  <si>
    <t>Cristal touch para Galaxy Tab E T113 7.0" blanco</t>
  </si>
  <si>
    <t>Cristal touch para Galaxy Tab E T560 blanco 1</t>
  </si>
  <si>
    <t>FLX00566</t>
  </si>
  <si>
    <t>Cristal touch para Galaxy Tab E T560 blanco 2</t>
  </si>
  <si>
    <t>FLX02215</t>
  </si>
  <si>
    <t>Cristal touch para Galaxy Tab E T560 negro 1</t>
  </si>
  <si>
    <t>FLX01370</t>
  </si>
  <si>
    <t>Cristal touch para Galaxy Tab E T560 negro 2</t>
  </si>
  <si>
    <t>FLX02214</t>
  </si>
  <si>
    <t>Cristal touch para Galaxy Tab P7100 10.1 negro</t>
  </si>
  <si>
    <t>FLX03410</t>
  </si>
  <si>
    <t>Cristal touch para Huawei P20 Lite Nova 3 azul</t>
  </si>
  <si>
    <t>FLX00905</t>
  </si>
  <si>
    <t>Cristal touch para Huawei P20 Lite Nova 3 negro</t>
  </si>
  <si>
    <t>FLX00904</t>
  </si>
  <si>
    <t>Cristal touch para Huawei P20 Lite Nova 3 oro</t>
  </si>
  <si>
    <t>FLX00906</t>
  </si>
  <si>
    <t>Cristal touch para iPad Mini 1 2 con home blanco</t>
  </si>
  <si>
    <t>FLX01221</t>
  </si>
  <si>
    <t>Cristal touch para iPad Mini 1 2 con home negro</t>
  </si>
  <si>
    <t>FLX01222</t>
  </si>
  <si>
    <t>Cristal touch para iPad Mini 1 2 sin home blanco</t>
  </si>
  <si>
    <t>FLX03016</t>
  </si>
  <si>
    <t>Cristal touch para iPad Mini 3 IC home blanco</t>
  </si>
  <si>
    <t>FLX01223</t>
  </si>
  <si>
    <t>Cristal touch para iPad Mini 3 IC home negro</t>
  </si>
  <si>
    <t>FLX01224</t>
  </si>
  <si>
    <t>Cristal touch para iPad Mini 3 sin home blanco</t>
  </si>
  <si>
    <t>FLX01225</t>
  </si>
  <si>
    <t>Cristal touch para iPad Mini 3 sin home negro</t>
  </si>
  <si>
    <t>FLX01226</t>
  </si>
  <si>
    <t>Cristal touch para iPad Pro 9.7" A1673 blanco</t>
  </si>
  <si>
    <t>FLX01237</t>
  </si>
  <si>
    <t>Cristal touch para iPad Pro 9.7" A1673 negro</t>
  </si>
  <si>
    <t>FLX01238</t>
  </si>
  <si>
    <t>Cristal touch para Lanix Rx10 MJK-1197-FPC</t>
  </si>
  <si>
    <t>FLX02509</t>
  </si>
  <si>
    <t>Cristal touch para LG L70 D320 blanco</t>
  </si>
  <si>
    <t>FLX00683</t>
  </si>
  <si>
    <t>Cristal touch para Nokia Lumia 810 logo T-Mobile</t>
  </si>
  <si>
    <t>FLX03023</t>
  </si>
  <si>
    <t>Cristal touch para Xperia Z3 Compact blanco</t>
  </si>
  <si>
    <t>FLX01912</t>
  </si>
  <si>
    <t>Cubierta bracket soporte Wifi para iPhone 4</t>
  </si>
  <si>
    <t>FLX02136</t>
  </si>
  <si>
    <t>Cubierta metalica wifi para iPhone 4S</t>
  </si>
  <si>
    <t>FLX03319</t>
  </si>
  <si>
    <t>Desarmador 8 puntas naranja</t>
  </si>
  <si>
    <t>FLX03900</t>
  </si>
  <si>
    <t>Desarmador destornillador Torx T3 herramientas</t>
  </si>
  <si>
    <t>Desarmador destornillador Torx T4 herramientas</t>
  </si>
  <si>
    <t>FLX03588</t>
  </si>
  <si>
    <t>Desarmador destornillador Torx T5 herramientas</t>
  </si>
  <si>
    <t>FLX03726</t>
  </si>
  <si>
    <t>Desarmador destornillador Torx T6 herramientas</t>
  </si>
  <si>
    <t>FLX03724</t>
  </si>
  <si>
    <t>Desarmador pentalobe 0.8 herramientas</t>
  </si>
  <si>
    <t>FLX03728</t>
  </si>
  <si>
    <t>Desarmador pentalobe 1.2 herramientas</t>
  </si>
  <si>
    <t>FLX03727</t>
  </si>
  <si>
    <t>Desarmador torx T10 Naranja</t>
  </si>
  <si>
    <t>FLX02025</t>
  </si>
  <si>
    <t>Desarmador torx T6 Naranja</t>
  </si>
  <si>
    <t>FLX03855</t>
  </si>
  <si>
    <t>Desarmador torx T8 Naranja</t>
  </si>
  <si>
    <t>FLX03856</t>
  </si>
  <si>
    <t>Difusor flash camara para Galaxy A3 A5 A7 2017</t>
  </si>
  <si>
    <t>FLX02114</t>
  </si>
  <si>
    <t>Divisor splitter HDMI control remoto 4K 3 puertos</t>
  </si>
  <si>
    <t>FLX03901</t>
  </si>
  <si>
    <t>Earpad Cojin Orejera 5 x 4CM Cuadrado negro</t>
  </si>
  <si>
    <t>FLX03828</t>
  </si>
  <si>
    <t>Earpad Cojin para AKG K121 K121S K141 negro</t>
  </si>
  <si>
    <t>FLX02141</t>
  </si>
  <si>
    <t>Earpad Cojin para AKG K420 K403 K402 K412P negro</t>
  </si>
  <si>
    <t>FLX02116</t>
  </si>
  <si>
    <t>Earpad Cojin para Bose QC3 OE negro</t>
  </si>
  <si>
    <t>FLX03831</t>
  </si>
  <si>
    <t>Earpad Cojin para Sennheiser PX100 PX200 negro</t>
  </si>
  <si>
    <t>Earpad Cojin para Sony MDR-V150 V300 negro</t>
  </si>
  <si>
    <t>FLX02115</t>
  </si>
  <si>
    <t>Easy Charge Chip ECC</t>
  </si>
  <si>
    <t>FLX01075</t>
  </si>
  <si>
    <t>Empaque sello tapa para Galaxy S5</t>
  </si>
  <si>
    <t>FLX03590</t>
  </si>
  <si>
    <t>Endoscopio WiFi 1Mt LED contra agua 7MM</t>
  </si>
  <si>
    <t>FLX03760</t>
  </si>
  <si>
    <t>Endoscopio WiFi 2Mt LED contra agua 7MM</t>
  </si>
  <si>
    <t>FLX01514</t>
  </si>
  <si>
    <t>Espatula azul  1</t>
  </si>
  <si>
    <t>Espatula azul 2</t>
  </si>
  <si>
    <t>Espatula azul NO VENDER DE ESTA PUBLICACION</t>
  </si>
  <si>
    <t>Espatula metalica de apertura flexible Azul</t>
  </si>
  <si>
    <t>Espatula metalica de apertura flexible Qianli</t>
  </si>
  <si>
    <t>Espatula metalica de apertura naranja</t>
  </si>
  <si>
    <t>FLX03656</t>
  </si>
  <si>
    <t>Espatula metalica flexible con mango</t>
  </si>
  <si>
    <t>Espatula metálica sencilla apertura palanca 1</t>
  </si>
  <si>
    <t>Espatula metálica sencilla apertura palanca 2</t>
  </si>
  <si>
    <t>Espatula plastica 15CM negro</t>
  </si>
  <si>
    <t>Espatula plastica azul pequeña palita</t>
  </si>
  <si>
    <t>FLX01816</t>
  </si>
  <si>
    <t>Espatula plastica porta navaja naranja</t>
  </si>
  <si>
    <t>FLX00625</t>
  </si>
  <si>
    <t>Expulsor de sim para iPhone 4</t>
  </si>
  <si>
    <t>FLX02126</t>
  </si>
  <si>
    <t>Filtro malla bocina auricular para Galaxy S7 Edge</t>
  </si>
  <si>
    <t>FLX01976</t>
  </si>
  <si>
    <t>Flex alimentacion transmision para iPhone 5 corto</t>
  </si>
  <si>
    <t>FLX03466</t>
  </si>
  <si>
    <t>Flex alimentacion transmision para iPhone 5 largo</t>
  </si>
  <si>
    <t>FLX03445</t>
  </si>
  <si>
    <t>Flex antena para iPad 2 3G izquierda wifi</t>
  </si>
  <si>
    <t>FLX01854</t>
  </si>
  <si>
    <t>Flex antena para iPad 2 bluetooth wifi 1</t>
  </si>
  <si>
    <t>FLX01009</t>
  </si>
  <si>
    <t>Flex antena para iPad 2 bluetooth wifi 2</t>
  </si>
  <si>
    <t>FLX01977</t>
  </si>
  <si>
    <t>Flex antena para iPad 2 Gprs Gps</t>
  </si>
  <si>
    <t>FLX02140</t>
  </si>
  <si>
    <t>Flex antena para iPad 3 / 4 izquierda 4G</t>
  </si>
  <si>
    <t>FLX02130</t>
  </si>
  <si>
    <t>Flex antena para iPad 3 / 4 wifi</t>
  </si>
  <si>
    <t>Flex antena para iPad Air bluetooth wifi</t>
  </si>
  <si>
    <t>Flex antena para iPad Air señal 3G 2 piezas</t>
  </si>
  <si>
    <t>FLX02103</t>
  </si>
  <si>
    <t>Flex antena para iPad Mini 1 2 3 derecha 4G LTE</t>
  </si>
  <si>
    <t>FLX03385</t>
  </si>
  <si>
    <t>Flex antena para iPad Mini 1 2 3 GPS</t>
  </si>
  <si>
    <t>FLX03384</t>
  </si>
  <si>
    <t>Flex antena para iPad Mini 1 2 3 izquierda 4G LTE</t>
  </si>
  <si>
    <t>FLX02117</t>
  </si>
  <si>
    <t>Flex antena para iPad Mini 4 wifi</t>
  </si>
  <si>
    <t>FLX03780</t>
  </si>
  <si>
    <t>Flex antena para iPad Mini bluetooth wifi 1 2 3</t>
  </si>
  <si>
    <t>FLX01711</t>
  </si>
  <si>
    <t>Flex antena para iPhone 3G / 3GS wifi</t>
  </si>
  <si>
    <t>FLX03402</t>
  </si>
  <si>
    <t>Flex antena para iPhone 4 GSM</t>
  </si>
  <si>
    <t>FLX01860</t>
  </si>
  <si>
    <t>Flex antena para iPhone 4S GSM</t>
  </si>
  <si>
    <t>FLX01855</t>
  </si>
  <si>
    <t>Flex antena para iPhone 4S wifi</t>
  </si>
  <si>
    <t>FLX00901</t>
  </si>
  <si>
    <t>Flex antena para iPhone 5 acoplamiento inductivo</t>
  </si>
  <si>
    <t>FLX02088</t>
  </si>
  <si>
    <t>Flex antena para iPhone 5 wifi</t>
  </si>
  <si>
    <t>FLX03331</t>
  </si>
  <si>
    <t>Flex antena para iPhone 5C bluetooth wifi</t>
  </si>
  <si>
    <t>FLX01794</t>
  </si>
  <si>
    <t>Flex antena para iPhone 6 4.7 modulo gps</t>
  </si>
  <si>
    <t>FLX01857</t>
  </si>
  <si>
    <t>Flex antena para iPhone 6 4.7 wifi 1</t>
  </si>
  <si>
    <t>FLX00182</t>
  </si>
  <si>
    <t>Flex antena para iPhone 6 4.7 wifi 2</t>
  </si>
  <si>
    <t>FLX02206</t>
  </si>
  <si>
    <t>Flex antena para iPhone 6 Plus bluetooth wifi</t>
  </si>
  <si>
    <t>FLX01829</t>
  </si>
  <si>
    <t>Flex antena para iPhone 6 Plus wifi 1</t>
  </si>
  <si>
    <t>FLX00691</t>
  </si>
  <si>
    <t>Flex antena para iPhone 6S Plus bluetooth wifi</t>
  </si>
  <si>
    <t>FLX00533</t>
  </si>
  <si>
    <t>Flex antena para iPhone 6S Plus wifi</t>
  </si>
  <si>
    <t>FLX02479</t>
  </si>
  <si>
    <t>Flex antena para iPhone 7 Plus wifi coaxial</t>
  </si>
  <si>
    <t>FLX00230</t>
  </si>
  <si>
    <t>Flex antena para iPhone 7 wifi coaxial</t>
  </si>
  <si>
    <t>FLX00231</t>
  </si>
  <si>
    <t>Flex antena para iPhone 8 Plus wifi</t>
  </si>
  <si>
    <t>Flex antena para iPhone 8 Plus wifi GPS</t>
  </si>
  <si>
    <t>FLX00209</t>
  </si>
  <si>
    <t>Flex antena para iPhone 8 wifi 1</t>
  </si>
  <si>
    <t>FLX00204</t>
  </si>
  <si>
    <t>Flex antena para iPhone 8 wifi 2</t>
  </si>
  <si>
    <t>FLX02210</t>
  </si>
  <si>
    <t>Flex antena para iPod Touch 4 wifi</t>
  </si>
  <si>
    <t>FLX03298</t>
  </si>
  <si>
    <t>Flex antena para iPod Touch 5 bluetooth wifi</t>
  </si>
  <si>
    <t>FLX03914</t>
  </si>
  <si>
    <t>Flex antena para Nokia Lumia 800 altavoz</t>
  </si>
  <si>
    <t>FLX01648</t>
  </si>
  <si>
    <t>Flex backlight para Macbook A1706 7 8 A1989 90</t>
  </si>
  <si>
    <t>FLX00729</t>
  </si>
  <si>
    <t>Flex bocina auricular jack vibrador para Galaxy S2</t>
  </si>
  <si>
    <t>FLX03373</t>
  </si>
  <si>
    <t>Flex boton camara para Xperia SP C5303</t>
  </si>
  <si>
    <t>FLX00346</t>
  </si>
  <si>
    <t>Flex boton Der Izq control para PS5 V1.0 BDM-010</t>
  </si>
  <si>
    <t>Flex boton Der Izq control para PS5 V2.0 BDM-020</t>
  </si>
  <si>
    <t>Flex boton Der Izq control para PS5 V3.0 BDM-030</t>
  </si>
  <si>
    <t>FLX02858</t>
  </si>
  <si>
    <t>Flex boton home para Galaxy J1 J100</t>
  </si>
  <si>
    <t>FLX02282</t>
  </si>
  <si>
    <t>Flex boton home para Galaxy J2 Pro J250 2018</t>
  </si>
  <si>
    <t>FLX00040</t>
  </si>
  <si>
    <t>Flex boton home para Galaxy J3 2016 J320 menu</t>
  </si>
  <si>
    <t>FLX00067</t>
  </si>
  <si>
    <t>Flex boton home para Galaxy J4 J400</t>
  </si>
  <si>
    <t>FLX00041</t>
  </si>
  <si>
    <t>Flex boton home para Galaxy J5 J510 jack audio</t>
  </si>
  <si>
    <t>FLX00763</t>
  </si>
  <si>
    <t>Flex boton home para Galaxy J5 Prime G570 jack</t>
  </si>
  <si>
    <t>FLX00024</t>
  </si>
  <si>
    <t>Flex boton home para Galaxy J7 2016 J710 jack</t>
  </si>
  <si>
    <t>FLX00045</t>
  </si>
  <si>
    <t>Flex boton home para Galaxy J7 J700 2015 jack</t>
  </si>
  <si>
    <t>FLX01401</t>
  </si>
  <si>
    <t>Flex boton home para Galaxy J7 Neo J701 jack</t>
  </si>
  <si>
    <t>Flex boton home para Galaxy J7 Prime G610 jack</t>
  </si>
  <si>
    <t>FLX00044</t>
  </si>
  <si>
    <t>Flex boton home para Galaxy J7 Pro J730</t>
  </si>
  <si>
    <t>FLX01398</t>
  </si>
  <si>
    <t>Flex boton home para Galaxy Mega 6.3 I9200 menu</t>
  </si>
  <si>
    <t>FLX03400</t>
  </si>
  <si>
    <t>Flex boton home para Galaxy Note 4 N910 blanco</t>
  </si>
  <si>
    <t>FLX00042</t>
  </si>
  <si>
    <t>Flex boton home para Galaxy Note 8.0" N5100 menu</t>
  </si>
  <si>
    <t>FLX00095</t>
  </si>
  <si>
    <t>Flex boton home para Galaxy S i9000 microfono menu</t>
  </si>
  <si>
    <t>FLX02125</t>
  </si>
  <si>
    <t>Flex boton home para Galaxy S2 i727 Skyrocket menu</t>
  </si>
  <si>
    <t>FLX03488</t>
  </si>
  <si>
    <t>Flex boton home para Galaxy S3 i9300</t>
  </si>
  <si>
    <t>FLX01895</t>
  </si>
  <si>
    <t>Flex boton home para Galaxy S3 Mini i8190 menu</t>
  </si>
  <si>
    <t>FLX01386</t>
  </si>
  <si>
    <t>Flex boton home para Galaxy S4 i337 M919 menu</t>
  </si>
  <si>
    <t>FLX03393</t>
  </si>
  <si>
    <t>Flex boton home para Galaxy S4 Mini i9195 menu</t>
  </si>
  <si>
    <t>FLX03449</t>
  </si>
  <si>
    <t>Flex boton home para Galaxy S6 Edge azul</t>
  </si>
  <si>
    <t>FLX02031</t>
  </si>
  <si>
    <t>Flex boton home para Galaxy S6 Edge blanco</t>
  </si>
  <si>
    <t>FLX02045</t>
  </si>
  <si>
    <t>Flex boton home para Galaxy S6 Edge oro</t>
  </si>
  <si>
    <t>FLX02044</t>
  </si>
  <si>
    <t>Flex boton home para Galaxy S6 G920 azul</t>
  </si>
  <si>
    <t>FLX03663</t>
  </si>
  <si>
    <t>Flex boton home para Galaxy S6 G920 blanco</t>
  </si>
  <si>
    <t>FLX03664</t>
  </si>
  <si>
    <t>Flex boton home para Galaxy S6 G920 oro</t>
  </si>
  <si>
    <t>FLX03665</t>
  </si>
  <si>
    <t>Flex boton home para Galaxy Tab 3 P5200 menu</t>
  </si>
  <si>
    <t>FLX00097</t>
  </si>
  <si>
    <t>Flex boton home para Galaxy Tab 3 T210</t>
  </si>
  <si>
    <t>FLX00074</t>
  </si>
  <si>
    <t>Flex boton home para Galaxy Tab 3 T310 T311 menu</t>
  </si>
  <si>
    <t>FLX00096</t>
  </si>
  <si>
    <t>Flex boton home para Huawei Mate 8 blanco</t>
  </si>
  <si>
    <t>FLX00158</t>
  </si>
  <si>
    <t>Flex boton home para Huawei Mate 8 gris</t>
  </si>
  <si>
    <t>FLX00157</t>
  </si>
  <si>
    <t>Flex boton home para Huawei Mate 8 oro</t>
  </si>
  <si>
    <t>FLX00156</t>
  </si>
  <si>
    <t>Flex boton home para Huawei P10 Selfie azul</t>
  </si>
  <si>
    <t>FLX00350</t>
  </si>
  <si>
    <t>Flex boton home para Huawei P9 EVA-L09 19 29 gris</t>
  </si>
  <si>
    <t>FLX00173</t>
  </si>
  <si>
    <t>Flex boton home para Huawei P9 EVA-L09 19 29 oro</t>
  </si>
  <si>
    <t>FLX00172</t>
  </si>
  <si>
    <t>Flex boton home para iPad 4</t>
  </si>
  <si>
    <t>FLX00009</t>
  </si>
  <si>
    <t>Flex boton home para iPad Mini 3 blanco</t>
  </si>
  <si>
    <t>Flex boton home para iPad Mini 3 negro</t>
  </si>
  <si>
    <t>Flex boton home para iPad Mini 4 y Air 2 blanco 1</t>
  </si>
  <si>
    <t>FLX00761</t>
  </si>
  <si>
    <t>Flex boton home para iPad Mini 4 y Air 2 blanco 2</t>
  </si>
  <si>
    <t>FLX02207</t>
  </si>
  <si>
    <t>Flex boton home para iPad Mini 4 y Air 2 negro</t>
  </si>
  <si>
    <t>Flex boton home para iPhone 3G</t>
  </si>
  <si>
    <t>FLX03336</t>
  </si>
  <si>
    <t>Flex boton home para iPhone 3GS blanco</t>
  </si>
  <si>
    <t>FLX03568</t>
  </si>
  <si>
    <t>Flex boton home para iPhone 4</t>
  </si>
  <si>
    <t>FLX01811</t>
  </si>
  <si>
    <t>Flex boton home para iPhone 4 blanco</t>
  </si>
  <si>
    <t>FLX03858</t>
  </si>
  <si>
    <t>Flex boton home para iPhone 4 negro</t>
  </si>
  <si>
    <t>FLX03857</t>
  </si>
  <si>
    <t>Flex boton home para iPhone 4S</t>
  </si>
  <si>
    <t>FLX03341</t>
  </si>
  <si>
    <t>Flex boton home para iPhone 4S blanco</t>
  </si>
  <si>
    <t>FLX03860</t>
  </si>
  <si>
    <t>Flex boton home para iPhone 4S negro</t>
  </si>
  <si>
    <t>FLX03859</t>
  </si>
  <si>
    <t>Flex boton home para iPhone 5</t>
  </si>
  <si>
    <t>FLX03327</t>
  </si>
  <si>
    <t>Flex boton home para iPhone 5S</t>
  </si>
  <si>
    <t>FLX03459</t>
  </si>
  <si>
    <t>Flex boton home para iPhone 5S blanco</t>
  </si>
  <si>
    <t>FLX03569</t>
  </si>
  <si>
    <t>Flex boton home para iPhone 5S negro</t>
  </si>
  <si>
    <t>Flex boton home para iPhone 5S oro</t>
  </si>
  <si>
    <t>FLX03570</t>
  </si>
  <si>
    <t>Flex boton home para iPhone 5S rosa</t>
  </si>
  <si>
    <t>FLX03861</t>
  </si>
  <si>
    <t>Flex boton home para iPhone 6 blanco</t>
  </si>
  <si>
    <t>Flex boton home para iPhone 6 negro</t>
  </si>
  <si>
    <t>Flex boton home para iPhone 6 oro 1</t>
  </si>
  <si>
    <t>FLX00213</t>
  </si>
  <si>
    <t>Flex boton home para iPhone 6 oro 2</t>
  </si>
  <si>
    <t>Flex boton home para iPhone 6S blanco</t>
  </si>
  <si>
    <t>Flex boton home para iPhone 6S negro</t>
  </si>
  <si>
    <t>Flex boton home para iPhone 6S oro</t>
  </si>
  <si>
    <t>Flex boton home para iPhone 7 8 / Plus Y3F blanco</t>
  </si>
  <si>
    <t>Flex boton home para iPhone 7 8 / Plus Y3F negro</t>
  </si>
  <si>
    <t>Flex boton home para iPhone 7 blanco</t>
  </si>
  <si>
    <t>FLX03863</t>
  </si>
  <si>
    <t>Flex boton home para iPhone 7 negro</t>
  </si>
  <si>
    <t>FLX03862</t>
  </si>
  <si>
    <t>Flex boton home para iPhone 7 oro</t>
  </si>
  <si>
    <t>FLX03864</t>
  </si>
  <si>
    <t>Flex boton home para iPhone 7 rosa</t>
  </si>
  <si>
    <t>FLX03865</t>
  </si>
  <si>
    <t>Flex boton home para iPod Touch 4</t>
  </si>
  <si>
    <t>FLX03299</t>
  </si>
  <si>
    <t>Flex boton home para Moto Z XT1650 blanco</t>
  </si>
  <si>
    <t>FLX00374</t>
  </si>
  <si>
    <t>Flex boton home para Moto Z XT1650 negro</t>
  </si>
  <si>
    <t>FLX00373</t>
  </si>
  <si>
    <t>Flex boton para Galaxy S3 I9300 menu retorno</t>
  </si>
  <si>
    <t>FLX02038</t>
  </si>
  <si>
    <t>Flex boton para Nintendo 3DS XL LL LR ZR ZL</t>
  </si>
  <si>
    <t>FLX02705</t>
  </si>
  <si>
    <t>Flex boton para Nintendo Switch L 1</t>
  </si>
  <si>
    <t>Flex boton para Nintendo Switch L 2</t>
  </si>
  <si>
    <t>Flex boton para Nintendo Switch ZL 1</t>
  </si>
  <si>
    <t>Flex boton para Nintendo Switch ZL 2</t>
  </si>
  <si>
    <t>Flex boton para Nintendo Switch ZR 1</t>
  </si>
  <si>
    <t>Flex boton para Nintendo Switch ZR 2</t>
  </si>
  <si>
    <t>Flex botones para Nintendo 3DS L&amp;R Izq Dcho</t>
  </si>
  <si>
    <t>FLX02869</t>
  </si>
  <si>
    <t>Flex botones para Nintendo Switch Joycon SL 1</t>
  </si>
  <si>
    <t>FLX01693</t>
  </si>
  <si>
    <t>Flex botones para Nintendo Switch Joycon SL 2</t>
  </si>
  <si>
    <t>Flex botones para Nintendo Switch Joycon SR 1</t>
  </si>
  <si>
    <t>FLX01729</t>
  </si>
  <si>
    <t>Flex botones para Nintendo Switch Joycon SR 2</t>
  </si>
  <si>
    <t>Flex cable ribbon 10 CM 10 Pines 1</t>
  </si>
  <si>
    <t>FLX02363</t>
  </si>
  <si>
    <t>Flex cable ribbon 10 CM 10 Pines 2</t>
  </si>
  <si>
    <t>FLX02482</t>
  </si>
  <si>
    <t>Flex cable ribbon 10 CM 12 Pines</t>
  </si>
  <si>
    <t>Flex cable ribbon 10 CM 14 Pines</t>
  </si>
  <si>
    <t>FLX02365</t>
  </si>
  <si>
    <t>Flex cable ribbon 10 CM 15 Pines</t>
  </si>
  <si>
    <t>Flex cable ribbon 10 CM 16 Pines</t>
  </si>
  <si>
    <t>FLX02367</t>
  </si>
  <si>
    <t>Flex cable ribbon 10 CM 18 Pines</t>
  </si>
  <si>
    <t>FLX02368</t>
  </si>
  <si>
    <t>Flex cable ribbon 10 CM 20 Pines</t>
  </si>
  <si>
    <t>Flex cable ribbon 10 CM 22 Pines</t>
  </si>
  <si>
    <t>FLX02370</t>
  </si>
  <si>
    <t>Flex cable ribbon 10 CM 24 Pines</t>
  </si>
  <si>
    <t>Flex cable ribbon 10 CM 25 Pines</t>
  </si>
  <si>
    <t>FLX02372</t>
  </si>
  <si>
    <t>Flex cable ribbon 10 CM 26 Pines</t>
  </si>
  <si>
    <t>FLX02373</t>
  </si>
  <si>
    <t>Flex cable ribbon 10 CM 28 Pines</t>
  </si>
  <si>
    <t>FLX02374</t>
  </si>
  <si>
    <t>Flex cable ribbon 10 CM 30 Pines</t>
  </si>
  <si>
    <t>FLX02375</t>
  </si>
  <si>
    <t>Flex cable ribbon 10 CM 32 Pines</t>
  </si>
  <si>
    <t>FLX02376</t>
  </si>
  <si>
    <t>Flex cable ribbon 10 CM 34 Pines</t>
  </si>
  <si>
    <t>FLX02377</t>
  </si>
  <si>
    <t>Flex cable ribbon 10 CM 35 Pines</t>
  </si>
  <si>
    <t>FLX02378</t>
  </si>
  <si>
    <t>Flex cable ribbon 10 CM 4 Pines</t>
  </si>
  <si>
    <t>FLX02359</t>
  </si>
  <si>
    <t>Flex cable ribbon 10 CM 40 Pines</t>
  </si>
  <si>
    <t>FLX02379</t>
  </si>
  <si>
    <t>Flex cable ribbon 10 CM 45 Pines</t>
  </si>
  <si>
    <t>FLX02380</t>
  </si>
  <si>
    <t>Flex cable ribbon 10 CM 5 Pines</t>
  </si>
  <si>
    <t>FLX02360</t>
  </si>
  <si>
    <t>Flex cable ribbon 10 CM 50 Pines</t>
  </si>
  <si>
    <t>FLX02381</t>
  </si>
  <si>
    <t>Flex cable ribbon 10 CM 6 Pines</t>
  </si>
  <si>
    <t>Flex cable ribbon 10 CM 60 Pines</t>
  </si>
  <si>
    <t>FLX02382</t>
  </si>
  <si>
    <t>Flex cable ribbon 10 CM 8 Pines</t>
  </si>
  <si>
    <t>FLX02362</t>
  </si>
  <si>
    <t>Flex cable ribbon 15 CM 10 Pines</t>
  </si>
  <si>
    <t>FLX02387</t>
  </si>
  <si>
    <t>Flex cable ribbon 15 CM 12 Pines</t>
  </si>
  <si>
    <t>Flex cable ribbon 15 CM 14 Pines</t>
  </si>
  <si>
    <t>FLX02389</t>
  </si>
  <si>
    <t>Flex cable ribbon 15 CM 15 Pines</t>
  </si>
  <si>
    <t>FLX02390</t>
  </si>
  <si>
    <t>Flex cable ribbon 15 CM 16 Pines</t>
  </si>
  <si>
    <t>FLX02391</t>
  </si>
  <si>
    <t>Flex cable ribbon 15 CM 18 Pines</t>
  </si>
  <si>
    <t>Flex cable ribbon 15 CM 20 Pines</t>
  </si>
  <si>
    <t>Flex cable ribbon 15 CM 22 Pines</t>
  </si>
  <si>
    <t>FLX02394</t>
  </si>
  <si>
    <t>Flex cable ribbon 15 CM 24 Pines</t>
  </si>
  <si>
    <t>Flex cable ribbon 15 CM 25 Pines</t>
  </si>
  <si>
    <t>FLX02396</t>
  </si>
  <si>
    <t>Flex cable ribbon 15 CM 26 Pines</t>
  </si>
  <si>
    <t>FLX02397</t>
  </si>
  <si>
    <t>Flex cable ribbon 15 CM 28 Pines</t>
  </si>
  <si>
    <t>Flex cable ribbon 15 CM 30 Pines</t>
  </si>
  <si>
    <t>FLX02399</t>
  </si>
  <si>
    <t>Flex cable ribbon 15 CM 32 Pines</t>
  </si>
  <si>
    <t>FLX02400</t>
  </si>
  <si>
    <t>Flex cable ribbon 15 CM 34 Pines</t>
  </si>
  <si>
    <t>FLX02401</t>
  </si>
  <si>
    <t>Flex cable ribbon 15 CM 35 Pines</t>
  </si>
  <si>
    <t>FLX02402</t>
  </si>
  <si>
    <t>Flex cable ribbon 15 CM 4 Pines</t>
  </si>
  <si>
    <t>FLX02383</t>
  </si>
  <si>
    <t>Flex cable ribbon 15 CM 40 Pines</t>
  </si>
  <si>
    <t>FLX02403</t>
  </si>
  <si>
    <t>Flex cable ribbon 15 CM 45 Pines</t>
  </si>
  <si>
    <t>FLX02404</t>
  </si>
  <si>
    <t>Flex cable ribbon 15 CM 5 Pines</t>
  </si>
  <si>
    <t>FLX02384</t>
  </si>
  <si>
    <t>Flex cable ribbon 15 CM 50 Pines</t>
  </si>
  <si>
    <t>FLX02405</t>
  </si>
  <si>
    <t>Flex cable ribbon 15 CM 6 Pines</t>
  </si>
  <si>
    <t>Flex cable ribbon 15 CM 60 Pines</t>
  </si>
  <si>
    <t>FLX02406</t>
  </si>
  <si>
    <t>Flex cable ribbon 15 CM 8 Pines</t>
  </si>
  <si>
    <t>FLX02386</t>
  </si>
  <si>
    <t>Flex cable ribbon 20 CM 10 Pines</t>
  </si>
  <si>
    <t>FLX02411</t>
  </si>
  <si>
    <t>Flex cable ribbon 20 CM 12 Pines</t>
  </si>
  <si>
    <t>Flex cable ribbon 20 CM 14 Pines</t>
  </si>
  <si>
    <t>FLX02413</t>
  </si>
  <si>
    <t>Flex cable ribbon 20 CM 15 Pines</t>
  </si>
  <si>
    <t>FLX02414</t>
  </si>
  <si>
    <t>Flex cable ribbon 20 CM 16 Pines</t>
  </si>
  <si>
    <t>FLX02415</t>
  </si>
  <si>
    <t>Flex cable ribbon 20 CM 18 Pines</t>
  </si>
  <si>
    <t>FLX02416</t>
  </si>
  <si>
    <t>Flex cable ribbon 20 CM 20 Pines</t>
  </si>
  <si>
    <t>FLX02417</t>
  </si>
  <si>
    <t>Flex cable ribbon 20 CM 22 Pines</t>
  </si>
  <si>
    <t>FLX02418</t>
  </si>
  <si>
    <t>Flex cable ribbon 20 CM 24 Pines</t>
  </si>
  <si>
    <t>FLX02419</t>
  </si>
  <si>
    <t>Flex cable ribbon 20 CM 25 Pines</t>
  </si>
  <si>
    <t>FLX02420</t>
  </si>
  <si>
    <t>Flex cable ribbon 20 CM 26 Pines</t>
  </si>
  <si>
    <t>FLX02421</t>
  </si>
  <si>
    <t>Flex cable ribbon 20 CM 28 Pines</t>
  </si>
  <si>
    <t>FLX02422</t>
  </si>
  <si>
    <t>Flex cable ribbon 20 CM 30 Pines</t>
  </si>
  <si>
    <t>FLX02423</t>
  </si>
  <si>
    <t>Flex cable ribbon 20 CM 32 Pines</t>
  </si>
  <si>
    <t>Flex cable ribbon 20 CM 34 Pines</t>
  </si>
  <si>
    <t>FLX02425</t>
  </si>
  <si>
    <t>Flex cable ribbon 20 CM 35 Pines</t>
  </si>
  <si>
    <t>FLX02426</t>
  </si>
  <si>
    <t>Flex cable ribbon 20 CM 4 Pines</t>
  </si>
  <si>
    <t>FLX02407</t>
  </si>
  <si>
    <t>Flex cable ribbon 20 CM 40 Pines</t>
  </si>
  <si>
    <t>FLX02427</t>
  </si>
  <si>
    <t>Flex cable ribbon 20 CM 45 Pines</t>
  </si>
  <si>
    <t>Flex cable ribbon 20 CM 5 Pines</t>
  </si>
  <si>
    <t>FLX02408</t>
  </si>
  <si>
    <t>Flex cable ribbon 20 CM 50 Pines</t>
  </si>
  <si>
    <t>Flex cable ribbon 20 CM 6 Pines</t>
  </si>
  <si>
    <t>FLX02409</t>
  </si>
  <si>
    <t>Flex cable ribbon 20 CM 60 Pines</t>
  </si>
  <si>
    <t>FLX02430</t>
  </si>
  <si>
    <t>Flex cable ribbon 20 CM 8 Pines</t>
  </si>
  <si>
    <t>FLX02410</t>
  </si>
  <si>
    <t>Flex cable ribbon 25 CM 10 Pines</t>
  </si>
  <si>
    <t>FLX02435</t>
  </si>
  <si>
    <t>Flex cable ribbon 25 CM 12 Pines</t>
  </si>
  <si>
    <t>FLX02436</t>
  </si>
  <si>
    <t>Flex cable ribbon 25 CM 14 Pines</t>
  </si>
  <si>
    <t>FLX02437</t>
  </si>
  <si>
    <t>Flex cable ribbon 25 CM 15 Pines</t>
  </si>
  <si>
    <t>FLX02438</t>
  </si>
  <si>
    <t>Flex cable ribbon 25 CM 16 Pines</t>
  </si>
  <si>
    <t>FLX02439</t>
  </si>
  <si>
    <t>Flex cable ribbon 25 CM 18 Pines</t>
  </si>
  <si>
    <t>FLX02440</t>
  </si>
  <si>
    <t>Flex cable ribbon 25 CM 20 Pines</t>
  </si>
  <si>
    <t>FLX02441</t>
  </si>
  <si>
    <t>Flex cable ribbon 25 CM 22 Pines</t>
  </si>
  <si>
    <t>FLX02442</t>
  </si>
  <si>
    <t>Flex cable ribbon 25 CM 24 Pines</t>
  </si>
  <si>
    <t>FLX02443</t>
  </si>
  <si>
    <t>Flex cable ribbon 25 CM 25 Pines</t>
  </si>
  <si>
    <t>FLX02444</t>
  </si>
  <si>
    <t>Flex cable ribbon 25 CM 26 Pines</t>
  </si>
  <si>
    <t>FLX02445</t>
  </si>
  <si>
    <t>Flex cable ribbon 25 CM 28 Pines</t>
  </si>
  <si>
    <t>FLX02446</t>
  </si>
  <si>
    <t>Flex cable ribbon 25 CM 30 Pines</t>
  </si>
  <si>
    <t>FLX02447</t>
  </si>
  <si>
    <t>Flex cable ribbon 25 CM 32 Pines</t>
  </si>
  <si>
    <t>FLX02448</t>
  </si>
  <si>
    <t>Flex cable ribbon 25 CM 34 Pines</t>
  </si>
  <si>
    <t>FLX02449</t>
  </si>
  <si>
    <t>Flex cable ribbon 25 CM 35 Pines</t>
  </si>
  <si>
    <t>FLX02450</t>
  </si>
  <si>
    <t>Flex cable ribbon 25 CM 4 Pines</t>
  </si>
  <si>
    <t>FLX02431</t>
  </si>
  <si>
    <t>Flex cable ribbon 25 CM 40 Pines</t>
  </si>
  <si>
    <t>FLX02451</t>
  </si>
  <si>
    <t>Flex cable ribbon 25 CM 45 Pines</t>
  </si>
  <si>
    <t>FLX02452</t>
  </si>
  <si>
    <t>Flex cable ribbon 25 CM 5 Pines</t>
  </si>
  <si>
    <t>FLX02432</t>
  </si>
  <si>
    <t>Flex cable ribbon 25 CM 50 Pines</t>
  </si>
  <si>
    <t>FLX02453</t>
  </si>
  <si>
    <t>Flex cable ribbon 25 CM 6 Pines</t>
  </si>
  <si>
    <t>FLX02433</t>
  </si>
  <si>
    <t>Flex cable ribbon 25 CM 60 Pines</t>
  </si>
  <si>
    <t>FLX02454</t>
  </si>
  <si>
    <t>Flex cable ribbon 25 CM 8 Pines</t>
  </si>
  <si>
    <t>FLX02434</t>
  </si>
  <si>
    <t>Flex cable ribbon 30 CM 10 Pines</t>
  </si>
  <si>
    <t>FLX02459</t>
  </si>
  <si>
    <t>Flex cable ribbon 30 CM 12 Pines</t>
  </si>
  <si>
    <t>Flex cable ribbon 30 CM 14 Pines</t>
  </si>
  <si>
    <t>Flex cable ribbon 30 CM 15 Pines</t>
  </si>
  <si>
    <t>FLX02462</t>
  </si>
  <si>
    <t>Flex cable ribbon 30 CM 16 Pines</t>
  </si>
  <si>
    <t>FLX02463</t>
  </si>
  <si>
    <t>Flex cable ribbon 30 CM 18 Pines</t>
  </si>
  <si>
    <t>FLX02464</t>
  </si>
  <si>
    <t>Flex cable ribbon 30 CM 20 Pines</t>
  </si>
  <si>
    <t>FLX02465</t>
  </si>
  <si>
    <t>Flex cable ribbon 30 CM 22 Pines</t>
  </si>
  <si>
    <t>FLX02466</t>
  </si>
  <si>
    <t>Flex cable ribbon 30 CM 24 Pines</t>
  </si>
  <si>
    <t>FLX02467</t>
  </si>
  <si>
    <t>Flex cable ribbon 30 CM 25 Pines</t>
  </si>
  <si>
    <t>FLX02468</t>
  </si>
  <si>
    <t>Flex cable ribbon 30 CM 26 Pines</t>
  </si>
  <si>
    <t>FLX02469</t>
  </si>
  <si>
    <t>Flex cable ribbon 30 CM 28 Pines</t>
  </si>
  <si>
    <t>FLX02470</t>
  </si>
  <si>
    <t>Flex cable ribbon 30 CM 30 Pines</t>
  </si>
  <si>
    <t>FLX02471</t>
  </si>
  <si>
    <t>Flex cable ribbon 30 CM 32 Pines</t>
  </si>
  <si>
    <t>Flex cable ribbon 30 CM 34 Pines</t>
  </si>
  <si>
    <t>FLX02473</t>
  </si>
  <si>
    <t>Flex cable ribbon 30 CM 35 Pines</t>
  </si>
  <si>
    <t>FLX02474</t>
  </si>
  <si>
    <t>Flex cable ribbon 30 CM 4 Pines</t>
  </si>
  <si>
    <t>Flex cable ribbon 30 CM 40 Pines</t>
  </si>
  <si>
    <t>FLX02475</t>
  </si>
  <si>
    <t>Flex cable ribbon 30 CM 45 Pines</t>
  </si>
  <si>
    <t>FLX02476</t>
  </si>
  <si>
    <t>Flex cable ribbon 30 CM 5 Pines</t>
  </si>
  <si>
    <t>FLX02456</t>
  </si>
  <si>
    <t>Flex cable ribbon 30 CM 50 Pines</t>
  </si>
  <si>
    <t>FLX02477</t>
  </si>
  <si>
    <t>Flex cable ribbon 30 CM 6 Pines</t>
  </si>
  <si>
    <t>FLX02457</t>
  </si>
  <si>
    <t>Flex cable ribbon 30 CM 60 Pines</t>
  </si>
  <si>
    <t>FLX02478</t>
  </si>
  <si>
    <t>Flex cable ribbon 30 CM 8 Pines</t>
  </si>
  <si>
    <t>FLX02458</t>
  </si>
  <si>
    <t>Flex cable ribbon 6 CM 10 Pines</t>
  </si>
  <si>
    <t>FLX02339</t>
  </si>
  <si>
    <t>Flex cable ribbon 6 CM 12 Pines</t>
  </si>
  <si>
    <t>FLX02340</t>
  </si>
  <si>
    <t>Flex cable ribbon 6 CM 14 Pines</t>
  </si>
  <si>
    <t>FLX02341</t>
  </si>
  <si>
    <t>Flex cable ribbon 6 CM 15 Pines</t>
  </si>
  <si>
    <t>FLX02342</t>
  </si>
  <si>
    <t>Flex cable ribbon 6 CM 16 Pines</t>
  </si>
  <si>
    <t>FLX02343</t>
  </si>
  <si>
    <t>Flex cable ribbon 6 CM 18 Pines</t>
  </si>
  <si>
    <t>FLX02344</t>
  </si>
  <si>
    <t>Flex cable ribbon 6 CM 20 Pines</t>
  </si>
  <si>
    <t>FLX02345</t>
  </si>
  <si>
    <t>Flex cable ribbon 6 CM 22 Pines</t>
  </si>
  <si>
    <t>FLX02346</t>
  </si>
  <si>
    <t>Flex cable ribbon 6 CM 24 Pines</t>
  </si>
  <si>
    <t>FLX02347</t>
  </si>
  <si>
    <t>Flex cable ribbon 6 CM 25 Pines</t>
  </si>
  <si>
    <t>FLX02348</t>
  </si>
  <si>
    <t>Flex cable ribbon 6 CM 26 Pines</t>
  </si>
  <si>
    <t>FLX02349</t>
  </si>
  <si>
    <t>Flex cable ribbon 6 CM 28 Pines</t>
  </si>
  <si>
    <t>FLX02350</t>
  </si>
  <si>
    <t>Flex cable ribbon 6 CM 30 Pines</t>
  </si>
  <si>
    <t>FLX02351</t>
  </si>
  <si>
    <t>Flex cable ribbon 6 CM 32 Pines</t>
  </si>
  <si>
    <t>FLX02352</t>
  </si>
  <si>
    <t>Flex cable ribbon 6 CM 34 Pines</t>
  </si>
  <si>
    <t>FLX02353</t>
  </si>
  <si>
    <t>Flex cable ribbon 6 CM 35 Pines</t>
  </si>
  <si>
    <t>FLX02354</t>
  </si>
  <si>
    <t>Flex cable ribbon 6 CM 4 Pines</t>
  </si>
  <si>
    <t>FLX02335</t>
  </si>
  <si>
    <t>Flex cable ribbon 6 CM 40 Pines</t>
  </si>
  <si>
    <t>FLX02355</t>
  </si>
  <si>
    <t>Flex cable ribbon 6 CM 45 Pines</t>
  </si>
  <si>
    <t>FLX02356</t>
  </si>
  <si>
    <t>Flex cable ribbon 6 CM 5 Pines</t>
  </si>
  <si>
    <t>FLX02336</t>
  </si>
  <si>
    <t>Flex cable ribbon 6 CM 50 Pines</t>
  </si>
  <si>
    <t>FLX02357</t>
  </si>
  <si>
    <t>Flex cable ribbon 6 CM 6 Pines</t>
  </si>
  <si>
    <t>FLX02337</t>
  </si>
  <si>
    <t>Flex cable ribbon 6 CM 60 Pines</t>
  </si>
  <si>
    <t>FLX02358</t>
  </si>
  <si>
    <t>Flex cable ribbon 6 CM 8 Pines</t>
  </si>
  <si>
    <t>FLX02338</t>
  </si>
  <si>
    <t>Flex cable ribbon para PlayStation PS4 10 Pines 1</t>
  </si>
  <si>
    <t>Flex cable ribbon para PlayStation PS4 10 Pines 2</t>
  </si>
  <si>
    <t>FLX02648</t>
  </si>
  <si>
    <t>Flex cable ribbon para PlayStation PS4 12 Pines 1</t>
  </si>
  <si>
    <t>Flex cable ribbon para PlayStation PS4 12 Pines 2</t>
  </si>
  <si>
    <t>Flex cable ribbon para PlayStation PS4 14 Pines 1</t>
  </si>
  <si>
    <t>Flex cable ribbon para PlayStation PS4 14 Pines 2</t>
  </si>
  <si>
    <t>FLX02646</t>
  </si>
  <si>
    <t>Flex cable ribbon para PS5 18 Pines touchpad</t>
  </si>
  <si>
    <t>FLX02847</t>
  </si>
  <si>
    <t>Flex camara frontal para Galaxy Note 2 I317 sensor</t>
  </si>
  <si>
    <t>FLX01959</t>
  </si>
  <si>
    <t>Flex camara frontal para Galaxy Note 3 N9000</t>
  </si>
  <si>
    <t>FLX01831</t>
  </si>
  <si>
    <t>Flex camara frontal para Galaxy Note 4 N910</t>
  </si>
  <si>
    <t>FLX03683</t>
  </si>
  <si>
    <t>Flex camara frontal para Galaxy S2 I9100 sensor</t>
  </si>
  <si>
    <t>FLX03414</t>
  </si>
  <si>
    <t>Flex camara frontal para Galaxy S3 Mini</t>
  </si>
  <si>
    <t>FLX02176</t>
  </si>
  <si>
    <t>Flex camara frontal para Galaxy S4 i9500 I337</t>
  </si>
  <si>
    <t>FLX03425</t>
  </si>
  <si>
    <t>Flex camara frontal para iPad 3 640X480p 30fps</t>
  </si>
  <si>
    <t>FLX02109</t>
  </si>
  <si>
    <t>Flex camara frontal para iPhone 4</t>
  </si>
  <si>
    <t>FLX02084</t>
  </si>
  <si>
    <t>Flex camara frontal para iPhone 4S</t>
  </si>
  <si>
    <t>FLX03347</t>
  </si>
  <si>
    <t>Flex camara frontal para iPhone 5 proximidad</t>
  </si>
  <si>
    <t>FLX03324</t>
  </si>
  <si>
    <t>Flex camara frontal para iPhone 5C sensor</t>
  </si>
  <si>
    <t>FLX03497</t>
  </si>
  <si>
    <t>Flex camara frontal para iPhone 6 4.7 microfono</t>
  </si>
  <si>
    <t>FLX00181</t>
  </si>
  <si>
    <t>Flex camara frontal para iPhone 6S 4.7 microfono</t>
  </si>
  <si>
    <t>FLX00227</t>
  </si>
  <si>
    <t>Flex camara frontal para iPhone 6S Plus microfono</t>
  </si>
  <si>
    <t>Flex camara frontal para iPhone 7 4.7"</t>
  </si>
  <si>
    <t>Flex camara frontal para iPhone 7 Plus 1</t>
  </si>
  <si>
    <t>FLX00229</t>
  </si>
  <si>
    <t>Flex camara frontal para iPhone 7 Plus 2</t>
  </si>
  <si>
    <t>Flex camara frontal para iPhone 8 4.7" 1</t>
  </si>
  <si>
    <t>Flex camara frontal para iPhone 8 4.7" 2</t>
  </si>
  <si>
    <t>Flex camara frontal para iPhone 8 Plus 5.5"</t>
  </si>
  <si>
    <t>Flex camara frontal para iPod 4</t>
  </si>
  <si>
    <t>FLX02108</t>
  </si>
  <si>
    <t>Flex camara frontal para Nexus 5 D820</t>
  </si>
  <si>
    <t>FLX01986</t>
  </si>
  <si>
    <t>Flex camara frontal para Xperia SP C5303</t>
  </si>
  <si>
    <t>FLX00310</t>
  </si>
  <si>
    <t>Flex camara trasera para Galaxy Ace S5830</t>
  </si>
  <si>
    <t>FLX02177</t>
  </si>
  <si>
    <t>Flex camara trasera para Galaxy Note 5 N920</t>
  </si>
  <si>
    <t>FLX03746</t>
  </si>
  <si>
    <t>Flex camara trasera para Galaxy S3 i9300 i747</t>
  </si>
  <si>
    <t>FLX03567</t>
  </si>
  <si>
    <t>Flex camara trasera para iPad 2</t>
  </si>
  <si>
    <t>FLX03329</t>
  </si>
  <si>
    <t>Flex camara trasera para iPhone 3G</t>
  </si>
  <si>
    <t>FLX03322</t>
  </si>
  <si>
    <t>Flex camara trasera para iPhone 3GS</t>
  </si>
  <si>
    <t>FLX03314</t>
  </si>
  <si>
    <t>Flex camara trasera para iPhone 4</t>
  </si>
  <si>
    <t>FLX03330</t>
  </si>
  <si>
    <t>Flex camara trasera para iPhone 4S</t>
  </si>
  <si>
    <t>FLX02150</t>
  </si>
  <si>
    <t>Flex camara trasera para iPhone 6 4.7</t>
  </si>
  <si>
    <t>FLX00189</t>
  </si>
  <si>
    <t>Flex camara trasera para iPhone 6 Plus 5.5</t>
  </si>
  <si>
    <t>FLX03866</t>
  </si>
  <si>
    <t>Flex camara trasera para iPhone 6S 4.7</t>
  </si>
  <si>
    <t>FLX00226</t>
  </si>
  <si>
    <t>Flex camara trasera para iPod 4</t>
  </si>
  <si>
    <t>FLX03300</t>
  </si>
  <si>
    <t>Flex camara trasera para Nokia Lumia 920</t>
  </si>
  <si>
    <t>FLX00403</t>
  </si>
  <si>
    <t>Flex camara trasera para Note 2 i317 N7100</t>
  </si>
  <si>
    <t>FLX02085</t>
  </si>
  <si>
    <t>Flex carga control para PlayStation PS4 JDS-001 2</t>
  </si>
  <si>
    <t>Flex carga control para PlayStation PS4 JDS-001 3</t>
  </si>
  <si>
    <t>Flex carga control para PlayStation PS4 JDS-011 2</t>
  </si>
  <si>
    <t>Flex carga control para PlayStation PS4 JDS-011 3</t>
  </si>
  <si>
    <t>FLX02622</t>
  </si>
  <si>
    <t>Flex carga control para PlayStation PS4 JDS-030 2</t>
  </si>
  <si>
    <t>Flex carga control para PlayStation PS4 JDS-030 3</t>
  </si>
  <si>
    <t>Flex carga control para PlayStation PS4 JDS-040 2</t>
  </si>
  <si>
    <t>Flex carga control para PlayStation PS4 JDS-040 3</t>
  </si>
  <si>
    <t>FLX02620</t>
  </si>
  <si>
    <t>Flex carga control para PlayStation PS4 JDS-055 2</t>
  </si>
  <si>
    <t>Flex carga control para PlayStation PS4 JDS-055 3</t>
  </si>
  <si>
    <t>Flex carga encendido para Xperia Z3+</t>
  </si>
  <si>
    <t>FLX00314</t>
  </si>
  <si>
    <t>Flex carga inalambrica para Galaxy S8 G950 NFC</t>
  </si>
  <si>
    <t>FLX00145</t>
  </si>
  <si>
    <t>Flex carga inalambrica para iPhone 11 Pro Max</t>
  </si>
  <si>
    <t>Flex carga inalambrica para iPhone 13 Pro Max</t>
  </si>
  <si>
    <t>FLX02688</t>
  </si>
  <si>
    <t>Flex carga inalambrica para iPhone X</t>
  </si>
  <si>
    <t>Flex carga inalambrica para iPhone XS Max</t>
  </si>
  <si>
    <t>FLX02686</t>
  </si>
  <si>
    <t>Flex carga inalambrico para Xperia Z Ultra C6802</t>
  </si>
  <si>
    <t>FLX00306</t>
  </si>
  <si>
    <t>Flex carga inalambrico para Xperia Z1 C6902</t>
  </si>
  <si>
    <t>FLX00332</t>
  </si>
  <si>
    <t>Flex carga inalambrico para Xperia Z3 D6603</t>
  </si>
  <si>
    <t>FLX00341</t>
  </si>
  <si>
    <t>Flex carga para Galaxy A01 A015</t>
  </si>
  <si>
    <t>Flex carga para Galaxy A02 A022 1</t>
  </si>
  <si>
    <t>FLX00001</t>
  </si>
  <si>
    <t>Flex carga para Galaxy A02 A022 2</t>
  </si>
  <si>
    <t>FLX02200</t>
  </si>
  <si>
    <t>Flex carga para Galaxy A02 A022 3</t>
  </si>
  <si>
    <t>FLX02615</t>
  </si>
  <si>
    <t>Flex carga para Galaxy A02S A025</t>
  </si>
  <si>
    <t>Flex carga para Galaxy A03 A035 con IC</t>
  </si>
  <si>
    <t>Flex carga para Galaxy A03 Core A032F con IC</t>
  </si>
  <si>
    <t>Flex carga para Galaxy A03S A307F con IC</t>
  </si>
  <si>
    <t>Flex carga para Galaxy A04 A045 con IC</t>
  </si>
  <si>
    <t>Flex carga para Galaxy A04e A042 con IC</t>
  </si>
  <si>
    <t>FLX02736</t>
  </si>
  <si>
    <t>Flex carga para Galaxy A04S A047 con IC</t>
  </si>
  <si>
    <t>Flex carga para Galaxy A05s A057</t>
  </si>
  <si>
    <t>Flex carga para Galaxy A10 A105 con IC</t>
  </si>
  <si>
    <t>FLX00482</t>
  </si>
  <si>
    <t>Flex carga para Galaxy A10 A105 sin IC</t>
  </si>
  <si>
    <t>FLX00017</t>
  </si>
  <si>
    <t>Flex carga para Galaxy A10S A107 1</t>
  </si>
  <si>
    <t>FLX00054</t>
  </si>
  <si>
    <t>Flex carga para Galaxy A10S A107 2</t>
  </si>
  <si>
    <t>Flex carga para Galaxy A11 A115 con IC 1</t>
  </si>
  <si>
    <t>FLX00002</t>
  </si>
  <si>
    <t>Flex carga para Galaxy A11 A115 con IC 2</t>
  </si>
  <si>
    <t>FLX02279</t>
  </si>
  <si>
    <t>Flex carga para Galaxy A12 A125</t>
  </si>
  <si>
    <t>Flex carga para Galaxy A13 5G A136 con IC</t>
  </si>
  <si>
    <t>Flex carga para Galaxy A13 A135 4G</t>
  </si>
  <si>
    <t>Flex carga para Galaxy A14 A145 4G con IC</t>
  </si>
  <si>
    <t>Flex carga para Galaxy A14 A146 5G con IC</t>
  </si>
  <si>
    <t>Flex carga para Galaxy A20 A205</t>
  </si>
  <si>
    <t>Flex carga para Galaxy A20S A207 CR 1</t>
  </si>
  <si>
    <t>Flex carga para Galaxy A20S A207 CR 2</t>
  </si>
  <si>
    <t>FLX02198</t>
  </si>
  <si>
    <t>Flex carga para Galaxy A20S A207 normal</t>
  </si>
  <si>
    <t>Flex carga para Galaxy A21 A215 con IC 1</t>
  </si>
  <si>
    <t>FLX00003</t>
  </si>
  <si>
    <t>Flex carga para Galaxy A21 A215 con IC 2</t>
  </si>
  <si>
    <t>FLX02334</t>
  </si>
  <si>
    <t>Flex carga para Galaxy A21S A217</t>
  </si>
  <si>
    <t>FLX00004</t>
  </si>
  <si>
    <t>Flex carga para Galaxy A22 A225 4G</t>
  </si>
  <si>
    <t>FLX00589</t>
  </si>
  <si>
    <t>Flex carga para Galaxy A22 A226 5G</t>
  </si>
  <si>
    <t>Flex carga para Galaxy A23 4G A235</t>
  </si>
  <si>
    <t>Flex carga para Galaxy A23 5G A236</t>
  </si>
  <si>
    <t>Flex carga para Galaxy A30 A305</t>
  </si>
  <si>
    <t>FLX00005</t>
  </si>
  <si>
    <t>Flex carga para Galaxy A300 2015</t>
  </si>
  <si>
    <t>FLX03722</t>
  </si>
  <si>
    <t>Flex carga para Galaxy A30S A307</t>
  </si>
  <si>
    <t>Flex carga para Galaxy A31 A315</t>
  </si>
  <si>
    <t>Flex carga para Galaxy A32 A325 4G</t>
  </si>
  <si>
    <t>Flex carga para Galaxy A32 A326 5G con IC</t>
  </si>
  <si>
    <t>FLX02551</t>
  </si>
  <si>
    <t>Flex carga para Galaxy A33 5G A336</t>
  </si>
  <si>
    <t>Flex carga para Galaxy A50 A505</t>
  </si>
  <si>
    <t>FLX00020</t>
  </si>
  <si>
    <t>Flex carga para Galaxy A50 A505 1</t>
  </si>
  <si>
    <t>FLX01903</t>
  </si>
  <si>
    <t>Flex carga para Galaxy A50 A505 2</t>
  </si>
  <si>
    <t>FLX01902</t>
  </si>
  <si>
    <t>Flex carga para Galaxy A50 A505 3</t>
  </si>
  <si>
    <t>FLX01901</t>
  </si>
  <si>
    <t>Flex carga para Galaxy A50 A505 con IC</t>
  </si>
  <si>
    <t>FLX01708</t>
  </si>
  <si>
    <t>Flex carga para Galaxy A51 A515 1</t>
  </si>
  <si>
    <t>Flex carga para Galaxy A51 A515 2</t>
  </si>
  <si>
    <t>Flex carga para Galaxy A52 A525 con IC</t>
  </si>
  <si>
    <t>Flex carga para Galaxy A53 5G A536</t>
  </si>
  <si>
    <t>FLX02817</t>
  </si>
  <si>
    <t>Flex carga para Galaxy A54 5G A546</t>
  </si>
  <si>
    <t>Flex carga para Galaxy A70 A705 1</t>
  </si>
  <si>
    <t>FLX00026</t>
  </si>
  <si>
    <t>Flex carga para Galaxy A70 A705 2</t>
  </si>
  <si>
    <t>Flex carga para Galaxy A71 A715 1</t>
  </si>
  <si>
    <t>Flex carga para Galaxy A71 A715 2</t>
  </si>
  <si>
    <t>FLX02100</t>
  </si>
  <si>
    <t>Flex carga para Galaxy A72 4G / 5G A725 A726</t>
  </si>
  <si>
    <t>Flex carga para Galaxy A750 2018</t>
  </si>
  <si>
    <t>Flex carga para Galaxy A80 A805</t>
  </si>
  <si>
    <t>Flex carga para Galaxy Alpha G850</t>
  </si>
  <si>
    <t>FLX01809</t>
  </si>
  <si>
    <t>Flex carga para Galaxy M10 1</t>
  </si>
  <si>
    <t>FLX00028</t>
  </si>
  <si>
    <t>Flex carga para Galaxy M10 2</t>
  </si>
  <si>
    <t>FLX02079</t>
  </si>
  <si>
    <t>Flex carga para Galaxy M20 M205F</t>
  </si>
  <si>
    <t>FLX00029</t>
  </si>
  <si>
    <t>Flex carga para Galaxy M31 M30S M21</t>
  </si>
  <si>
    <t>FLX00030</t>
  </si>
  <si>
    <t>Flex carga para Galaxy Note 1 i717</t>
  </si>
  <si>
    <t>FLX02249</t>
  </si>
  <si>
    <t>Flex carga para Galaxy Note 1 N7000 i9220</t>
  </si>
  <si>
    <t>FLX01209</t>
  </si>
  <si>
    <t>Flex carga para Galaxy Note 10 Lite N770F</t>
  </si>
  <si>
    <t>Flex carga para Galaxy Note 10 Plus N976B/N</t>
  </si>
  <si>
    <t>Flex carga para Galaxy Note 2 i605 Verizon</t>
  </si>
  <si>
    <t>FLX02248</t>
  </si>
  <si>
    <t>Flex carga para Galaxy Note 3 N9005</t>
  </si>
  <si>
    <t>FLX02250</t>
  </si>
  <si>
    <t>Flex carga para Galaxy Note 3 N900A</t>
  </si>
  <si>
    <t>FLX00056</t>
  </si>
  <si>
    <t>Flex carga para Galaxy Note 3 N900T</t>
  </si>
  <si>
    <t>Flex carga para Galaxy Note 4 N910T</t>
  </si>
  <si>
    <t>FLX00031</t>
  </si>
  <si>
    <t>Flex carga para Galaxy Note 5 N920C</t>
  </si>
  <si>
    <t>FLX00410</t>
  </si>
  <si>
    <t>Flex carga para Galaxy Note 8 N950F</t>
  </si>
  <si>
    <t>Flex carga para Galaxy Note 8 N950U</t>
  </si>
  <si>
    <t>Flex carga para Galaxy Note 8.0 N5100</t>
  </si>
  <si>
    <t>FLX00079</t>
  </si>
  <si>
    <t>Flex carga para Galaxy Note 9 N960U</t>
  </si>
  <si>
    <t>Flex carga para Galaxy S2 i9100</t>
  </si>
  <si>
    <t>FLX00058</t>
  </si>
  <si>
    <t>Flex carga para Galaxy S20 Ultra G988b</t>
  </si>
  <si>
    <t>FLX02820</t>
  </si>
  <si>
    <t>Flex carga para Galaxy S4 i337 M919</t>
  </si>
  <si>
    <t>Flex carga para Galaxy S4 i545</t>
  </si>
  <si>
    <t>FLX00060</t>
  </si>
  <si>
    <t>Flex carga para Galaxy S4 i9500</t>
  </si>
  <si>
    <t>FLX00061</t>
  </si>
  <si>
    <t>Flex carga para Galaxy S4 Sprint L720</t>
  </si>
  <si>
    <t>FLX00062</t>
  </si>
  <si>
    <t>Flex carga para Galaxy S5 Active G870</t>
  </si>
  <si>
    <t>FLX00063</t>
  </si>
  <si>
    <t>Flex carga para Galaxy S5 Sport G860P</t>
  </si>
  <si>
    <t>FLX00064</t>
  </si>
  <si>
    <t>Flex carga para Galaxy S6 Edge G925I</t>
  </si>
  <si>
    <t>FLX03720</t>
  </si>
  <si>
    <t>Flex carga para Galaxy S6 Edge G925V</t>
  </si>
  <si>
    <t>FLX03842</t>
  </si>
  <si>
    <t>Flex carga para Galaxy S6 Edge Plus G928F 1</t>
  </si>
  <si>
    <t>FLX03723</t>
  </si>
  <si>
    <t>Flex carga para Galaxy S6 Edge Plus G928F 2</t>
  </si>
  <si>
    <t>FLX02480</t>
  </si>
  <si>
    <t>Flex carga para Galaxy S6 G920I 1</t>
  </si>
  <si>
    <t>Flex carga para Galaxy S6 G920I 2</t>
  </si>
  <si>
    <t>Flex carga para Galaxy S6 G920P Sprint</t>
  </si>
  <si>
    <t>FLX03732</t>
  </si>
  <si>
    <t>Flex carga para Galaxy S6 G920V</t>
  </si>
  <si>
    <t>FLX02881</t>
  </si>
  <si>
    <t>Flex carga para Galaxy S7 Edge G935F</t>
  </si>
  <si>
    <t>FLX01389</t>
  </si>
  <si>
    <t>Flex carga para Galaxy S7 G930F</t>
  </si>
  <si>
    <t>FLX00010</t>
  </si>
  <si>
    <t>Flex carga para Galaxy S8 G950F</t>
  </si>
  <si>
    <t>Flex carga para Galaxy S8+ Plus G955F</t>
  </si>
  <si>
    <t>FLX00011</t>
  </si>
  <si>
    <t>Flex carga para Galaxy S8+ Plus G955U</t>
  </si>
  <si>
    <t>FLX00012</t>
  </si>
  <si>
    <t>Flex carga para Galaxy S9 G960F</t>
  </si>
  <si>
    <t>FLX00013</t>
  </si>
  <si>
    <t>Flex carga para Galaxy Tab 10.1 N8000</t>
  </si>
  <si>
    <t>FLX03372</t>
  </si>
  <si>
    <t>Flex carga para Galaxy Tab 10.1" P7500</t>
  </si>
  <si>
    <t>FLX00070</t>
  </si>
  <si>
    <t>Flex carga para Galaxy Tab 2 10.1 P5100 10 13</t>
  </si>
  <si>
    <t>FLX00080</t>
  </si>
  <si>
    <t>Flex carga para Galaxy Tab 2014 P600</t>
  </si>
  <si>
    <t>FLX00081</t>
  </si>
  <si>
    <t>Flex carga para Galaxy Tab 3 P5200 1</t>
  </si>
  <si>
    <t>Flex carga para Galaxy Tab 3 P5200 2</t>
  </si>
  <si>
    <t>FLX02024</t>
  </si>
  <si>
    <t>Flex carga para Galaxy Tab 3 T310</t>
  </si>
  <si>
    <t>FLX00089</t>
  </si>
  <si>
    <t>Flex carga para Galaxy Tab 3 T311 con microfono</t>
  </si>
  <si>
    <t>FLX00072</t>
  </si>
  <si>
    <t>Flex carga para Galaxy Tab 4 Pro T530</t>
  </si>
  <si>
    <t>Flex carga para Galaxy Tab 8.9" 3G P7300</t>
  </si>
  <si>
    <t>FLX00071</t>
  </si>
  <si>
    <t>Flex carga para Galaxy Tab A 10.1 T510</t>
  </si>
  <si>
    <t>Flex carga para Galaxy Tab A 8.0 T290 1</t>
  </si>
  <si>
    <t>Flex carga para Galaxy Tab A 8.0 T290 2</t>
  </si>
  <si>
    <t>Flex carga para Galaxy Tab A 8.0 T295</t>
  </si>
  <si>
    <t>FLX00033</t>
  </si>
  <si>
    <t>Flex carga para Galaxy Tab A P550</t>
  </si>
  <si>
    <t>FLX00813</t>
  </si>
  <si>
    <t>Flex carga para Galaxy Tab A T550</t>
  </si>
  <si>
    <t>FLX00083</t>
  </si>
  <si>
    <t>Flex carga para Galaxy Tab A7 Lite 8.7" T220</t>
  </si>
  <si>
    <t>Flex carga para Galaxy Tab A7 T500 T505</t>
  </si>
  <si>
    <t>FLX00616</t>
  </si>
  <si>
    <t>Flex carga para Galaxy Tab A8 X200</t>
  </si>
  <si>
    <t>Flex carga para Galaxy Tab Plus 7.0" P6200</t>
  </si>
  <si>
    <t>FLX00084</t>
  </si>
  <si>
    <t>Flex carga para Galaxy Tab Pro 8.4 T320</t>
  </si>
  <si>
    <t>FLX00066</t>
  </si>
  <si>
    <t>Flex carga para Galaxy Tab S T800</t>
  </si>
  <si>
    <t>Flex carga para Galaxy Tab S2 T710</t>
  </si>
  <si>
    <t>Flex carga para Galaxy Tab S2 T810</t>
  </si>
  <si>
    <t>FLX03917</t>
  </si>
  <si>
    <t>Flex carga para Hisense E50 Lite</t>
  </si>
  <si>
    <t>FLX02834</t>
  </si>
  <si>
    <t>Flex carga para Hisense H40 Lite</t>
  </si>
  <si>
    <t>Flex carga para HP Slate 7</t>
  </si>
  <si>
    <t>FLX01736</t>
  </si>
  <si>
    <t>Flex carga para HTC Desire 626</t>
  </si>
  <si>
    <t>FLX00887</t>
  </si>
  <si>
    <t>Flex carga para HTC Desire 626S</t>
  </si>
  <si>
    <t>FLX03777</t>
  </si>
  <si>
    <t>Flex carga para HTC Desire 825</t>
  </si>
  <si>
    <t>FLX03822</t>
  </si>
  <si>
    <t>Flex carga para HTC M9</t>
  </si>
  <si>
    <t>FLX03832</t>
  </si>
  <si>
    <t>Flex carga para HTC One E9 microfono</t>
  </si>
  <si>
    <t>FLX02185</t>
  </si>
  <si>
    <t>Flex carga para Huawei Enjoy 7 G Elite Plus</t>
  </si>
  <si>
    <t>FLX00150</t>
  </si>
  <si>
    <t>Flex carga para Huawei G8 GX8 RIO-L03</t>
  </si>
  <si>
    <t>FLX00151</t>
  </si>
  <si>
    <t>Flex carga para Huawei GR3</t>
  </si>
  <si>
    <t>FLX00174</t>
  </si>
  <si>
    <t>Flex carga para Huawei Honor View 20</t>
  </si>
  <si>
    <t>FLX00171</t>
  </si>
  <si>
    <t>Flex carga para Huawei Mate 10 1</t>
  </si>
  <si>
    <t>FLX00170</t>
  </si>
  <si>
    <t>Flex carga para Huawei Mate 10 2</t>
  </si>
  <si>
    <t>FLX02134</t>
  </si>
  <si>
    <t>Flex carga para Huawei Mate 10 Lite</t>
  </si>
  <si>
    <t>FLX00107</t>
  </si>
  <si>
    <t>Flex carga para Huawei Mate 10 Pro</t>
  </si>
  <si>
    <t>FLX00169</t>
  </si>
  <si>
    <t>Flex carga para Huawei Mate 20</t>
  </si>
  <si>
    <t>FLX00108</t>
  </si>
  <si>
    <t>Flex carga para Huawei Mate 20 Lite Maimang 7</t>
  </si>
  <si>
    <t>Flex carga para Huawei Mate 7</t>
  </si>
  <si>
    <t>FLX00168</t>
  </si>
  <si>
    <t>Flex carga para Huawei Mate 8 NXT-AL10</t>
  </si>
  <si>
    <t>FLX00167</t>
  </si>
  <si>
    <t>Flex carga para Huawei Mate 9 Lite</t>
  </si>
  <si>
    <t>FLX00109</t>
  </si>
  <si>
    <t>Flex carga para Huawei Nova 5T</t>
  </si>
  <si>
    <t>Flex carga para Huawei P Smart 2019 1</t>
  </si>
  <si>
    <t>FLX00149</t>
  </si>
  <si>
    <t>Flex carga para Huawei P Smart 2019 2</t>
  </si>
  <si>
    <t>FLX02099</t>
  </si>
  <si>
    <t>Flex carga para Huawei P10</t>
  </si>
  <si>
    <t>FLX00798</t>
  </si>
  <si>
    <t>Flex carga para Huawei P10 Lite</t>
  </si>
  <si>
    <t>Flex carga para Huawei P10 Selfie Nova 2 Plus</t>
  </si>
  <si>
    <t>FLX00111</t>
  </si>
  <si>
    <t>Flex carga para Huawei P20</t>
  </si>
  <si>
    <t>FLX00165</t>
  </si>
  <si>
    <t>Flex carga para Huawei P20 Lite</t>
  </si>
  <si>
    <t>Flex carga para Huawei P30</t>
  </si>
  <si>
    <t>FLX00164</t>
  </si>
  <si>
    <t>Flex carga para Huawei P30 Lite</t>
  </si>
  <si>
    <t>Flex carga para Huawei P30 Pro Ver A</t>
  </si>
  <si>
    <t>FLX00726</t>
  </si>
  <si>
    <t>Flex carga para Huawei P40 Lite</t>
  </si>
  <si>
    <t>FLX00163</t>
  </si>
  <si>
    <t>Flex carga para Huawei P8 P9 Lite 2017 Honor 8</t>
  </si>
  <si>
    <t>FLX00144</t>
  </si>
  <si>
    <t>Flex carga para Huawei P9 EVA-L09 19 29</t>
  </si>
  <si>
    <t>FLX00137</t>
  </si>
  <si>
    <t>Flex carga para Huawei P9 Lite G9</t>
  </si>
  <si>
    <t>FLX00112</t>
  </si>
  <si>
    <t>Flex carga para Huawei P9 Plus VIE-L09 L29</t>
  </si>
  <si>
    <t>FLX00117</t>
  </si>
  <si>
    <t>Flex carga para Huawei Y5 2018 1</t>
  </si>
  <si>
    <t>FLX00143</t>
  </si>
  <si>
    <t>Flex carga para Huawei Y5 2018 2</t>
  </si>
  <si>
    <t>FLX02091</t>
  </si>
  <si>
    <t>Flex carga para Huawei Y5 2019</t>
  </si>
  <si>
    <t>Flex carga para Huawei Y6 2018 Honor 7A</t>
  </si>
  <si>
    <t>FLX00141</t>
  </si>
  <si>
    <t>Flex carga para Huawei Y6S Y6 Prime 2019 8A 9E</t>
  </si>
  <si>
    <t>Flex carga para Huawei Y7 2018 Enjoy 7 Plus</t>
  </si>
  <si>
    <t>FLX00162</t>
  </si>
  <si>
    <t>Flex carga para Huawei Y7A</t>
  </si>
  <si>
    <t>FLX00634</t>
  </si>
  <si>
    <t>Flex carga para Huawei Y7P 2020 Play 4T 3</t>
  </si>
  <si>
    <t>Flex carga para Huawei Y9 2018</t>
  </si>
  <si>
    <t>FLX00114</t>
  </si>
  <si>
    <t>Flex carga para Huawei Y9 2019</t>
  </si>
  <si>
    <t>Flex carga para Huawei Y9 Prime 2019</t>
  </si>
  <si>
    <t>Flex carga para Huawei Y9S</t>
  </si>
  <si>
    <t>Flex carga para iPad 2 1</t>
  </si>
  <si>
    <t>FLX00822</t>
  </si>
  <si>
    <t>Flex carga para iPad 3</t>
  </si>
  <si>
    <t>FLX03339</t>
  </si>
  <si>
    <t>Flex carga para iPad 4</t>
  </si>
  <si>
    <t>FLX03370</t>
  </si>
  <si>
    <t>Flex carga para iPad 5 negro</t>
  </si>
  <si>
    <t>Flex carga para iPad 7 8</t>
  </si>
  <si>
    <t>Flex carga para iPad Air 1 blanco</t>
  </si>
  <si>
    <t>Flex carga para iPad Air 1 negro</t>
  </si>
  <si>
    <t>FLX02515</t>
  </si>
  <si>
    <t>Flex carga para iPad Air 2 blanco</t>
  </si>
  <si>
    <t>FLX00480</t>
  </si>
  <si>
    <t>Flex carga para iPad Air 2 negro</t>
  </si>
  <si>
    <t>Flex carga para iPad Mini 4 blanco</t>
  </si>
  <si>
    <t>Flex carga para iPad Mini 4 negro</t>
  </si>
  <si>
    <t>FLX01835</t>
  </si>
  <si>
    <t>Flex carga para iPad Mini negro 1</t>
  </si>
  <si>
    <t>Flex carga para iPad Mini negro 2</t>
  </si>
  <si>
    <t>FLX02195</t>
  </si>
  <si>
    <t>Flex carga para iPad Pro 12.9 blanco</t>
  </si>
  <si>
    <t>FLX02110</t>
  </si>
  <si>
    <t>Flex carga para iPad Pro 12.9 negro</t>
  </si>
  <si>
    <t>FLX02585</t>
  </si>
  <si>
    <t>Flex carga para iPhone 11 blanco</t>
  </si>
  <si>
    <t>Flex carga para iPhone 11 negro</t>
  </si>
  <si>
    <t>FLX02679</t>
  </si>
  <si>
    <t>Flex carga para iPhone 3GS negro con altavoz</t>
  </si>
  <si>
    <t>FLX03352</t>
  </si>
  <si>
    <t>Flex carga para iPhone 4 blanco</t>
  </si>
  <si>
    <t>Flex carga para iPhone 4 CDMA</t>
  </si>
  <si>
    <t>FLX03441</t>
  </si>
  <si>
    <t>Flex carga para iPhone 4 completo negro</t>
  </si>
  <si>
    <t>FLX03323</t>
  </si>
  <si>
    <t>Flex carga para iPhone 4 negro</t>
  </si>
  <si>
    <t>FLX02310</t>
  </si>
  <si>
    <t>Flex carga para iPhone 4S blanco</t>
  </si>
  <si>
    <t>FLX03448</t>
  </si>
  <si>
    <t>Flex carga para iPhone 4S completo</t>
  </si>
  <si>
    <t>FLX03344</t>
  </si>
  <si>
    <t>Flex carga para iPhone 4S negro</t>
  </si>
  <si>
    <t>FLX03333</t>
  </si>
  <si>
    <t>Flex carga para iPhone 5 blanco</t>
  </si>
  <si>
    <t>FLX00225</t>
  </si>
  <si>
    <t>Flex carga para iPhone 5 negro</t>
  </si>
  <si>
    <t>FLX00224</t>
  </si>
  <si>
    <t>Flex carga para iPhone 5C</t>
  </si>
  <si>
    <t>FLX00473</t>
  </si>
  <si>
    <t>Flex carga para iPhone 5S negro</t>
  </si>
  <si>
    <t>FLX00201</t>
  </si>
  <si>
    <t>Flex carga para iPhone 6 4.7 blanco</t>
  </si>
  <si>
    <t>FLX00180</t>
  </si>
  <si>
    <t>Flex carga para iPhone 6 4.7 negro</t>
  </si>
  <si>
    <t>Flex carga para iPhone 6 Plus blanco</t>
  </si>
  <si>
    <t>FLX00200</t>
  </si>
  <si>
    <t>Flex carga para iPhone 6 Plus negro 1</t>
  </si>
  <si>
    <t>FLX00199</t>
  </si>
  <si>
    <t>Flex carga para iPhone 6 Plus negro 2</t>
  </si>
  <si>
    <t>FLX02194</t>
  </si>
  <si>
    <t>Flex carga para iPhone 6 Plus negro 3</t>
  </si>
  <si>
    <t>FLX02233</t>
  </si>
  <si>
    <t>Flex carga para iPhone 6S 4.7 blanco</t>
  </si>
  <si>
    <t>FLX00223</t>
  </si>
  <si>
    <t>Flex carga para iPhone 6S 4.7 negro</t>
  </si>
  <si>
    <t>FLX00178</t>
  </si>
  <si>
    <t>Flex carga para iPhone 6S Plus blanco</t>
  </si>
  <si>
    <t>Flex carga para iPhone 6S Plus negro</t>
  </si>
  <si>
    <t>Flex carga para iPhone 7 4.7" blanco 1</t>
  </si>
  <si>
    <t>FLX00177</t>
  </si>
  <si>
    <t>Flex carga para iPhone 7 4.7" blanco 2</t>
  </si>
  <si>
    <t>FLX02192</t>
  </si>
  <si>
    <t>Flex carga para iPhone 7 4.7" blanco 3</t>
  </si>
  <si>
    <t>Flex carga para iPhone 7 4.7" negro</t>
  </si>
  <si>
    <t>FLX00188</t>
  </si>
  <si>
    <t>Flex carga para iPhone 7 Plus blanco</t>
  </si>
  <si>
    <t>Flex carga para iPhone 7 Plus negro</t>
  </si>
  <si>
    <t>Flex carga para iPhone 8 blanco</t>
  </si>
  <si>
    <t>Flex carga para iPhone 8 negro</t>
  </si>
  <si>
    <t>FLX00175</t>
  </si>
  <si>
    <t>Flex carga para iPhone 8 Plus blanco</t>
  </si>
  <si>
    <t>Flex carga para iPhone 8 Plus negro 1</t>
  </si>
  <si>
    <t>Flex carga para iPhone 8 Plus negro 2</t>
  </si>
  <si>
    <t>FLX02191</t>
  </si>
  <si>
    <t>Flex carga para iPhone SE 2020</t>
  </si>
  <si>
    <t>Flex carga para iPhone SE 4.0 blanco</t>
  </si>
  <si>
    <t>FLX00222</t>
  </si>
  <si>
    <t>Flex carga para iPhone X Ten blanco</t>
  </si>
  <si>
    <t>Flex carga para iPhone X Ten negro</t>
  </si>
  <si>
    <t>Flex carga para iPhone XR negro</t>
  </si>
  <si>
    <t>Flex carga para iPhone XS Max blanco</t>
  </si>
  <si>
    <t>Flex carga para iPhone XS Max negro</t>
  </si>
  <si>
    <t>Flex carga para iPod 5 touch blanco</t>
  </si>
  <si>
    <t>Flex carga para iPod Touch 5 negro</t>
  </si>
  <si>
    <t>FLX00192</t>
  </si>
  <si>
    <t>Flex carga para iPod Touch 6 negro</t>
  </si>
  <si>
    <t>FLX00191</t>
  </si>
  <si>
    <t>Flex carga para Lenovo LePhone A850</t>
  </si>
  <si>
    <t>FLX01767</t>
  </si>
  <si>
    <t>Flex carga para Lenovo PB1-750N/M</t>
  </si>
  <si>
    <t>Flex carga para Lenovo Tab M8 TB-8505F con IC</t>
  </si>
  <si>
    <t>Flex carga para Lenovo Yoga 3</t>
  </si>
  <si>
    <t>Flex carga para LG G6</t>
  </si>
  <si>
    <t>FLX00810</t>
  </si>
  <si>
    <t>Flex carga para LG K22 / Plus Lmk200</t>
  </si>
  <si>
    <t>Flex carga para LG K42 K52</t>
  </si>
  <si>
    <t>Flex carga para LG Optimus G E973 E975</t>
  </si>
  <si>
    <t>FLX03508</t>
  </si>
  <si>
    <t>Flex carga para LG Optimus L9 P760</t>
  </si>
  <si>
    <t>FLX00685</t>
  </si>
  <si>
    <t>Flex carga para LG P870 Escape</t>
  </si>
  <si>
    <t>FLX03509</t>
  </si>
  <si>
    <t>Flex carga para Macbook Pro A1278</t>
  </si>
  <si>
    <t>Flex carga para Macbook Pro A1398</t>
  </si>
  <si>
    <t>Flex carga para Macbook Pro A1502</t>
  </si>
  <si>
    <t>Flex carga para Moto E 2020 XT2052</t>
  </si>
  <si>
    <t>Flex carga para Moto E13 XT2345</t>
  </si>
  <si>
    <t>FLX02807</t>
  </si>
  <si>
    <t>Flex carga para Moto E20 con IC XT2155</t>
  </si>
  <si>
    <t>FLX02586</t>
  </si>
  <si>
    <t>Flex carga para Moto E4 Plus XT1770 1</t>
  </si>
  <si>
    <t>FLX00273</t>
  </si>
  <si>
    <t>Flex carga para Moto E4 Plus XT1770 2</t>
  </si>
  <si>
    <t>FLX01981</t>
  </si>
  <si>
    <t>Flex carga para Moto E4 Plus XT1770 3</t>
  </si>
  <si>
    <t>FLX01982</t>
  </si>
  <si>
    <t>Flex carga para Moto E4 XT1760</t>
  </si>
  <si>
    <t>FLX00272</t>
  </si>
  <si>
    <t>Flex carga para Moto E5 / G6 Play XT1922 1</t>
  </si>
  <si>
    <t>FLX00271</t>
  </si>
  <si>
    <t>Flex carga para Moto E5 / G6 Play XT1922 2</t>
  </si>
  <si>
    <t>FLX01938</t>
  </si>
  <si>
    <t>Flex carga para Moto E5 Play XT1921</t>
  </si>
  <si>
    <t>FLX00270</t>
  </si>
  <si>
    <t>Flex carga para Moto E5 Plus XT1924 1</t>
  </si>
  <si>
    <t>Flex carga para Moto E5 Plus XT1924 2</t>
  </si>
  <si>
    <t>Flex carga para Moto E6 Plus XT2025</t>
  </si>
  <si>
    <t>Flex carga para Moto E6S XT2053 con IC</t>
  </si>
  <si>
    <t>Flex carga para Moto E6S XT2053 sin IC</t>
  </si>
  <si>
    <t>Flex carga para Moto E7 E7i Power XT2097</t>
  </si>
  <si>
    <t>Flex carga para Moto E7 Plus XT2081 con IC 1</t>
  </si>
  <si>
    <t>Flex carga para Moto E7 Plus XT2081 con IC 2</t>
  </si>
  <si>
    <t>Flex carga para Moto E7 XT2095</t>
  </si>
  <si>
    <t>Flex carga para Moto Edge 20 XT2143</t>
  </si>
  <si>
    <t>Flex carga para Moto G Play 2021 XT2093</t>
  </si>
  <si>
    <t>Flex carga para Moto G Power 2021 XT2117</t>
  </si>
  <si>
    <t>FLX00267</t>
  </si>
  <si>
    <t>Flex carga para Moto G Power 3rd Gen XT2165</t>
  </si>
  <si>
    <t>Flex carga para Moto G Pro / G Stylus XT2043 1</t>
  </si>
  <si>
    <t>FLX00287</t>
  </si>
  <si>
    <t>Flex carga para Moto G Pro / G Stylus XT2043 2</t>
  </si>
  <si>
    <t>Flex carga para Moto G Stylus XT2115</t>
  </si>
  <si>
    <t>Flex carga para Moto G10 G20 XT2127 XT2128</t>
  </si>
  <si>
    <t>Flex carga para Moto G10 Power XT2127</t>
  </si>
  <si>
    <t>FLX00266</t>
  </si>
  <si>
    <t>Flex carga para Moto G3 XT1540 XT1543 1</t>
  </si>
  <si>
    <t>Flex carga para Moto G3 XT1540 XT1543 2</t>
  </si>
  <si>
    <t>Flex carga para Moto G30 XT2129</t>
  </si>
  <si>
    <t>FLX00284</t>
  </si>
  <si>
    <t>Flex carga para Moto G31 XT2173</t>
  </si>
  <si>
    <t>Flex carga para Moto G41 XT2167</t>
  </si>
  <si>
    <t>FLX02813</t>
  </si>
  <si>
    <t>Flex carga para Moto G42 XT2233</t>
  </si>
  <si>
    <t>FLX02825</t>
  </si>
  <si>
    <t>Flex carga para Moto G5 XT1672 XT1676 1</t>
  </si>
  <si>
    <t>FLX00264</t>
  </si>
  <si>
    <t>Flex carga para Moto G5 XT1672 XT1676 2</t>
  </si>
  <si>
    <t>Flex carga para Moto G50 5G</t>
  </si>
  <si>
    <t>Flex carga para Moto G50 XT2137</t>
  </si>
  <si>
    <t>FLX00283</t>
  </si>
  <si>
    <t>Flex carga para Moto G51 XT2171</t>
  </si>
  <si>
    <t>FLX02828</t>
  </si>
  <si>
    <t>Flex carga para Moto G52 5G XT2221</t>
  </si>
  <si>
    <t>FLX02662</t>
  </si>
  <si>
    <t>Flex carga para Moto G53 5G XT2335</t>
  </si>
  <si>
    <t>Flex carga para Moto G60 / G40 Fusion XT2135</t>
  </si>
  <si>
    <t>FLX00282</t>
  </si>
  <si>
    <t>Flex carga para Moto G7 Play XT1952 1</t>
  </si>
  <si>
    <t>FLX00263</t>
  </si>
  <si>
    <t>Flex carga para Moto G7 Play XT1952 2</t>
  </si>
  <si>
    <t>FLX02029</t>
  </si>
  <si>
    <t>Flex carga para Moto G7 Power XT1955 1</t>
  </si>
  <si>
    <t>FLX00262</t>
  </si>
  <si>
    <t>Flex carga para Moto G7 Power XT1955 2</t>
  </si>
  <si>
    <t>Flex carga para Moto G7 Power XT1955 3</t>
  </si>
  <si>
    <t>Flex carga para Moto G72 4G XT2255</t>
  </si>
  <si>
    <t>FLX02821</t>
  </si>
  <si>
    <t>Flex carga para Moto G8 Play XT2015</t>
  </si>
  <si>
    <t>FLX00281</t>
  </si>
  <si>
    <t>Flex carga para Moto G8 Plus XT2019</t>
  </si>
  <si>
    <t>Flex carga para Moto G8 Plus XT2019 con IC</t>
  </si>
  <si>
    <t>FLX02635</t>
  </si>
  <si>
    <t>Flex carga para Moto G8 Power Lite XT2055 con IC 1</t>
  </si>
  <si>
    <t>Flex carga para Moto G8 Power Lite XT2055 con IC 2</t>
  </si>
  <si>
    <t>Flex carga para Moto G8 Power Lite XT2055 sin IC</t>
  </si>
  <si>
    <t>Flex carga para Moto G8 Power XT2041</t>
  </si>
  <si>
    <t>FLX02597</t>
  </si>
  <si>
    <t>Flex carga para Moto G8 XT2045</t>
  </si>
  <si>
    <t>FLX00280</t>
  </si>
  <si>
    <t>Flex carga para Moto G9 Play XT2083</t>
  </si>
  <si>
    <t>Flex carga para Moto G9 Plus XT2087 con IC 1</t>
  </si>
  <si>
    <t>FLX01867</t>
  </si>
  <si>
    <t>Flex carga para Moto G9 Plus XT2087 con IC 2</t>
  </si>
  <si>
    <t>FLX02654</t>
  </si>
  <si>
    <t>Flex carga para Moto G9 Plus XT2087 con IC 3</t>
  </si>
  <si>
    <t>FLX00278</t>
  </si>
  <si>
    <t>Flex carga para Moto G9 Power XT2091</t>
  </si>
  <si>
    <t>FLX00260</t>
  </si>
  <si>
    <t>Flex carga para Moto M XT1662</t>
  </si>
  <si>
    <t>FLX00369</t>
  </si>
  <si>
    <t>Flex carga para Moto One Action / Vision XT2013</t>
  </si>
  <si>
    <t>FLX00277</t>
  </si>
  <si>
    <t>Flex carga para Moto One Fusion XT2073</t>
  </si>
  <si>
    <t>Flex carga para Moto One Hyper XT2027 con IC</t>
  </si>
  <si>
    <t>Flex carga para Moto One Hyper XT2027 sin IC</t>
  </si>
  <si>
    <t>FLX00389</t>
  </si>
  <si>
    <t>Flex carga para Moto One Macro XT2016</t>
  </si>
  <si>
    <t>FLX00275</t>
  </si>
  <si>
    <t>Flex carga para Moto One P30 XT1941</t>
  </si>
  <si>
    <t>FLX00274</t>
  </si>
  <si>
    <t>Flex carga para Nexus 4 E960</t>
  </si>
  <si>
    <t>FLX01800</t>
  </si>
  <si>
    <t>Flex carga para Nexus 5</t>
  </si>
  <si>
    <t>FLX00686</t>
  </si>
  <si>
    <t>Flex carga para Nexus 6P</t>
  </si>
  <si>
    <t>FLX03753</t>
  </si>
  <si>
    <t>Flex carga para Nexus 7 1 Gen</t>
  </si>
  <si>
    <t>FLX03730</t>
  </si>
  <si>
    <t>Flex carga para Nokia 1320</t>
  </si>
  <si>
    <t>FLX00409</t>
  </si>
  <si>
    <t>Flex carga para Nokia 2</t>
  </si>
  <si>
    <t>FLX00393</t>
  </si>
  <si>
    <t>Flex carga para Nokia 3</t>
  </si>
  <si>
    <t>FLX00404</t>
  </si>
  <si>
    <t>Flex carga para Nokia 3.1 2018</t>
  </si>
  <si>
    <t>FLX00361</t>
  </si>
  <si>
    <t>Flex carga para Nokia 3.1 Plus</t>
  </si>
  <si>
    <t>FLX00391</t>
  </si>
  <si>
    <t>Flex carga para Nokia 5.1 2018</t>
  </si>
  <si>
    <t>FLX00395</t>
  </si>
  <si>
    <t>Flex carga para Nokia 6.1 X6 Plus</t>
  </si>
  <si>
    <t>FLX00392</t>
  </si>
  <si>
    <t>Flex carga para Nokia 7.1 NOR</t>
  </si>
  <si>
    <t>Flex carga para Nokia Lumia 1020</t>
  </si>
  <si>
    <t>FLX03496</t>
  </si>
  <si>
    <t>Flex carga para Nokia Lumia 925</t>
  </si>
  <si>
    <t>FLX00401</t>
  </si>
  <si>
    <t>Flex carga para One Plus N100</t>
  </si>
  <si>
    <t>Flex carga para Oppo A15</t>
  </si>
  <si>
    <t>FLX02483</t>
  </si>
  <si>
    <t>Flex carga para Oppo A16</t>
  </si>
  <si>
    <t>FLX02671</t>
  </si>
  <si>
    <t>Flex carga para Oppo A17</t>
  </si>
  <si>
    <t>FLX02669</t>
  </si>
  <si>
    <t>Flex carga para Oppo A32 A53 A33 A11S</t>
  </si>
  <si>
    <t>Flex carga para Oppo A54 A55 5G</t>
  </si>
  <si>
    <t>Flex carga para Oppo A57 A77 K10 5G</t>
  </si>
  <si>
    <t>Flex carga para OPPO R5 microfono lector</t>
  </si>
  <si>
    <t>FLX01391</t>
  </si>
  <si>
    <t>Flex carga para Oppo R827 R850 microfono</t>
  </si>
  <si>
    <t>FLX01394</t>
  </si>
  <si>
    <t>Flex carga para PlayStation PSP 1000</t>
  </si>
  <si>
    <t>FLX02769</t>
  </si>
  <si>
    <t>Flex carga para PlayStation PSP 3000</t>
  </si>
  <si>
    <t>FLX02771</t>
  </si>
  <si>
    <t>Flex carga para PlayStation Slim PSP 2000</t>
  </si>
  <si>
    <t>FLX02770</t>
  </si>
  <si>
    <t>Flex carga para TCL 10L Lite T770</t>
  </si>
  <si>
    <t>FLX02806</t>
  </si>
  <si>
    <t>Flex carga para Vivo Y11S V2028</t>
  </si>
  <si>
    <t>Flex carga para Xiaomi 11T / 11T Pro</t>
  </si>
  <si>
    <t>FLX02809</t>
  </si>
  <si>
    <t>Flex carga para Xiaomi 12T Pro</t>
  </si>
  <si>
    <t>Flex carga para Xiaomi 5 Redmi Plus</t>
  </si>
  <si>
    <t>FLX00249</t>
  </si>
  <si>
    <t>Flex carga para Xiaomi 9A 9C Poco C3</t>
  </si>
  <si>
    <t>Flex carga para Xiaomi A2 Lite</t>
  </si>
  <si>
    <t>FLX00247</t>
  </si>
  <si>
    <t>Flex carga para Xiaomi Mi 10T / Redmi K30S</t>
  </si>
  <si>
    <t>Flex carga para Xiaomi Mi 5X A1</t>
  </si>
  <si>
    <t>FLX00246</t>
  </si>
  <si>
    <t>Flex carga para Xiaomi Mi 6X A2</t>
  </si>
  <si>
    <t>FLX00245</t>
  </si>
  <si>
    <t>Flex carga para Xiaomi Mi 8 Lite</t>
  </si>
  <si>
    <t>Flex carga para Xiaomi Mi 9T</t>
  </si>
  <si>
    <t>Flex carga para Xiaomi Note 10 4G</t>
  </si>
  <si>
    <t>FLX00614</t>
  </si>
  <si>
    <t>Flex carga para Xiaomi Note 10 5G</t>
  </si>
  <si>
    <t>FLX00613</t>
  </si>
  <si>
    <t>Flex carga para Xiaomi Note 10 Lite</t>
  </si>
  <si>
    <t>FLX00615</t>
  </si>
  <si>
    <t>Flex carga para Xiaomi Note 4X Ancho Wide</t>
  </si>
  <si>
    <t>FLX00243</t>
  </si>
  <si>
    <t>Flex carga para Xiaomi Note 7 / Pro</t>
  </si>
  <si>
    <t>Flex carga para Xiaomi Note 8</t>
  </si>
  <si>
    <t>Flex carga para Xiaomi Poco M3</t>
  </si>
  <si>
    <t>FLX00239</t>
  </si>
  <si>
    <t>Flex carga para Xiaomi Poco X3 con IC</t>
  </si>
  <si>
    <t>Flex carga para Xiaomi Poco X3 sin IC</t>
  </si>
  <si>
    <t>FLX00644</t>
  </si>
  <si>
    <t>Flex carga para Xiaomi Poco X5 Pro 5G</t>
  </si>
  <si>
    <t>FLX02811</t>
  </si>
  <si>
    <t>Flex carga para Xiaomi Redmi 10C</t>
  </si>
  <si>
    <t>Flex carga para Xiaomi Redmi 12 4G</t>
  </si>
  <si>
    <t>Flex carga para Xiaomi Redmi 6</t>
  </si>
  <si>
    <t>FLX00238</t>
  </si>
  <si>
    <t>Flex carga para Xiaomi Redmi 9</t>
  </si>
  <si>
    <t>FLX02805</t>
  </si>
  <si>
    <t>Flex carga para Xiaomi Redmi 9T / 9 Power</t>
  </si>
  <si>
    <t>Flex carga para Xiaomi Redmi Note 10 / 10S</t>
  </si>
  <si>
    <t>Flex carga para Xiaomi Redmi Note 11 / 11S</t>
  </si>
  <si>
    <t>Flex carga para Xiaomi Redmi Note 8 Pro</t>
  </si>
  <si>
    <t>Flex carga para Xiaomi Redmi Note 9S M2 Pro c/IC</t>
  </si>
  <si>
    <t>Flex carga para Xiaomi Redmi Note 9S M2 Pro s/IC</t>
  </si>
  <si>
    <t>Flex carga para Xiaomi Y2 S2</t>
  </si>
  <si>
    <t>Flex carga para Xperia E5 1</t>
  </si>
  <si>
    <t>FLX00327</t>
  </si>
  <si>
    <t>Flex carga para Xperia E5 2</t>
  </si>
  <si>
    <t>FLX02023</t>
  </si>
  <si>
    <t>Flex carga para Xperia L1</t>
  </si>
  <si>
    <t>FLX00311</t>
  </si>
  <si>
    <t>Flex carga para Xperia M4 Aqua E2303</t>
  </si>
  <si>
    <t>FLX00312</t>
  </si>
  <si>
    <t>Flex carga para Xperia M5</t>
  </si>
  <si>
    <t>FLX00313</t>
  </si>
  <si>
    <t>Flex carga para Xperia X F5122</t>
  </si>
  <si>
    <t>FLX00307</t>
  </si>
  <si>
    <t>Flex carga para Xperia XA</t>
  </si>
  <si>
    <t>FLX00316</t>
  </si>
  <si>
    <t>Flex carga para Xperia XA1</t>
  </si>
  <si>
    <t>FLX00321</t>
  </si>
  <si>
    <t>Flex carga para Xperia XA1 Ultra</t>
  </si>
  <si>
    <t>Flex carga para Xperia XZ Premium</t>
  </si>
  <si>
    <t>FLX00305</t>
  </si>
  <si>
    <t>Flex carga para Xperia Z5</t>
  </si>
  <si>
    <t>FLX00315</t>
  </si>
  <si>
    <t>Flex carga para Xperia Z5 Compact</t>
  </si>
  <si>
    <t>FLX00330</t>
  </si>
  <si>
    <t>Flex carga para ZTE A51</t>
  </si>
  <si>
    <t>Flex carga para ZTE A52 Lite</t>
  </si>
  <si>
    <t>FLX02683</t>
  </si>
  <si>
    <t>Flex carga para ZTE A52 normal</t>
  </si>
  <si>
    <t>FLX02682</t>
  </si>
  <si>
    <t>Flex carga para ZTE Blade 20 V Smart 2050</t>
  </si>
  <si>
    <t>Flex carga para ZTE Blade A3 2020</t>
  </si>
  <si>
    <t>Flex carga para ZTE Blade A5 2020 con IC 1</t>
  </si>
  <si>
    <t>FLX00586</t>
  </si>
  <si>
    <t>Flex carga para ZTE Blade A5 2020 con IC 2</t>
  </si>
  <si>
    <t>Flex carga para ZTE Blade A71 A7030</t>
  </si>
  <si>
    <t>Flex carga para ZTE Blade A7S A7020 con IC 1</t>
  </si>
  <si>
    <t>Flex carga para ZTE Blade A7S A7020 con IC 2</t>
  </si>
  <si>
    <t>Flex carga para ZTE Blade V30 9030 con IC</t>
  </si>
  <si>
    <t>Flex carga para ZTE Blade V30 Vita 8030 con IC</t>
  </si>
  <si>
    <t>Flex carga para ZTE Blade V40</t>
  </si>
  <si>
    <t>Flex carga para ZTE Blade V40 Smart</t>
  </si>
  <si>
    <t>FLX02824</t>
  </si>
  <si>
    <t>Flex carga para ZTE Blade Z Max Pro Z981</t>
  </si>
  <si>
    <t>FLX00760</t>
  </si>
  <si>
    <t>Flex carga para ZTE Nubia Z9 Mini</t>
  </si>
  <si>
    <t>FLX00360</t>
  </si>
  <si>
    <t>Flex carga para ZTE V10</t>
  </si>
  <si>
    <t>Flex carga para ZTE V10 Vita con IC</t>
  </si>
  <si>
    <t>Flex carga para ZTE V10 Vita sin IC</t>
  </si>
  <si>
    <t>FLX00754</t>
  </si>
  <si>
    <t>Flex carga para ZTE V20 8010 con IC 1</t>
  </si>
  <si>
    <t>FLX02634</t>
  </si>
  <si>
    <t>Flex carga para ZTE V20 8010 con IC 2</t>
  </si>
  <si>
    <t>Flex carga para ZTE V6</t>
  </si>
  <si>
    <t>FLX01074</t>
  </si>
  <si>
    <t>Flex carga para ZTE V8 BV0800</t>
  </si>
  <si>
    <t>FLX01781</t>
  </si>
  <si>
    <t>Flex carga para ZTE Z Max Z982 V Ultra</t>
  </si>
  <si>
    <t>FLX00667</t>
  </si>
  <si>
    <t>Flex carga tablet para Xperia Z SGP311</t>
  </si>
  <si>
    <t>FLX00325</t>
  </si>
  <si>
    <t>Flex centro carga para Alcatel OT Idol 3 6045</t>
  </si>
  <si>
    <t>FLX01834</t>
  </si>
  <si>
    <t>Flex centro carga para Alcatel Shine Lite 5080 1</t>
  </si>
  <si>
    <t>FLX00882</t>
  </si>
  <si>
    <t>Flex centro carga para Alcatel Shine Lite 5080 2</t>
  </si>
  <si>
    <t>Flex centro carga para Alcatel Shine Lite 5080 3</t>
  </si>
  <si>
    <t>FLX02202</t>
  </si>
  <si>
    <t>Flex centro puerto carga para Alcatel 1S 5024</t>
  </si>
  <si>
    <t>Flex centro puerto carga para Alcatel 1V 5001</t>
  </si>
  <si>
    <t>FLX00765</t>
  </si>
  <si>
    <t>Flex centro puerto carga para Alcatel 3X 5058</t>
  </si>
  <si>
    <t>Flex centro puerto carga para Alcatel 5048</t>
  </si>
  <si>
    <t>Flex centro puerto carga para Alcatel Revvl 4 5062</t>
  </si>
  <si>
    <t>Flex de stylus pluma para Galaxy Note 2 N7100 I317</t>
  </si>
  <si>
    <t>FLX03424</t>
  </si>
  <si>
    <t>Flex de stylus pluma para Galaxy Note 3 N9000</t>
  </si>
  <si>
    <t>FLX03498</t>
  </si>
  <si>
    <t>Flex de stylus pluma para Galaxy Note N7000</t>
  </si>
  <si>
    <t>FLX03487</t>
  </si>
  <si>
    <t>Flex disco duro para Macbook A1278 821-0814</t>
  </si>
  <si>
    <t>FLX02877</t>
  </si>
  <si>
    <t>Flex disco duro para Macbook A1278 821-1226</t>
  </si>
  <si>
    <t>FLX02879</t>
  </si>
  <si>
    <t>Flex disco duro para Macbook A1278 821-1480</t>
  </si>
  <si>
    <t>FLX02876</t>
  </si>
  <si>
    <t>Flex disco duro para Macbook A1278 821-2049</t>
  </si>
  <si>
    <t>FLX02878</t>
  </si>
  <si>
    <t>Flex encendido membrana para PlayStation PS2 7000X</t>
  </si>
  <si>
    <t>FLX02605</t>
  </si>
  <si>
    <t>Flex encendido membrana para PlayStation PS2 9000X</t>
  </si>
  <si>
    <t>FLX02604</t>
  </si>
  <si>
    <t>Flex encendido para Alcatel OT 4010</t>
  </si>
  <si>
    <t>FLX00886</t>
  </si>
  <si>
    <t>Flex encendido para Blackberry Z30 jack audio</t>
  </si>
  <si>
    <t>FLX01822</t>
  </si>
  <si>
    <t>Flex encendido para Dell 5458 5455 3458 59 5558 59</t>
  </si>
  <si>
    <t>Flex encendido para Galaxy A10S A107 1</t>
  </si>
  <si>
    <t>Flex encendido para Galaxy A10S A107 2</t>
  </si>
  <si>
    <t>FLX02203</t>
  </si>
  <si>
    <t>Flex encendido para Galaxy A10S A107 3</t>
  </si>
  <si>
    <t>Flex encendido para Galaxy A12 A125 azul</t>
  </si>
  <si>
    <t>Flex encendido para Galaxy A12 A125 negro 1</t>
  </si>
  <si>
    <t>Flex encendido para Galaxy A12 A125 negro 2</t>
  </si>
  <si>
    <t>Flex encendido para Galaxy A14 5G A146</t>
  </si>
  <si>
    <t>Flex encendido para Galaxy A5</t>
  </si>
  <si>
    <t>FLX00035</t>
  </si>
  <si>
    <t>Flex encendido para Galaxy A5 A510 A7 A710</t>
  </si>
  <si>
    <t>FLX00034</t>
  </si>
  <si>
    <t>Flex encendido para Galaxy E5 E500 E7 E700</t>
  </si>
  <si>
    <t>FLX01385</t>
  </si>
  <si>
    <t>Flex encendido para Galaxy J5 J7 G570 G610 Prime</t>
  </si>
  <si>
    <t>FLX00023</t>
  </si>
  <si>
    <t>Flex encendido para Galaxy J600 J800 J4+</t>
  </si>
  <si>
    <t>Flex encendido para Galaxy J7 J5 G570 G610 Prime</t>
  </si>
  <si>
    <t>Flex encendido para Galaxy Note 2 N7100 i317 N7105</t>
  </si>
  <si>
    <t>FLX03429</t>
  </si>
  <si>
    <t>Flex encendido para Galaxy Note 4 N910 vibrador</t>
  </si>
  <si>
    <t>FLX00036</t>
  </si>
  <si>
    <t>Flex encendido para Galaxy Note 5 N920</t>
  </si>
  <si>
    <t>FLX00412</t>
  </si>
  <si>
    <t>Flex encendido para Galaxy Note Edge N915 bocina</t>
  </si>
  <si>
    <t>FLX03721</t>
  </si>
  <si>
    <t>Flex encendido para Galaxy S2 i9100</t>
  </si>
  <si>
    <t>FLX03297</t>
  </si>
  <si>
    <t>Flex encendido para Galaxy S5 Active G870</t>
  </si>
  <si>
    <t>FLX01395</t>
  </si>
  <si>
    <t>Flex encendido para Galaxy S6 G920</t>
  </si>
  <si>
    <t>FLX03919</t>
  </si>
  <si>
    <t>Flex encendido para Hisense H60</t>
  </si>
  <si>
    <t>FLX02591</t>
  </si>
  <si>
    <t>Flex encendido para HP DA0U83PB6E0</t>
  </si>
  <si>
    <t>Flex encendido para HP LS-A991P</t>
  </si>
  <si>
    <t>FLX02748</t>
  </si>
  <si>
    <t>Flex encendido para Huawei Y9 2019</t>
  </si>
  <si>
    <t>Flex encendido para iPad Mini 4 Air 2 microfono</t>
  </si>
  <si>
    <t>FLX03782</t>
  </si>
  <si>
    <t>Flex encendido para iPhone 11 flash microfono</t>
  </si>
  <si>
    <t>Flex encendido para iPhone 4 CDMA sensor</t>
  </si>
  <si>
    <t>FLX03346</t>
  </si>
  <si>
    <t>Flex encendido para iPhone 4 sensor proximidad</t>
  </si>
  <si>
    <t>FLX03304</t>
  </si>
  <si>
    <t>Flex encendido para iPhone 6 led flash microfono</t>
  </si>
  <si>
    <t>FLX00183</t>
  </si>
  <si>
    <t>Flex encendido para iPhone 6 Plus 5.5 led flash</t>
  </si>
  <si>
    <t>FLX00434</t>
  </si>
  <si>
    <t>Flex encendido para iPhone 6S Plus flash</t>
  </si>
  <si>
    <t>FLX00219</t>
  </si>
  <si>
    <t>Flex encendido para LG Q6</t>
  </si>
  <si>
    <t>FLX00684</t>
  </si>
  <si>
    <t>Flex encendido para Oppo A12</t>
  </si>
  <si>
    <t>Flex encendido para Oppo A54</t>
  </si>
  <si>
    <t>FLX02670</t>
  </si>
  <si>
    <t>Flex encendido para Oppo Reno 5 Lite</t>
  </si>
  <si>
    <t>Flex encendido para PlayStation 5 PS5 V3.0 BDM-030</t>
  </si>
  <si>
    <t>FLX02856</t>
  </si>
  <si>
    <t>Flex encendido para PlayStation PS2 7000X</t>
  </si>
  <si>
    <t>Flex encendido para PlayStation PS2 7000X con flex</t>
  </si>
  <si>
    <t>FLX02541</t>
  </si>
  <si>
    <t>Flex encendido para PlayStation PS2 9000X</t>
  </si>
  <si>
    <t>FLX00744</t>
  </si>
  <si>
    <t>Flex encendido para PlayStation PS2 9000X con flex</t>
  </si>
  <si>
    <t>Flex encendido para PlayStation PS5 V1.0 BDM-010</t>
  </si>
  <si>
    <t>FLX02855</t>
  </si>
  <si>
    <t>Flex encendido para Xbox One 1</t>
  </si>
  <si>
    <t>Flex encendido para Xbox One 2</t>
  </si>
  <si>
    <t>Flex encendido para Xiaomi Mi 11 Lite / 5G Azul</t>
  </si>
  <si>
    <t>FLX00846</t>
  </si>
  <si>
    <t>Flex encendido para Xiaomi Mi 11 Lite / 5G Negro</t>
  </si>
  <si>
    <t>Flex encendido para Xiaomi Mi 11 Lite / 5G Plata</t>
  </si>
  <si>
    <t>Flex encendido para Xiaomi Mi 11 Lite / 5G Verde</t>
  </si>
  <si>
    <t>Flex encendido para Xperia Z5 lector huella</t>
  </si>
  <si>
    <t>FLX00338</t>
  </si>
  <si>
    <t>Flex encendido volumen para Alcatel 5054</t>
  </si>
  <si>
    <t>FLX00884</t>
  </si>
  <si>
    <t>Flex encendido volumen para Alcatel Idol 6032</t>
  </si>
  <si>
    <t>FLX00885</t>
  </si>
  <si>
    <t>Flex encendido volumen para Galaxy A20S</t>
  </si>
  <si>
    <t>Flex encendido volumen para Galaxy Tab 2 P5100</t>
  </si>
  <si>
    <t>FLX00102</t>
  </si>
  <si>
    <t>Flex encendido volumen para Galaxy Tab 3 Plus</t>
  </si>
  <si>
    <t>FLX00093</t>
  </si>
  <si>
    <t>Flex encendido volumen para Galaxy Tab 3 T211</t>
  </si>
  <si>
    <t>Flex encendido volumen para Galaxy Tab P1000</t>
  </si>
  <si>
    <t>FLX00103</t>
  </si>
  <si>
    <t>Flex encendido volumen para Galaxy Tab P7500</t>
  </si>
  <si>
    <t>FLX00092</t>
  </si>
  <si>
    <t>Flex encendido volumen para Galaxy Tab S2 T810</t>
  </si>
  <si>
    <t>FLX03799</t>
  </si>
  <si>
    <t>Flex encendido volumen para HTC M9 lector SD</t>
  </si>
  <si>
    <t>FLX01766</t>
  </si>
  <si>
    <t>Flex encendido volumen para HTC U11</t>
  </si>
  <si>
    <t>Flex encendido volumen para Huawei GW Metal</t>
  </si>
  <si>
    <t>FLX00136</t>
  </si>
  <si>
    <t>Flex encendido volumen para Huawei Mate 10 Lite</t>
  </si>
  <si>
    <t>FLX00202</t>
  </si>
  <si>
    <t>Flex encendido volumen para Huawei Mate 20</t>
  </si>
  <si>
    <t>FLX00123</t>
  </si>
  <si>
    <t>Flex encendido volumen para Huawei Mate 20 Lite</t>
  </si>
  <si>
    <t>Flex encendido volumen para Huawei Nova 3</t>
  </si>
  <si>
    <t>Flex encendido volumen para Huawei Nova 5T</t>
  </si>
  <si>
    <t>FLX00127</t>
  </si>
  <si>
    <t>Flex encendido volumen para Huawei NovaE3 P20 Lite</t>
  </si>
  <si>
    <t>Flex encendido volumen para Huawei P Smart 2019</t>
  </si>
  <si>
    <t>FLX00119</t>
  </si>
  <si>
    <t>Flex encendido volumen para Huawei P10 Selfie</t>
  </si>
  <si>
    <t>FLX00161</t>
  </si>
  <si>
    <t>Flex encendido volumen para Huawei P20</t>
  </si>
  <si>
    <t>FLX00131</t>
  </si>
  <si>
    <t>Flex encendido volumen para Huawei P30 Lite</t>
  </si>
  <si>
    <t>Flex encendido volumen para Huawei P30 Pro</t>
  </si>
  <si>
    <t>FLX00135</t>
  </si>
  <si>
    <t>Flex encendido volumen para Huawei P8 P9 Lite</t>
  </si>
  <si>
    <t>FLX00129</t>
  </si>
  <si>
    <t>Flex encendido volumen para Huawei P8 P9 Lite 2017</t>
  </si>
  <si>
    <t>FLX00779</t>
  </si>
  <si>
    <t>Flex encendido volumen para Huawei P9</t>
  </si>
  <si>
    <t>FLX03903</t>
  </si>
  <si>
    <t>Flex encendido volumen para Huawei Y5 Prime 2018</t>
  </si>
  <si>
    <t>FLX00118</t>
  </si>
  <si>
    <t>Flex encendido volumen para Huawei Y5 Pro 2017</t>
  </si>
  <si>
    <t>FLX00120</t>
  </si>
  <si>
    <t>Flex encendido volumen para Huawei Y530</t>
  </si>
  <si>
    <t>FLX00125</t>
  </si>
  <si>
    <t>Flex encendido volumen para Huawei Y6 2018</t>
  </si>
  <si>
    <t>Flex encendido volumen para Huawei Y6 Prime 2019</t>
  </si>
  <si>
    <t>FLX00134</t>
  </si>
  <si>
    <t>Flex encendido volumen para Huawei Y7 2019</t>
  </si>
  <si>
    <t>Flex encendido volumen para Huawei Y9 Prime 2019</t>
  </si>
  <si>
    <t>Flex encendido volumen para Huawei Y9A</t>
  </si>
  <si>
    <t>Flex encendido volumen para Huawei Y9S</t>
  </si>
  <si>
    <t>Flex encendido volumen para iPad 2 silencio</t>
  </si>
  <si>
    <t>FLX03335</t>
  </si>
  <si>
    <t>Flex encendido volumen para iPad 3 4 silencio</t>
  </si>
  <si>
    <t>FLX03326</t>
  </si>
  <si>
    <t>Flex encendido volumen para iPad Air Mini 1</t>
  </si>
  <si>
    <t>FLX03447</t>
  </si>
  <si>
    <t>Flex encendido volumen para iPad Mini 2 y 3</t>
  </si>
  <si>
    <t>FLX03781</t>
  </si>
  <si>
    <t>Flex encendido volumen para iPhone 3G</t>
  </si>
  <si>
    <t>FLX03338</t>
  </si>
  <si>
    <t>Flex encendido volumen para iPhone 3GS blanco</t>
  </si>
  <si>
    <t>FLX03382</t>
  </si>
  <si>
    <t>Flex encendido volumen para iPhone 3GS negro</t>
  </si>
  <si>
    <t>FLX03337</t>
  </si>
  <si>
    <t>Flex encendido volumen para iPhone 5 mute brackets</t>
  </si>
  <si>
    <t>FLX03475</t>
  </si>
  <si>
    <t>Flex encendido volumen para iPhone 5 silencio</t>
  </si>
  <si>
    <t>FLX03315</t>
  </si>
  <si>
    <t>Flex encendido volumen para iPhone 5C</t>
  </si>
  <si>
    <t>FLX03465</t>
  </si>
  <si>
    <t>Flex encendido volumen para iPhone 5S vibracion</t>
  </si>
  <si>
    <t>FLX03460</t>
  </si>
  <si>
    <t>Flex encendido volumen para iPhone 6S 4.7" flash</t>
  </si>
  <si>
    <t>Flex encendido volumen para iPhone 7 led flash</t>
  </si>
  <si>
    <t>FLX00467</t>
  </si>
  <si>
    <t>Flex encendido volumen para iPhone 7 Plus led</t>
  </si>
  <si>
    <t>Flex encendido volumen para iPhone 8 con bracket</t>
  </si>
  <si>
    <t>FLX00218</t>
  </si>
  <si>
    <t>Flex encendido volumen para iPhone 8 Plus flash</t>
  </si>
  <si>
    <t>Flex encendido volumen para iPod 2G</t>
  </si>
  <si>
    <t>FLX03480</t>
  </si>
  <si>
    <t>Flex encendido volumen para iPod Nano 7 blanco</t>
  </si>
  <si>
    <t>FLX03742</t>
  </si>
  <si>
    <t>Flex encendido volumen para iPod Nano 7 negro</t>
  </si>
  <si>
    <t>FLX02712</t>
  </si>
  <si>
    <t>Flex encendido volumen para iPod Touch 4</t>
  </si>
  <si>
    <t>FLX00037</t>
  </si>
  <si>
    <t>Flex encendido volumen para iPod Touch 5</t>
  </si>
  <si>
    <t>FLX02107</t>
  </si>
  <si>
    <t>Flex encendido volumen para LG Escape P870 lector</t>
  </si>
  <si>
    <t>FLX01949</t>
  </si>
  <si>
    <t>Flex encendido volumen para LG G4 flash jack audio</t>
  </si>
  <si>
    <t>FLX00748</t>
  </si>
  <si>
    <t>Flex encendido volumen para Lumia 1020 camara</t>
  </si>
  <si>
    <t>FLX00398</t>
  </si>
  <si>
    <t>Flex encendido volumen para Moto C Plus XT1725 1</t>
  </si>
  <si>
    <t>FLX00379</t>
  </si>
  <si>
    <t>Flex encendido volumen para Moto C Plus XT1725 2</t>
  </si>
  <si>
    <t>Flex encendido volumen para Moto C XT1755</t>
  </si>
  <si>
    <t>FLX00378</t>
  </si>
  <si>
    <t>Flex encendido volumen para Moto E4 Plus XT1773</t>
  </si>
  <si>
    <t>Flex encendido volumen para Moto E4 XT1762</t>
  </si>
  <si>
    <t>FLX00381</t>
  </si>
  <si>
    <t>Flex encendido volumen para Moto E5 / G6 Play 1</t>
  </si>
  <si>
    <t>FLX00384</t>
  </si>
  <si>
    <t>Flex encendido volumen para Moto E5 / G6 Play 2</t>
  </si>
  <si>
    <t>FLX01970</t>
  </si>
  <si>
    <t>Flex encendido volumen para Moto E5 G6 Play azul</t>
  </si>
  <si>
    <t>Flex encendido volumen para Moto E5 G6 Play oro</t>
  </si>
  <si>
    <t>Flex encendido volumen para Moto E5 Play XT1921 1</t>
  </si>
  <si>
    <t>FLX00386</t>
  </si>
  <si>
    <t>Flex encendido volumen para Moto E5 Play XT1921 2</t>
  </si>
  <si>
    <t>Flex encendido volumen para Moto E6 Plus XT2025</t>
  </si>
  <si>
    <t>Flex encendido volumen para Moto E6S XT2053</t>
  </si>
  <si>
    <t>FLX00258</t>
  </si>
  <si>
    <t>Flex encendido volumen para Moto G Power 3rd Gen</t>
  </si>
  <si>
    <t>FLX02022</t>
  </si>
  <si>
    <t>Flex encendido volumen para Moto G5 Plus XT1803</t>
  </si>
  <si>
    <t>FLX00382</t>
  </si>
  <si>
    <t>Flex encendido volumen para Moto G5 XT1672</t>
  </si>
  <si>
    <t>FLX00257</t>
  </si>
  <si>
    <t>Flex encendido volumen para Moto G50 5G XT2149</t>
  </si>
  <si>
    <t>Flex encendido volumen para Moto G5S XT1791</t>
  </si>
  <si>
    <t>FLX00388</t>
  </si>
  <si>
    <t>Flex encendido volumen para Moto G6 Plus XT1926</t>
  </si>
  <si>
    <t>Flex encendido volumen para Moto G7 / Plus XT1965</t>
  </si>
  <si>
    <t>FLX00387</t>
  </si>
  <si>
    <t>Flex encendido volumen para Moto G7 Power XT1955</t>
  </si>
  <si>
    <t>Flex encendido volumen para Moto G8 Play XT2015</t>
  </si>
  <si>
    <t>FLX00255</t>
  </si>
  <si>
    <t>Flex encendido volumen para Moto G8 Plus XT2019</t>
  </si>
  <si>
    <t>Flex encendido volumen para Moto G8 Power XT2041</t>
  </si>
  <si>
    <t>FLX00253</t>
  </si>
  <si>
    <t>Flex encendido volumen para Moto G9 / Play E7 Plus</t>
  </si>
  <si>
    <t>Flex encendido volumen para Moto One Hyper XT2027</t>
  </si>
  <si>
    <t>Flex encendido volumen para Moto One P30 Play 1</t>
  </si>
  <si>
    <t>FLX00251</t>
  </si>
  <si>
    <t>Flex encendido volumen para Moto One P30 Play 2</t>
  </si>
  <si>
    <t>FLX02019</t>
  </si>
  <si>
    <t>Flex encendido volumen para Moto X Play XT1561</t>
  </si>
  <si>
    <t>FLX00380</t>
  </si>
  <si>
    <t>Flex encendido volumen para Moto Z XT1650</t>
  </si>
  <si>
    <t>FLX00383</t>
  </si>
  <si>
    <t>Flex encendido volumen para Nintendo Switch Lite</t>
  </si>
  <si>
    <t>FLX00730</t>
  </si>
  <si>
    <t>Flex encendido volumen para Nokia 5.1 Plus</t>
  </si>
  <si>
    <t>FLX00413</t>
  </si>
  <si>
    <t>Flex encendido volumen para Nokia 6</t>
  </si>
  <si>
    <t>FLX03289</t>
  </si>
  <si>
    <t>Flex encendido volumen para Nokia 6.1 X6 Plus</t>
  </si>
  <si>
    <t>FLX00394</t>
  </si>
  <si>
    <t>Flex encendido volumen para Nokia 8</t>
  </si>
  <si>
    <t>FLX00408</t>
  </si>
  <si>
    <t>Flex encendido volumen para Nokia Lumia 625 camara</t>
  </si>
  <si>
    <t>FLX00397</t>
  </si>
  <si>
    <t>Flex encendido volumen para Nokia Lumia 920 camara</t>
  </si>
  <si>
    <t>FLX00407</t>
  </si>
  <si>
    <t>Flex encendido volumen para Nokia Lumia 925 camara</t>
  </si>
  <si>
    <t>FLX00400</t>
  </si>
  <si>
    <t>Flex encendido volumen para OnePlus 2</t>
  </si>
  <si>
    <t>FLX03763</t>
  </si>
  <si>
    <t>Flex encendido volumen para Oppo A15 1</t>
  </si>
  <si>
    <t>Flex encendido volumen para Oppo A15 2</t>
  </si>
  <si>
    <t>Flex encendido volumen para Xiaomi Note 4X</t>
  </si>
  <si>
    <t>FLX00235</t>
  </si>
  <si>
    <t>Flex encendido volumen para Xiaomi Note 8 Pro</t>
  </si>
  <si>
    <t>Flex encendido volumen para Xiaomi Note 9S / 9 Pro</t>
  </si>
  <si>
    <t>Flex encendido volumen para Xiaomi Poco X3</t>
  </si>
  <si>
    <t>Flex encendido volumen para Xiaomi Redmi 9</t>
  </si>
  <si>
    <t>Flex encendido volumen para Xiaomi Redmi 9A 9C</t>
  </si>
  <si>
    <t>Flex encendido volumen para Xiaomi Redmi Note 5</t>
  </si>
  <si>
    <t>FLX00234</t>
  </si>
  <si>
    <t>Flex encendido volumen para Xiaomi Redmi Note 8</t>
  </si>
  <si>
    <t>Flex encendido volumen para Xiaomi S2</t>
  </si>
  <si>
    <t>FLX00236</t>
  </si>
  <si>
    <t>Flex encendido volumen para Xperia C3</t>
  </si>
  <si>
    <t>FLX00300</t>
  </si>
  <si>
    <t>Flex encendido volumen para Xperia E3 D2202</t>
  </si>
  <si>
    <t>FLX03621</t>
  </si>
  <si>
    <t>Flex encendido volumen para Xperia L C2105 S36h</t>
  </si>
  <si>
    <t>FLX00329</t>
  </si>
  <si>
    <t>Flex encendido volumen para Xperia M2 D2303</t>
  </si>
  <si>
    <t>FLX00328</t>
  </si>
  <si>
    <t>Flex encendido volumen para Xperia M4 E2303</t>
  </si>
  <si>
    <t>FLX00317</t>
  </si>
  <si>
    <t>Flex encendido volumen para Xperia T3 D5106</t>
  </si>
  <si>
    <t>FLX00293</t>
  </si>
  <si>
    <t>Flex encendido volumen para Xperia XA1</t>
  </si>
  <si>
    <t>FLX00298</t>
  </si>
  <si>
    <t>Flex encendido volumen para Xperia XZ Premium</t>
  </si>
  <si>
    <t>Flex encendido volumen para Xperia Z microfono</t>
  </si>
  <si>
    <t>FLX00297</t>
  </si>
  <si>
    <t>Flex encendido volumen para Xperia Z1 Compact</t>
  </si>
  <si>
    <t>FLX00336</t>
  </si>
  <si>
    <t>Flex encendido volumen para Xperia Z3 Compact</t>
  </si>
  <si>
    <t>FLX00308</t>
  </si>
  <si>
    <t>Flex encendido volumen para Xperia Z3 microfono</t>
  </si>
  <si>
    <t>FLX00304</t>
  </si>
  <si>
    <t>Flex encendido volumen para Xperia Z5</t>
  </si>
  <si>
    <t>FLX01397</t>
  </si>
  <si>
    <t>Flex encendido volumen para Xperia Z5 Compact</t>
  </si>
  <si>
    <t>FLX00319</t>
  </si>
  <si>
    <t>Flex encendido volumen para ZTE Blade 20 Smart</t>
  </si>
  <si>
    <t>FLX00584</t>
  </si>
  <si>
    <t>Flex encendido volumen para ZTE Blade A71 A7030</t>
  </si>
  <si>
    <t>Flex encendido volumen para ZTE Blade V30 9030</t>
  </si>
  <si>
    <t>FLX02548</t>
  </si>
  <si>
    <t>Flex encendido volumen para ZTE V10</t>
  </si>
  <si>
    <t>FLX00470</t>
  </si>
  <si>
    <t>Flex encendido volumen para ZTE V10 Vita 1</t>
  </si>
  <si>
    <t>Flex encendido volumen para ZTE V10 Vita 2</t>
  </si>
  <si>
    <t>FLX01862</t>
  </si>
  <si>
    <t>Flex encendido volumen para ZTE V10 Vita 3</t>
  </si>
  <si>
    <t>FLX01863</t>
  </si>
  <si>
    <t>Flex encendido volumen para ZTE V8</t>
  </si>
  <si>
    <t>FLX03287</t>
  </si>
  <si>
    <t>Flex encendido volumen para ZTE Z Max Z982 V 1</t>
  </si>
  <si>
    <t>Flex encendido volumen para ZTE Z Max Z982 V 2</t>
  </si>
  <si>
    <t>FLX02017</t>
  </si>
  <si>
    <t>Flex encendido volumen para ZTE Z Max Z982 V 3</t>
  </si>
  <si>
    <t>Flex extension boton home para iPhone 6 4.7"</t>
  </si>
  <si>
    <t>FLX00184</t>
  </si>
  <si>
    <t>Flex extension boton home para iPhone 6 Plus 5.5"</t>
  </si>
  <si>
    <t>Flex flash camara para Galaxy Note 10.1 N8000</t>
  </si>
  <si>
    <t>FLX00094</t>
  </si>
  <si>
    <t>Flex home para Galaxy Note i717 menu retorno</t>
  </si>
  <si>
    <t>FLX02188</t>
  </si>
  <si>
    <t>Flex home para Galaxy P1000 menu retroceso</t>
  </si>
  <si>
    <t>FLX02189</t>
  </si>
  <si>
    <t>Flex home para Galaxy S2 i9100 menu retroceso</t>
  </si>
  <si>
    <t>FLX03390</t>
  </si>
  <si>
    <t>Flex huella Moto One Fusion XT2073 Azul</t>
  </si>
  <si>
    <t>FLX02797</t>
  </si>
  <si>
    <t>Flex huella Moto One Fusion XT2073 Negro</t>
  </si>
  <si>
    <t>FLX02796</t>
  </si>
  <si>
    <t>Flex jack audio para Galaxy J600 J800 A6 A8 2018 1</t>
  </si>
  <si>
    <t>Flex jack audio para Galaxy J600 J800 A6 A8 2018 2</t>
  </si>
  <si>
    <t>Flex jack audio para Galaxy Mega 2 G750 F</t>
  </si>
  <si>
    <t>FLX03687</t>
  </si>
  <si>
    <t>Flex jack audio para Galaxy Nexus I9250</t>
  </si>
  <si>
    <t>FLX03399</t>
  </si>
  <si>
    <t>Flex jack audio para Galaxy Note 10.1 N8000</t>
  </si>
  <si>
    <t>FLX00075</t>
  </si>
  <si>
    <t>Flex jack audio para Galaxy Note 4 N910</t>
  </si>
  <si>
    <t>FLX03566</t>
  </si>
  <si>
    <t>Flex jack audio para Galaxy Note 8" N5110</t>
  </si>
  <si>
    <t>FLX03422</t>
  </si>
  <si>
    <t>Flex jack audio para Galaxy S4</t>
  </si>
  <si>
    <t>FLX00068</t>
  </si>
  <si>
    <t>Flex jack audio para Galaxy Tab 3 T210 P3200</t>
  </si>
  <si>
    <t>FLX00104</t>
  </si>
  <si>
    <t>Flex jack audio para HTC 626</t>
  </si>
  <si>
    <t>FLX03824</t>
  </si>
  <si>
    <t>Flex jack audio para Huawei G7 vibrador sensor</t>
  </si>
  <si>
    <t>FLX00155</t>
  </si>
  <si>
    <t>Flex jack audio para Huawei P10</t>
  </si>
  <si>
    <t>FLX00154</t>
  </si>
  <si>
    <t>Flex jack audio para Huawei P10 Lite</t>
  </si>
  <si>
    <t>FLX00153</t>
  </si>
  <si>
    <t>Flex jack audio para Huawei P8</t>
  </si>
  <si>
    <t>FLX00152</t>
  </si>
  <si>
    <t>Flex jack audio para iPad 2 version CDMA</t>
  </si>
  <si>
    <t>FLX03514</t>
  </si>
  <si>
    <t>Flex jack audio para iPad Mini blanco</t>
  </si>
  <si>
    <t>FLX02330</t>
  </si>
  <si>
    <t>Flex jack audio para iPad Mini negro</t>
  </si>
  <si>
    <t>FLX01819</t>
  </si>
  <si>
    <t>Flex jack audio para iPod 4</t>
  </si>
  <si>
    <t>FLX03301</t>
  </si>
  <si>
    <t>Flex jack audio para iPod Touch 3G</t>
  </si>
  <si>
    <t>FLX03412</t>
  </si>
  <si>
    <t>Flex jack audio para LG Q6</t>
  </si>
  <si>
    <t>FLX03850</t>
  </si>
  <si>
    <t>Flex jack audio para Nokia Lumia 1020 microfono</t>
  </si>
  <si>
    <t>FLX00399</t>
  </si>
  <si>
    <t>Flex jack audio para Nokia Lumia 820</t>
  </si>
  <si>
    <t>FLX03406</t>
  </si>
  <si>
    <t>Flex jack audio para Nokia Lumia 920 micrófono</t>
  </si>
  <si>
    <t>FLX00406</t>
  </si>
  <si>
    <t>Flex jack audio para Xperia M4 Aqua E2303</t>
  </si>
  <si>
    <t>FLX03624</t>
  </si>
  <si>
    <t>Flex jack audio para Xperia M5</t>
  </si>
  <si>
    <t>FLX00301</t>
  </si>
  <si>
    <t>Flex jack audio para Xperia X</t>
  </si>
  <si>
    <t>FLX00303</t>
  </si>
  <si>
    <t>Flex jack audio para Xperia XA sensor</t>
  </si>
  <si>
    <t>FLX00320</t>
  </si>
  <si>
    <t>Flex jack audio para Xperia Z Ultra C6802 XL39h</t>
  </si>
  <si>
    <t>FLX00302</t>
  </si>
  <si>
    <t>Flex jack audio para Xperia Z1 C6902</t>
  </si>
  <si>
    <t>FLX00309</t>
  </si>
  <si>
    <t>Flex jack audio para Xperia Z2 sensor luminosidad</t>
  </si>
  <si>
    <t>FLX00296</t>
  </si>
  <si>
    <t>Flex jack audio para Xperia Z3 Compact sensor</t>
  </si>
  <si>
    <t>FLX00331</t>
  </si>
  <si>
    <t>Flex jack audio para Xperia Z3 D6603 sensor</t>
  </si>
  <si>
    <t>FLX00335</t>
  </si>
  <si>
    <t>Flex jack audio para Xperia Z3+ sensor</t>
  </si>
  <si>
    <t>FLX00326</t>
  </si>
  <si>
    <t>Flex jack audio para Xperia Z5 Compact</t>
  </si>
  <si>
    <t>FLX00337</t>
  </si>
  <si>
    <t>Flex jack audio para Xperia ZL C6502 microfono</t>
  </si>
  <si>
    <t>FLX00323</t>
  </si>
  <si>
    <t>Flex jack para Galaxy J4+ J5 J7 2017 microfono</t>
  </si>
  <si>
    <t>FLX00047</t>
  </si>
  <si>
    <t>Flex LCD para Galaxy Tab A 10.1 T510 T515</t>
  </si>
  <si>
    <t>Flex lector juego para Nintendo Switch</t>
  </si>
  <si>
    <t>Flex lector juego para Nintendo Switch Lite</t>
  </si>
  <si>
    <t>FLX00474</t>
  </si>
  <si>
    <t>Flex lector SD para Galaxy S3 Mini I8190</t>
  </si>
  <si>
    <t>FLX02124</t>
  </si>
  <si>
    <t>Flex lector sim para Galaxy Note 2 i317</t>
  </si>
  <si>
    <t>FLX02607</t>
  </si>
  <si>
    <t>Flex lector sim para Galaxy S i9000 memoria SD</t>
  </si>
  <si>
    <t>FLX02131</t>
  </si>
  <si>
    <t>Flex lector sim para Galaxy S2 Skyrocket SD</t>
  </si>
  <si>
    <t>FLX03371</t>
  </si>
  <si>
    <t>Flex lector sim para Galaxy S3 i747 memoria SD</t>
  </si>
  <si>
    <t>FLX03439</t>
  </si>
  <si>
    <t>Flex lector sim para Galaxy S4 Active i9295 SD</t>
  </si>
  <si>
    <t>FLX01402</t>
  </si>
  <si>
    <t>Flex lector sim para HTC 10</t>
  </si>
  <si>
    <t>FLX03253</t>
  </si>
  <si>
    <t>Flex lector sim para HTC A9 SD</t>
  </si>
  <si>
    <t>FLX01897</t>
  </si>
  <si>
    <t>Flex lector sim para HTC One M7</t>
  </si>
  <si>
    <t>FLX03248</t>
  </si>
  <si>
    <t>Flex lector sim para Xperia T2 D5303</t>
  </si>
  <si>
    <t>FLX03249</t>
  </si>
  <si>
    <t>Flex lector sim SD para Galaxy Note 2 N7100</t>
  </si>
  <si>
    <t>FLX03252</t>
  </si>
  <si>
    <t>Flex lector sim SD para Galaxy Note I717</t>
  </si>
  <si>
    <t>FLX03421</t>
  </si>
  <si>
    <t>Flex lector sim SD para Galaxy S3 T999</t>
  </si>
  <si>
    <t>FLX02312</t>
  </si>
  <si>
    <t>Flex lector sim SD para Galaxy S4 I337</t>
  </si>
  <si>
    <t>FLX01415</t>
  </si>
  <si>
    <t>Flex lector sim SD para Galaxy S4 I545</t>
  </si>
  <si>
    <t>FLX01399</t>
  </si>
  <si>
    <t>Flex lector sim SD para Galaxy S4 I9500</t>
  </si>
  <si>
    <t>FLX03251</t>
  </si>
  <si>
    <t>Flex lector sim SD para Galaxy S5 G900</t>
  </si>
  <si>
    <t>FLX01400</t>
  </si>
  <si>
    <t>Flex lector tarjeta micro SD para Nintendo Switch</t>
  </si>
  <si>
    <t>Flex membrana conductora para PS4 001 1</t>
  </si>
  <si>
    <t>Flex membrana conductora para PS4 001 2</t>
  </si>
  <si>
    <t>Flex membrana conductora para PS4 001 3</t>
  </si>
  <si>
    <t>Flex membrana conductora para PS4 030 1</t>
  </si>
  <si>
    <t>Flex membrana conductora para PS4 030 2</t>
  </si>
  <si>
    <t>Flex membrana conductora para PS4 030 3</t>
  </si>
  <si>
    <t>FLX02609</t>
  </si>
  <si>
    <t>Flex membrana conductora para PS4 040 2</t>
  </si>
  <si>
    <t>Flex membrana conductora para PS4 040 3</t>
  </si>
  <si>
    <t>Flex membrana conductora para PS4 055 1</t>
  </si>
  <si>
    <t>Flex membrana conductora para PS4 055 2</t>
  </si>
  <si>
    <t>Flex membrana conductora para PS4 055 3</t>
  </si>
  <si>
    <t>Flex membrana conductora para PS5 V1.0 BDM-010</t>
  </si>
  <si>
    <t>Flex membrana conductora para PS5 V2.0 BDM-020</t>
  </si>
  <si>
    <t>Flex membrana conductora para PS5 V3.0 BDM-030</t>
  </si>
  <si>
    <t>FLX02848</t>
  </si>
  <si>
    <t>Flex menu retroceso para Galaxy A320 2017</t>
  </si>
  <si>
    <t>FLX00048</t>
  </si>
  <si>
    <t>Flex menu retroceso para Galaxy A7 A5 2017 A720</t>
  </si>
  <si>
    <t>FLX00049</t>
  </si>
  <si>
    <t>Flex microfono control para PS5 V1.0 BDM-010</t>
  </si>
  <si>
    <t>Flex microfono control para PS5 V2.0 BDM-020</t>
  </si>
  <si>
    <t>Flex microfono control para PS5 V3.0 BDM-030</t>
  </si>
  <si>
    <t>FLX02860</t>
  </si>
  <si>
    <t>Flex microfono para Galaxy Ace S5830</t>
  </si>
  <si>
    <t>FLX03489</t>
  </si>
  <si>
    <t>Flex microfono para Galaxy S6 Edge Plus sensor</t>
  </si>
  <si>
    <t>FLX01896</t>
  </si>
  <si>
    <t>Flex microfono para iPad 3 y 4</t>
  </si>
  <si>
    <t>FLX01971</t>
  </si>
  <si>
    <t>Flex microfono para Moto X sensor proximidad</t>
  </si>
  <si>
    <t>FLX00372</t>
  </si>
  <si>
    <t>Flex microfono para Xperia J ST26i vibrador</t>
  </si>
  <si>
    <t>FLX00345</t>
  </si>
  <si>
    <t>Flex microfono para Xperia L C2105 S36h vibrador</t>
  </si>
  <si>
    <t>FLX03622</t>
  </si>
  <si>
    <t>Flex microfono para Xperia M2 D2303 vibrador</t>
  </si>
  <si>
    <t>FLX03623</t>
  </si>
  <si>
    <t>Flex microfono para Xperia M4 Aqua E2303 tarjeta</t>
  </si>
  <si>
    <t>FLX00318</t>
  </si>
  <si>
    <t>Flex microfono para Xperia Z1 C6902</t>
  </si>
  <si>
    <t>FLX00333</t>
  </si>
  <si>
    <t>Flex NFC para Galaxy J7 2016 J710</t>
  </si>
  <si>
    <t>FLX03654</t>
  </si>
  <si>
    <t>Flex NFC para Xperia Z</t>
  </si>
  <si>
    <t>FLX00347</t>
  </si>
  <si>
    <t>Flex NFC para Xperia Z3</t>
  </si>
  <si>
    <t>FLX00340</t>
  </si>
  <si>
    <t>Flex NFC para Xperia Z3 Compact</t>
  </si>
  <si>
    <t>FLX00324</t>
  </si>
  <si>
    <t>Flex para iPhone 6 Plus 5.5 2 cubierta antena wifi</t>
  </si>
  <si>
    <t>FLX02021</t>
  </si>
  <si>
    <t>Flex principal main para Galaxy A10S M15</t>
  </si>
  <si>
    <t>FLX00050</t>
  </si>
  <si>
    <t>Flex principal main para Galaxy A20S M12</t>
  </si>
  <si>
    <t>FLX00014</t>
  </si>
  <si>
    <t>Flex principal main para Galaxy A30S 1</t>
  </si>
  <si>
    <t>FLX00016</t>
  </si>
  <si>
    <t>Flex principal main para Galaxy A30S 2</t>
  </si>
  <si>
    <t>FLX02013</t>
  </si>
  <si>
    <t>Flex principal main para Galaxy A32 A325</t>
  </si>
  <si>
    <t>Flex principal main para Galaxy A51</t>
  </si>
  <si>
    <t>FLX00563</t>
  </si>
  <si>
    <t>Flex principal main para Galaxy A715F</t>
  </si>
  <si>
    <t>Flex principal main para Galaxy A72 A725</t>
  </si>
  <si>
    <t>FLX02592</t>
  </si>
  <si>
    <t>Flex principal main para Galaxy A750 2018</t>
  </si>
  <si>
    <t>FLX00015</t>
  </si>
  <si>
    <t>Flex principal main para Galaxy Note N8000</t>
  </si>
  <si>
    <t>FLX00100</t>
  </si>
  <si>
    <t>Flex principal main para Galaxy Tab 2 P5100</t>
  </si>
  <si>
    <t>FLX00101</t>
  </si>
  <si>
    <t>Flex principal main para Galaxy Tab A 10.1 T510</t>
  </si>
  <si>
    <t>Flex principal main para HTC 10 Pro</t>
  </si>
  <si>
    <t>FLX03285</t>
  </si>
  <si>
    <t>Flex principal main para HTC A9</t>
  </si>
  <si>
    <t>FLX03286</t>
  </si>
  <si>
    <t>Flex principal main para HTC Desire 626S</t>
  </si>
  <si>
    <t>FLX03793</t>
  </si>
  <si>
    <t>Flex principal main para Huawei GW Metal</t>
  </si>
  <si>
    <t>FLX00087</t>
  </si>
  <si>
    <t>Flex principal main para Huawei Mate 20 Lite</t>
  </si>
  <si>
    <t>FLX00126</t>
  </si>
  <si>
    <t>Flex principal main para Huawei Nova 3</t>
  </si>
  <si>
    <t>Flex principal main para iPad 2</t>
  </si>
  <si>
    <t>FLX03419</t>
  </si>
  <si>
    <t>Flex principal main para Moto Edge 30 2203 lector</t>
  </si>
  <si>
    <t>Flex principal main para Moto G9 Power XT2091</t>
  </si>
  <si>
    <t>FLX02601</t>
  </si>
  <si>
    <t>Flex principal main para Moto One Fusion XT2073</t>
  </si>
  <si>
    <t>FLX02724</t>
  </si>
  <si>
    <t>Flex principal main para Xiaomi Mi 9</t>
  </si>
  <si>
    <t>FLX00609</t>
  </si>
  <si>
    <t>Flex principal main para Xiaomi Note 8</t>
  </si>
  <si>
    <t>FLX00233</t>
  </si>
  <si>
    <t>Flex principal main para Xiaomi Note 8 Pro</t>
  </si>
  <si>
    <t>Flex principal main para Xiaomi Note 9S</t>
  </si>
  <si>
    <t>Flex principal main para Xiaomi Poco X3 / Pro</t>
  </si>
  <si>
    <t>Flex principal main para Xiaomi Redmi Note 10 Pro</t>
  </si>
  <si>
    <t>Flex principal main para Xiaomi Redmi Note 10 S 4G</t>
  </si>
  <si>
    <t>Flex principal main para Xiaomi Redmi Note 12 4G</t>
  </si>
  <si>
    <t>FLX02838</t>
  </si>
  <si>
    <t>Flex principal main para Xperia J ST26i video</t>
  </si>
  <si>
    <t>FLX00339</t>
  </si>
  <si>
    <t>Flex prueba display LCD para iPhone 6</t>
  </si>
  <si>
    <t>FLX00435</t>
  </si>
  <si>
    <t>Flex prueba display LCD para iPhone 6 Plus</t>
  </si>
  <si>
    <t>FLX03743</t>
  </si>
  <si>
    <t>Flex prueba display LCD para iPhone 6S</t>
  </si>
  <si>
    <t>FLX00216</t>
  </si>
  <si>
    <t>Flex riel control para Nintendo Switch Izq + Dcha</t>
  </si>
  <si>
    <t>Flex sensor proximidad para Galaxy S4 Active i9295</t>
  </si>
  <si>
    <t>FLX02138</t>
  </si>
  <si>
    <t>Flex sensor proximidad para iPhone 3G 3GS</t>
  </si>
  <si>
    <t>FLX03316</t>
  </si>
  <si>
    <t>Flex sensor proximidad para iPhone 5</t>
  </si>
  <si>
    <t>FLX03317</t>
  </si>
  <si>
    <t>Flex sensor proximidad para Xperia M2 D2303</t>
  </si>
  <si>
    <t>FLX00334</t>
  </si>
  <si>
    <t>Flex sensor proximidad para Xperia Z3+ luminosidad</t>
  </si>
  <si>
    <t>FLX00342</t>
  </si>
  <si>
    <t>Flex tarjeta sim para Galaxy Note 4 N910</t>
  </si>
  <si>
    <t>FLX03709</t>
  </si>
  <si>
    <t>Flex tecla retroceso para Galaxy J530 Pro 2017</t>
  </si>
  <si>
    <t>FLX01403</t>
  </si>
  <si>
    <t>Flex video display para Galaxy Tab 2014 P600 01 05</t>
  </si>
  <si>
    <t>FLX00099</t>
  </si>
  <si>
    <t>Flex video display para Galaxy Tab P7500 P7510</t>
  </si>
  <si>
    <t>FLX00098</t>
  </si>
  <si>
    <t>Flex video display para Nexus 7 Primera Generacion</t>
  </si>
  <si>
    <t>FLX01953</t>
  </si>
  <si>
    <t>Flex video display para Nexus 7 Segunda Generacion</t>
  </si>
  <si>
    <t>FLX01973</t>
  </si>
  <si>
    <t>Flex video PTZ gimbal para DJI Mavic Mini 2</t>
  </si>
  <si>
    <t>Flex video PTZ gimbal para DJI Mavic Pro</t>
  </si>
  <si>
    <t>Flex video PTZ Gimbal para DJI Phamtom 3 SE</t>
  </si>
  <si>
    <t>FLX03912</t>
  </si>
  <si>
    <t>Flex video PTZ gimbal para DJI Phantom 3 Ad Pro</t>
  </si>
  <si>
    <t>Flex video PTZ gimbal para DJI Phantom 3 Standard</t>
  </si>
  <si>
    <t>FLX00132</t>
  </si>
  <si>
    <t>Flex video PTZ gimbal para DJI Phantom 4</t>
  </si>
  <si>
    <t>FLX00924</t>
  </si>
  <si>
    <t>Flex video PTZ gimbal para DJI Phantom 4 Pro</t>
  </si>
  <si>
    <t>FLX01404</t>
  </si>
  <si>
    <t>Flex volumen para Galaxy A3 2015 microfono</t>
  </si>
  <si>
    <t>FLX01387</t>
  </si>
  <si>
    <t>Flex volumen para Galaxy A5 A7 A9 2016</t>
  </si>
  <si>
    <t>FLX00051</t>
  </si>
  <si>
    <t>Flex volumen para Galaxy Ace S5830</t>
  </si>
  <si>
    <t>FLX03435</t>
  </si>
  <si>
    <t>Flex volumen para Galaxy J7 J5 G570 G610 Prime</t>
  </si>
  <si>
    <t>FLX00052</t>
  </si>
  <si>
    <t>Flex volumen para Galaxy Nexus I9250</t>
  </si>
  <si>
    <t>FLX02147</t>
  </si>
  <si>
    <t>Flex volumen para Galaxy S6 G920</t>
  </si>
  <si>
    <t>FLX03719</t>
  </si>
  <si>
    <t>Flex volumen para iPad 6 Air 2 silencio microfono</t>
  </si>
  <si>
    <t>FLX02111</t>
  </si>
  <si>
    <t>Flex volumen para iPhone 4 CDMA jack audio</t>
  </si>
  <si>
    <t>FLX03328</t>
  </si>
  <si>
    <t>Flex volumen para iPhone 4 jack silencio blanco</t>
  </si>
  <si>
    <t>FLX03436</t>
  </si>
  <si>
    <t>Flex volumen para iPhone 4 jack silencio negro</t>
  </si>
  <si>
    <t>FLX03303</t>
  </si>
  <si>
    <t>Flex volumen para iPhone 4S jack audio blanco</t>
  </si>
  <si>
    <t>FLX03437</t>
  </si>
  <si>
    <t>Flex volumen para iPhone 4S jack audio negro</t>
  </si>
  <si>
    <t>FLX03353</t>
  </si>
  <si>
    <t>Flex volumen para iPhone 6 4.7 silencio vibracion</t>
  </si>
  <si>
    <t>FLX00212</t>
  </si>
  <si>
    <t>Flex volumen para Oppo A54</t>
  </si>
  <si>
    <t>Flux 150Gr</t>
  </si>
  <si>
    <t>Fuente poder para Xbox One</t>
  </si>
  <si>
    <t>FLX03291</t>
  </si>
  <si>
    <t>Funda para Galaxy S3 S4 S5 deportiva neopreno</t>
  </si>
  <si>
    <t>FLX03332</t>
  </si>
  <si>
    <t>Funda para iPhone 12 / Pro acrigel 1</t>
  </si>
  <si>
    <t>FLX01264</t>
  </si>
  <si>
    <t>Funda para iPhone 12 / Pro acrigel 2</t>
  </si>
  <si>
    <t>FLX02892</t>
  </si>
  <si>
    <t>Funda para iPhone 12 Pro Max acrigel 1</t>
  </si>
  <si>
    <t>FLX01265</t>
  </si>
  <si>
    <t>Funda para iPhone 12 Pro Max acrigel 2</t>
  </si>
  <si>
    <t>FLX02891</t>
  </si>
  <si>
    <t>Funda para iPhone 5 5S 4 4S armband neopreno gris</t>
  </si>
  <si>
    <t>Funda para iPhone 5 5S 4 4S trote armband gris</t>
  </si>
  <si>
    <t>FLX03245</t>
  </si>
  <si>
    <t>Funda para iPhone 5 5S 4 4S trote armband negro</t>
  </si>
  <si>
    <t>FLX03589</t>
  </si>
  <si>
    <t>Funda para iPhone 5 traslucida delgada rojo</t>
  </si>
  <si>
    <t>FLX03556</t>
  </si>
  <si>
    <t>Funda para iPhone 6 Plus absorbente neopreno azul</t>
  </si>
  <si>
    <t>FLX03246</t>
  </si>
  <si>
    <t>Funda para iPhone 6 Plus negro absorbente neopreno</t>
  </si>
  <si>
    <t>Goma home para iPhone 5S</t>
  </si>
  <si>
    <t>FLX03462</t>
  </si>
  <si>
    <t>Goma pata tapa para MacBook Air</t>
  </si>
  <si>
    <t>Goma pata tapa para MacBook Pro 1</t>
  </si>
  <si>
    <t>Goma pata tapa para MacBook Pro 2</t>
  </si>
  <si>
    <t>FLX02011</t>
  </si>
  <si>
    <t>Goma pata tapa para MacBook Pro 3</t>
  </si>
  <si>
    <t>Goma pata tapa para MacBook Pro Retina 1</t>
  </si>
  <si>
    <t>Goma pata tapa para MacBook Pro Retina 12"</t>
  </si>
  <si>
    <t>FLX01407</t>
  </si>
  <si>
    <t>Goma pata tapa para MacBook Pro Retina 2</t>
  </si>
  <si>
    <t>FLX01937</t>
  </si>
  <si>
    <t>Goma pata tapa para MacBook Pro Retina A170</t>
  </si>
  <si>
    <t>FLX01408</t>
  </si>
  <si>
    <t>Goma pata tapa para MacBook Pro Touch Bar A19X</t>
  </si>
  <si>
    <t>FLX01409</t>
  </si>
  <si>
    <t>Goma pata tapa para MacBook Pro Touch Bar A21X</t>
  </si>
  <si>
    <t>FLX01410</t>
  </si>
  <si>
    <t>Goma pata tapa para MacBook Pro Touch Bar A22X</t>
  </si>
  <si>
    <t>Grapa sujetador clip 1 piezas para iPad</t>
  </si>
  <si>
    <t>FLX03500</t>
  </si>
  <si>
    <t>Guia 24hrs Fedex SO</t>
  </si>
  <si>
    <t>Guia estafeta 24hrs</t>
  </si>
  <si>
    <t>Guia redpack terrestre 2 a 5 dias habiles</t>
  </si>
  <si>
    <t>Herramienta separador eslabon reloj</t>
  </si>
  <si>
    <t>Hilo molibdeno 100m separador</t>
  </si>
  <si>
    <t>FLX03774</t>
  </si>
  <si>
    <t>Inversor de corriente 150W 110V</t>
  </si>
  <si>
    <t>FLX03283</t>
  </si>
  <si>
    <t>Jack audio de control Xbox One Slim</t>
  </si>
  <si>
    <t>Jack audio para PlayStation PS4 030 040 050</t>
  </si>
  <si>
    <t>FLX00746</t>
  </si>
  <si>
    <t>Jeringa Flux 223 10CC</t>
  </si>
  <si>
    <t>FLX02802</t>
  </si>
  <si>
    <t>Jeringa Flux Amtech 559 10CC</t>
  </si>
  <si>
    <t>FLX02804</t>
  </si>
  <si>
    <t>Jeringa Flux FeredEx 559 10CC</t>
  </si>
  <si>
    <t>FLX02800</t>
  </si>
  <si>
    <t>Jeringa Flux Mechanic 559 10CC</t>
  </si>
  <si>
    <t>FLX02801</t>
  </si>
  <si>
    <t>Jeringa soldadura pasta SN63PB37 183 grados 20grs</t>
  </si>
  <si>
    <t>FLX02643</t>
  </si>
  <si>
    <t>Joystick control para Xbox One Aluminio azul</t>
  </si>
  <si>
    <t>Joystick control para Xbox One Aluminio morado</t>
  </si>
  <si>
    <t>FLX01023</t>
  </si>
  <si>
    <t>Joystick control para Xbox One Aluminio negro</t>
  </si>
  <si>
    <t>FLX01022</t>
  </si>
  <si>
    <t>Joystick control para Xbox One Aluminio Plata</t>
  </si>
  <si>
    <t>Joystick control para Xbox One Aluminio rojo</t>
  </si>
  <si>
    <t>FLX01024</t>
  </si>
  <si>
    <t>Joystick control para Xbox One Aluminio rosa</t>
  </si>
  <si>
    <t>FLX01027</t>
  </si>
  <si>
    <t>Joystick control para Xbox One Aluminio verde</t>
  </si>
  <si>
    <t>FLX01025</t>
  </si>
  <si>
    <t>Joystick control para Xbox One solido turquesa</t>
  </si>
  <si>
    <t>FLX03935</t>
  </si>
  <si>
    <t>Joystick control para Xbox One traslucido blanco</t>
  </si>
  <si>
    <t>FLX03266</t>
  </si>
  <si>
    <t>Joystick control para Xbox One traslucido rojo</t>
  </si>
  <si>
    <t>FLX03268</t>
  </si>
  <si>
    <t>Joystick control para Xbox One traslucido rosa</t>
  </si>
  <si>
    <t>FLX03265</t>
  </si>
  <si>
    <t>Joystick control para Xbox One traslucido verde</t>
  </si>
  <si>
    <t>FLX03267</t>
  </si>
  <si>
    <t>Joystick control Xbox One traslucido morado</t>
  </si>
  <si>
    <t>FLX03264</t>
  </si>
  <si>
    <t>Joystick control Xbox One traslucido negro</t>
  </si>
  <si>
    <t>FLX03263</t>
  </si>
  <si>
    <t>Joystick perilla control para PlayStation PS4</t>
  </si>
  <si>
    <t>FLX02285</t>
  </si>
  <si>
    <t>Joystick perilla control para Xbox 360 gris</t>
  </si>
  <si>
    <t>FLX02314</t>
  </si>
  <si>
    <t>Joystick perilla control para Xbox 360 negro</t>
  </si>
  <si>
    <t>FLX02315</t>
  </si>
  <si>
    <t>Joystick perilla control para Xbox One</t>
  </si>
  <si>
    <t>Joystick perilla para Nintendo 3DS</t>
  </si>
  <si>
    <t>FLX02873</t>
  </si>
  <si>
    <t>Joystick perilla para Nintendo 3DS gris</t>
  </si>
  <si>
    <t>FLX02872</t>
  </si>
  <si>
    <t>Joystick perilla para Nintendo 3DS negro</t>
  </si>
  <si>
    <t>FLX02888</t>
  </si>
  <si>
    <t>Joystick perilla para Nintendo Gamecube blanco</t>
  </si>
  <si>
    <t>FLX01944</t>
  </si>
  <si>
    <t>Joystick perilla para Nintendo N64</t>
  </si>
  <si>
    <t>Joystick perilla para Nintendo New 3DS</t>
  </si>
  <si>
    <t>FLX02874</t>
  </si>
  <si>
    <t>Joystick perilla para Nintendo Switch azul</t>
  </si>
  <si>
    <t>Joystick perilla para Nintendo Switch negro</t>
  </si>
  <si>
    <t>Joystick perilla para Nintendo Switch rojo</t>
  </si>
  <si>
    <t>Joystick perilla para Nintendo Wii Izq + Dcha</t>
  </si>
  <si>
    <t>FLX02875</t>
  </si>
  <si>
    <t>Joystick potenciometro control Xbox One 1</t>
  </si>
  <si>
    <t>Joystick potenciometro control Xbox One 2</t>
  </si>
  <si>
    <t>FLX02518</t>
  </si>
  <si>
    <t>Juego 12 bracket pzas para iPhone 4S</t>
  </si>
  <si>
    <t>FLX02105</t>
  </si>
  <si>
    <t>Juego de tornillos para iPhone 3G 3GS</t>
  </si>
  <si>
    <t>FLX03308</t>
  </si>
  <si>
    <t>Juego kit marcos para Galaxy Note 2 gris</t>
  </si>
  <si>
    <t>FLX02112</t>
  </si>
  <si>
    <t>Junta burlete goma boton sello para iPhone 5</t>
  </si>
  <si>
    <t>FLX03413</t>
  </si>
  <si>
    <t>Kit 10 espatula plastica 15CM negro</t>
  </si>
  <si>
    <t>Kit 17 herramientas para tablets BST602</t>
  </si>
  <si>
    <t>FLX01129</t>
  </si>
  <si>
    <t>Kit 3 circuito tester probador centro carga USB</t>
  </si>
  <si>
    <t>Kit 37 base montura para GoPro</t>
  </si>
  <si>
    <t>FLX01517</t>
  </si>
  <si>
    <t>Kit 5 pcs espuma fijadora altavoz para iPhone 5</t>
  </si>
  <si>
    <t>FLX03457</t>
  </si>
  <si>
    <t>Kit 50 base montura para GoPro</t>
  </si>
  <si>
    <t>FLX01518</t>
  </si>
  <si>
    <t>Kit 7 potenciometro para Xbox One T6 T8</t>
  </si>
  <si>
    <t>FLX02502</t>
  </si>
  <si>
    <t>Kit 8 herramientas para Xbox</t>
  </si>
  <si>
    <t>Kit adhesivo tarjeta logica para iPhone 11</t>
  </si>
  <si>
    <t>FLX02783</t>
  </si>
  <si>
    <t>Kit adhesivo tarjeta logica para iPhone 11P / PM</t>
  </si>
  <si>
    <t>FLX02784</t>
  </si>
  <si>
    <t>Kit adhesivo tarjeta logica para iPhone 12 / 12P</t>
  </si>
  <si>
    <t>FLX02786</t>
  </si>
  <si>
    <t>Kit adhesivo tarjeta logica para iPhone 12 Mini</t>
  </si>
  <si>
    <t>FLX02785</t>
  </si>
  <si>
    <t>Kit adhesivo tarjeta logica para iPhone 12PM</t>
  </si>
  <si>
    <t>FLX02787</t>
  </si>
  <si>
    <t>Kit adhesivo tarjeta logica para iPhone 13</t>
  </si>
  <si>
    <t>FLX02789</t>
  </si>
  <si>
    <t>Kit adhesivo tarjeta logica para iPhone 13 Mini</t>
  </si>
  <si>
    <t>FLX02788</t>
  </si>
  <si>
    <t>Kit adhesivo tarjeta logica para iPhone 13P</t>
  </si>
  <si>
    <t>FLX02790</t>
  </si>
  <si>
    <t>Kit adhesivo tarjeta logica para iPhone 13PM</t>
  </si>
  <si>
    <t>FLX02791</t>
  </si>
  <si>
    <t>Kit adhesivo tarjeta logica para iPhone 14 / 14P</t>
  </si>
  <si>
    <t>FLX02792</t>
  </si>
  <si>
    <t>Kit adhesivo tarjeta logica para iPhone 14 P / PM</t>
  </si>
  <si>
    <t>FLX02793</t>
  </si>
  <si>
    <t>Kit adhesivo tarjeta logica para iPhone X</t>
  </si>
  <si>
    <t>FLX02711</t>
  </si>
  <si>
    <t>Kit adhesivo tarjeta logica para iPhone XR</t>
  </si>
  <si>
    <t>FLX02782</t>
  </si>
  <si>
    <t>Kit adhesivo tarjeta logica para iPhone XS</t>
  </si>
  <si>
    <t>FLX02780</t>
  </si>
  <si>
    <t>Kit adhesivo tarjeta logica para iPhone XS Max</t>
  </si>
  <si>
    <t>FLX02781</t>
  </si>
  <si>
    <t>Kit desarmador herramientas mango dado 32 verde 1</t>
  </si>
  <si>
    <t>FLX01035</t>
  </si>
  <si>
    <t>Kit desarmador herramientas mango dado 32 verde 2</t>
  </si>
  <si>
    <t>FLX02010</t>
  </si>
  <si>
    <t>Kit desarmador Torx T6 T8 T10 Xbox Herramientas</t>
  </si>
  <si>
    <t>FLX01165</t>
  </si>
  <si>
    <t>Kit herramientas 19 piezas</t>
  </si>
  <si>
    <t>Kit herramientas 54 piezas</t>
  </si>
  <si>
    <t>FLX01034</t>
  </si>
  <si>
    <t>Kit herramientas 75 piezas</t>
  </si>
  <si>
    <t>FLX01131</t>
  </si>
  <si>
    <t>Kit herramientas dado mango 25 puntas cartera 1</t>
  </si>
  <si>
    <t>Kit herramientas dado mango 25 puntas cartera 2</t>
  </si>
  <si>
    <t>FLX02009</t>
  </si>
  <si>
    <t>Kit herramientas desarmadores 10 pzas amarillo</t>
  </si>
  <si>
    <t>FLX01133</t>
  </si>
  <si>
    <t>Kit juego 10 sim tool herramienta ejecucion tipo 1</t>
  </si>
  <si>
    <t>Kit juego 10 sim tool herramienta ejecucion tipo 2</t>
  </si>
  <si>
    <t>Kit juego 10 sim tool herramienta ejecucion tipo 3</t>
  </si>
  <si>
    <t>Kit juego 10 sim tool herramienta ejecucion tipo 4</t>
  </si>
  <si>
    <t>Kit juego 10 sim tool herramienta ejecucion tipo 5</t>
  </si>
  <si>
    <t>Kit juego 10 sim tool herramienta ejecucion tipo 6</t>
  </si>
  <si>
    <t>Kit juego 100 sim tool herramienta ejecucion</t>
  </si>
  <si>
    <t>Kit juego 19 tornillos consola para Xbox One</t>
  </si>
  <si>
    <t>Kit juego 2 sim tool herramienta ejecucion</t>
  </si>
  <si>
    <t>FLX01788</t>
  </si>
  <si>
    <t>Kit juego 4 tornillo para Joycon Nintendo Switch</t>
  </si>
  <si>
    <t>FLX01053</t>
  </si>
  <si>
    <t>Kit juego cepillos 6pzas negros 1</t>
  </si>
  <si>
    <t>FLX00631</t>
  </si>
  <si>
    <t>Kit juego cepillos 6pzas negros 2</t>
  </si>
  <si>
    <t>FLX02008</t>
  </si>
  <si>
    <t>Kit Juego espatula apertura 3 piezas 1</t>
  </si>
  <si>
    <t>Kit Juego espatula apertura 3 piezas 2</t>
  </si>
  <si>
    <t>Kit juego Herramientas 10 pzas para tablet</t>
  </si>
  <si>
    <t>Kit juego herramientas 16 pzas para tablet 1</t>
  </si>
  <si>
    <t>Kit juego herramientas 16 pzas para tablet 2</t>
  </si>
  <si>
    <t>Kit juego herramientas 17 pzas 2288 1</t>
  </si>
  <si>
    <t>FLX01136</t>
  </si>
  <si>
    <t>Kit juego herramientas 17 pzas 2288 2</t>
  </si>
  <si>
    <t>FLX02005</t>
  </si>
  <si>
    <t>Kit juego herramientas 21 pzas con 6 desarmadores</t>
  </si>
  <si>
    <t>FLX01815</t>
  </si>
  <si>
    <t>Kit juego herramientas 21 pzas para tablet 1</t>
  </si>
  <si>
    <t>Kit juego herramientas 21 pzas para tablet 2</t>
  </si>
  <si>
    <t>FLX02004</t>
  </si>
  <si>
    <t>Kit juego herramientas 24 pzas 1</t>
  </si>
  <si>
    <t>FLX00624</t>
  </si>
  <si>
    <t>Kit juego herramientas 24 pzas 2</t>
  </si>
  <si>
    <t>FLX02003</t>
  </si>
  <si>
    <t>Kit juego herramientas 25 pzas A103</t>
  </si>
  <si>
    <t>FLX00708</t>
  </si>
  <si>
    <t>Kit juego herramientas 25 pzas HH-026</t>
  </si>
  <si>
    <t>FLX01138</t>
  </si>
  <si>
    <t>Kit juego herramientas 8 desarmadores</t>
  </si>
  <si>
    <t>FLX01139</t>
  </si>
  <si>
    <t>Kit juego herramientas iPhone 8 piezas basico 1</t>
  </si>
  <si>
    <t>FLX01140</t>
  </si>
  <si>
    <t>Kit juego herramientas iPhone 8 piezas basico 2</t>
  </si>
  <si>
    <t>FLX02002</t>
  </si>
  <si>
    <t>Kit juego herramientas mango dado 16 puntas</t>
  </si>
  <si>
    <t>FLX01128</t>
  </si>
  <si>
    <t>Kit juego pinzas con estuche 9pzas negras</t>
  </si>
  <si>
    <t>Kit juego pinzas plasticas 8pzas negras</t>
  </si>
  <si>
    <t>Kit Juego Pinzas sujetadora 6pzas negras 1</t>
  </si>
  <si>
    <t>FLX01153</t>
  </si>
  <si>
    <t>Kit Juego Pinzas sujetadora 6pzas negras 2</t>
  </si>
  <si>
    <t>FLX02001</t>
  </si>
  <si>
    <t>Kit limpieza brocha solucion soplador 4 piezas</t>
  </si>
  <si>
    <t>FLX03918</t>
  </si>
  <si>
    <t>Kit para iPad 3 / 4 adhesivo bracket home camara</t>
  </si>
  <si>
    <t>FLX02926</t>
  </si>
  <si>
    <t>Kit stencil para iPhone 6 - X 9 pzas en 1</t>
  </si>
  <si>
    <t>Kit stencil para iPhone X - 15 7 pzas en 1</t>
  </si>
  <si>
    <t>FLX02803</t>
  </si>
  <si>
    <t>Kit tornillos completos para iPhone 4</t>
  </si>
  <si>
    <t>FLX03320</t>
  </si>
  <si>
    <t>Kit tornillos completos para iPhone 4S</t>
  </si>
  <si>
    <t>FLX01817</t>
  </si>
  <si>
    <t>Kit tornillos completos para iPhone 5 negro</t>
  </si>
  <si>
    <t>FLX03396</t>
  </si>
  <si>
    <t>Kit tornillos para Macbook Pro Retina 1</t>
  </si>
  <si>
    <t>Kit tornillos para Macbook Pro Retina 2</t>
  </si>
  <si>
    <t>FLX02000</t>
  </si>
  <si>
    <t>Kit tornillos para Nexus 4</t>
  </si>
  <si>
    <t>FLX01054</t>
  </si>
  <si>
    <t>Kit tornillos trackpad touchpad para Macbook Pro</t>
  </si>
  <si>
    <t>FLX01055</t>
  </si>
  <si>
    <t>Lampara arnes cabeza 800Lm 3W COB</t>
  </si>
  <si>
    <t>FLX03762</t>
  </si>
  <si>
    <t>Lampara minera arnes cabeza 1 foco T6</t>
  </si>
  <si>
    <t>FLX01519</t>
  </si>
  <si>
    <t>Lampara minera arnes cabeza 3 focos T6</t>
  </si>
  <si>
    <t>FLX01040</t>
  </si>
  <si>
    <t>Lampara minera arnes cabeza 5 focos T6</t>
  </si>
  <si>
    <t>FLX01041</t>
  </si>
  <si>
    <t>Lector SD para Galaxy S2 i9100</t>
  </si>
  <si>
    <t>FLX03255</t>
  </si>
  <si>
    <t>Lector sim para Galaxy A3 A5 A7 2015</t>
  </si>
  <si>
    <t>FLX01821</t>
  </si>
  <si>
    <t>Lector sim para Galaxy Ace S5830</t>
  </si>
  <si>
    <t>FLX01890</t>
  </si>
  <si>
    <t>Lector sim para Galaxy Nexus I9250</t>
  </si>
  <si>
    <t>FLX03257</t>
  </si>
  <si>
    <t>Lector sim para Galaxy S2 I9100</t>
  </si>
  <si>
    <t>FLX03254</t>
  </si>
  <si>
    <t>Lector sim para Galaxy S2 i9100 2</t>
  </si>
  <si>
    <t>FLX02132</t>
  </si>
  <si>
    <t>Lector sim para HTC 626 828</t>
  </si>
  <si>
    <t>FLX02093</t>
  </si>
  <si>
    <t>Lector sim para HTC U11</t>
  </si>
  <si>
    <t>FLX02184</t>
  </si>
  <si>
    <t>Lector sim para Huawei P8 GRA-l09</t>
  </si>
  <si>
    <t>FLX03256</t>
  </si>
  <si>
    <t>Lector sim para iPhone 3G</t>
  </si>
  <si>
    <t>FLX03261</t>
  </si>
  <si>
    <t>Lector sim para iPhone 3GS</t>
  </si>
  <si>
    <t>FLX03260</t>
  </si>
  <si>
    <t>Lector sim para iPhone 5</t>
  </si>
  <si>
    <t>FLX03259</t>
  </si>
  <si>
    <t>Lector sim para iPhone 5S y 5C</t>
  </si>
  <si>
    <t>FLX01774</t>
  </si>
  <si>
    <t>Lector sim para iPhone 6 y 6 Plus</t>
  </si>
  <si>
    <t>FLX00436</t>
  </si>
  <si>
    <t>Lector sim para iPhone 6S</t>
  </si>
  <si>
    <t>FLX01773</t>
  </si>
  <si>
    <t>Lector sim para iPhone 6S Plus</t>
  </si>
  <si>
    <t>FLX03258</t>
  </si>
  <si>
    <t>Lector sim para LG G3 D850</t>
  </si>
  <si>
    <t>FLX01803</t>
  </si>
  <si>
    <t>Lector sim para LG Nexus 5 D820</t>
  </si>
  <si>
    <t>FLX02186</t>
  </si>
  <si>
    <t>Lector sim para Moto G3 XT1541</t>
  </si>
  <si>
    <t>FLX02243</t>
  </si>
  <si>
    <t>Lector sim para Xperia C5</t>
  </si>
  <si>
    <t>FLX03250</t>
  </si>
  <si>
    <t>Lector sim para Xperia M5</t>
  </si>
  <si>
    <t>FLX01795</t>
  </si>
  <si>
    <t>Lente camara marco para Galaxy A3 A5 A7 2016 gris</t>
  </si>
  <si>
    <t>FLX00405</t>
  </si>
  <si>
    <t>Lente camara marco para Galaxy A3 A5 A7 2016 oro</t>
  </si>
  <si>
    <t>FLX00370</t>
  </si>
  <si>
    <t>Lente camara marco para Galaxy A3 A5 A7 2016 plata</t>
  </si>
  <si>
    <t>FLX00396</t>
  </si>
  <si>
    <t>Lente camara marco para Galaxy A3 A5 A7 2016 rosa</t>
  </si>
  <si>
    <t>FLX00847</t>
  </si>
  <si>
    <t>Lente camara marco para Galaxy A5 A500 2015 negro</t>
  </si>
  <si>
    <t>FLX01842</t>
  </si>
  <si>
    <t>Lente camara marco para Galaxy J5 J7 2016 oro</t>
  </si>
  <si>
    <t>FLX01823</t>
  </si>
  <si>
    <t>Lente camara marco para Galaxy J5 J7 2016 plata</t>
  </si>
  <si>
    <t>FLX03766</t>
  </si>
  <si>
    <t>Lente camara marco para Galaxy Note 4 N910 negro</t>
  </si>
  <si>
    <t>FLX03531</t>
  </si>
  <si>
    <t>Lente camara marco para Galaxy Note 4 N910 oro</t>
  </si>
  <si>
    <t>FLX01839</t>
  </si>
  <si>
    <t>Lente camara marco para Galaxy Note 4 N910 rosa</t>
  </si>
  <si>
    <t>FLX03533</t>
  </si>
  <si>
    <t>Lente camara marco para Galaxy S5 G900 oro</t>
  </si>
  <si>
    <t>FLX01799</t>
  </si>
  <si>
    <t>Lente camara marco para Galaxy S5 G900 plata</t>
  </si>
  <si>
    <t>FLX01735</t>
  </si>
  <si>
    <t>Lente camara marco para Galaxy S6 Edge G925 azul</t>
  </si>
  <si>
    <t>FLX01918</t>
  </si>
  <si>
    <t>Lente camara marco para Galaxy S6 Edge G925 blanco</t>
  </si>
  <si>
    <t>FLX01919</t>
  </si>
  <si>
    <t>Lente camara marco para Galaxy S6 Edge G925 oro</t>
  </si>
  <si>
    <t>FLX01921</t>
  </si>
  <si>
    <t>Lente camara marco para Galaxy S6 Edge G925 verde</t>
  </si>
  <si>
    <t>FLX01920</t>
  </si>
  <si>
    <t>Lente camara marco para Galaxy S6 G920 azul</t>
  </si>
  <si>
    <t>FLX01761</t>
  </si>
  <si>
    <t>Lente camara marco para Galaxy S6 G920 blanco</t>
  </si>
  <si>
    <t>FLX00831</t>
  </si>
  <si>
    <t>Lente camara marco para Galaxy S6 G920 oro</t>
  </si>
  <si>
    <t>FLX00834</t>
  </si>
  <si>
    <t>Lente camara marco para Galaxy S7 G930 azul</t>
  </si>
  <si>
    <t>FLX01763</t>
  </si>
  <si>
    <t>Lente camara marco para Galaxy S7 G930 rosa</t>
  </si>
  <si>
    <t>FLX01764</t>
  </si>
  <si>
    <t>Lente camara marco para iPhone 8 Plus negro</t>
  </si>
  <si>
    <t>FLX03867</t>
  </si>
  <si>
    <t>Lente camara para BlackBerry Curve 8900 negro</t>
  </si>
  <si>
    <t>FLX02658</t>
  </si>
  <si>
    <t>Lente camara para BlackBerry Storm 9500 negro</t>
  </si>
  <si>
    <t>FLX03547</t>
  </si>
  <si>
    <t>Lente camara para Galaxy A02 A022</t>
  </si>
  <si>
    <t>Lente camara para Galaxy A10 A20 A30 A40 1</t>
  </si>
  <si>
    <t>FLX00418</t>
  </si>
  <si>
    <t>Lente camara para Galaxy A10 A20 A30 A40 2</t>
  </si>
  <si>
    <t>FLX01988</t>
  </si>
  <si>
    <t>Lente camara para Galaxy A10S A107</t>
  </si>
  <si>
    <t>FLX00424</t>
  </si>
  <si>
    <t>Lente camara para Galaxy A11 A115</t>
  </si>
  <si>
    <t>Lente camara para Galaxy A12 A125</t>
  </si>
  <si>
    <t>Lente camara para Galaxy A21S A217</t>
  </si>
  <si>
    <t>FLX00776</t>
  </si>
  <si>
    <t>Lente camara para Galaxy A22 A225 4G</t>
  </si>
  <si>
    <t>FLX00783</t>
  </si>
  <si>
    <t>Lente camara para Galaxy A3 A300 2015</t>
  </si>
  <si>
    <t>FLX00832</t>
  </si>
  <si>
    <t>Lente camara para Galaxy A3 A5 A7 2016</t>
  </si>
  <si>
    <t>FLX01777</t>
  </si>
  <si>
    <t>Lente camara para Galaxy A3 A5 A7 2017</t>
  </si>
  <si>
    <t>FLX01416</t>
  </si>
  <si>
    <t>Lente camara para Galaxy A5 A500 2015</t>
  </si>
  <si>
    <t>FLX03572</t>
  </si>
  <si>
    <t>Lente camara para Galaxy A50 A505 1</t>
  </si>
  <si>
    <t>FLX00603</t>
  </si>
  <si>
    <t>Lente camara para Galaxy A50 A505 2</t>
  </si>
  <si>
    <t>FLX01987</t>
  </si>
  <si>
    <t>Lente camara para Galaxy A51 A515</t>
  </si>
  <si>
    <t>FLX00426</t>
  </si>
  <si>
    <t>Lente camara para Galaxy A6+ A605 A6S 1</t>
  </si>
  <si>
    <t>FLX00416</t>
  </si>
  <si>
    <t>Lente camara para Galaxy A6+ A605 A6S 2</t>
  </si>
  <si>
    <t>FLX01428</t>
  </si>
  <si>
    <t>Lente camara para Galaxy A7 A700 2015</t>
  </si>
  <si>
    <t>FLX01965</t>
  </si>
  <si>
    <t>Lente camara para Galaxy A71 A715</t>
  </si>
  <si>
    <t>FLX01429</t>
  </si>
  <si>
    <t>Lente camara para Galaxy A9 A920 2018</t>
  </si>
  <si>
    <t>FLX00417</t>
  </si>
  <si>
    <t>Lente camara para Galaxy Alpha G850</t>
  </si>
  <si>
    <t>FLX01894</t>
  </si>
  <si>
    <t>Lente camara para Galaxy Core I8260</t>
  </si>
  <si>
    <t>FLX00836</t>
  </si>
  <si>
    <t>Lente camara para Galaxy Grand Prime G530</t>
  </si>
  <si>
    <t>FLX01759</t>
  </si>
  <si>
    <t>Lente camara para Galaxy J5 J500 2015</t>
  </si>
  <si>
    <t>FLX03848</t>
  </si>
  <si>
    <t>Lente camara para Galaxy J5 J510 J7 J710 2016</t>
  </si>
  <si>
    <t>FLX03795</t>
  </si>
  <si>
    <t>Lente camara para Galaxy Mega I9200</t>
  </si>
  <si>
    <t>FLX02083</t>
  </si>
  <si>
    <t>Lente camara para Galaxy Nexus I9250</t>
  </si>
  <si>
    <t>FLX02146</t>
  </si>
  <si>
    <t>Lente camara para Galaxy Note 2 N7100</t>
  </si>
  <si>
    <t>FLX03519</t>
  </si>
  <si>
    <t>Lente camara para Galaxy Note 3 N900 blanco</t>
  </si>
  <si>
    <t>FLX01810</t>
  </si>
  <si>
    <t>Lente camara para Galaxy Note 3 N900 negro</t>
  </si>
  <si>
    <t>FLX01775</t>
  </si>
  <si>
    <t>Lente camara para Galaxy Note 3 N900 rosa</t>
  </si>
  <si>
    <t>FLX01968</t>
  </si>
  <si>
    <t>Lente camara para Galaxy Note 3 Neo N7505 plata</t>
  </si>
  <si>
    <t>FLX02178</t>
  </si>
  <si>
    <t>Lente camara para Galaxy Note 4 N910</t>
  </si>
  <si>
    <t>FLX03785</t>
  </si>
  <si>
    <t>Lente camara para Galaxy Note 5 N920</t>
  </si>
  <si>
    <t>FLX02190</t>
  </si>
  <si>
    <t>Lente camara para Galaxy Note 8 N950</t>
  </si>
  <si>
    <t>FLX00601</t>
  </si>
  <si>
    <t>Lente camara para Galaxy Note 9 N960 azul</t>
  </si>
  <si>
    <t>FLX02333</t>
  </si>
  <si>
    <t>Lente camara para Galaxy Note 9 N960 negro</t>
  </si>
  <si>
    <t>FLX02507</t>
  </si>
  <si>
    <t>Lente camara para Galaxy Note Edge N915 blanco</t>
  </si>
  <si>
    <t>FLX00411</t>
  </si>
  <si>
    <t>Lente camara para Galaxy Note Edge N915 negro</t>
  </si>
  <si>
    <t>FLX00431</t>
  </si>
  <si>
    <t>Lente camara para Galaxy Note Edge N915 oro</t>
  </si>
  <si>
    <t>FLX00472</t>
  </si>
  <si>
    <t>Lente camara para Galaxy Note N7000 negro</t>
  </si>
  <si>
    <t>FLX01941</t>
  </si>
  <si>
    <t>Lente camara para Galaxy Note N7000 plata</t>
  </si>
  <si>
    <t>FLX01942</t>
  </si>
  <si>
    <t>Lente camara para Galaxy S10 G973</t>
  </si>
  <si>
    <t>FLX00780</t>
  </si>
  <si>
    <t>Lente camara para Galaxy S10 Plus G975</t>
  </si>
  <si>
    <t>FLX00739</t>
  </si>
  <si>
    <t>Lente camara para Galaxy S2 I9100 plata</t>
  </si>
  <si>
    <t>FLX01865</t>
  </si>
  <si>
    <t>Lente camara para Galaxy S20 Ultra G988</t>
  </si>
  <si>
    <t>Lente camara para Galaxy S3 I747</t>
  </si>
  <si>
    <t>FLX01846</t>
  </si>
  <si>
    <t>Lente camara para Galaxy S3 Mini I8190</t>
  </si>
  <si>
    <t>FLX01793</t>
  </si>
  <si>
    <t>Lente camara para Galaxy S4 I9500</t>
  </si>
  <si>
    <t>FLX01783</t>
  </si>
  <si>
    <t>Lente camara para Galaxy S4 Mini I9195</t>
  </si>
  <si>
    <t>FLX02128</t>
  </si>
  <si>
    <t>Lente camara para Galaxy S5 Mini G800</t>
  </si>
  <si>
    <t>FLX01972</t>
  </si>
  <si>
    <t>Lente camara para Galaxy S6 Edge G925 blanco</t>
  </si>
  <si>
    <t>FLX01917</t>
  </si>
  <si>
    <t>Lente camara para Galaxy S6 Edge G925 oro</t>
  </si>
  <si>
    <t>FLX01916</t>
  </si>
  <si>
    <t>Lente camara para Galaxy S6 Edge Plus G928 azul</t>
  </si>
  <si>
    <t>FLX01930</t>
  </si>
  <si>
    <t>Lente camara para Galaxy S6 Edge Plus G928 oro</t>
  </si>
  <si>
    <t>FLX01929</t>
  </si>
  <si>
    <t>Lente camara para Galaxy S6 Edge Plus G928 plata</t>
  </si>
  <si>
    <t>FLX01931</t>
  </si>
  <si>
    <t>Lente camara para Galaxy S7 Active G891</t>
  </si>
  <si>
    <t>FLX01807</t>
  </si>
  <si>
    <t>Lente camara para Galaxy S7 y S7 Edge</t>
  </si>
  <si>
    <t>FLX01737</t>
  </si>
  <si>
    <t>Lente camara para Galaxy S8 G950 azul</t>
  </si>
  <si>
    <t>FLX01910</t>
  </si>
  <si>
    <t>Lente camara para Galaxy S8 G950 morado</t>
  </si>
  <si>
    <t>FLX01909</t>
  </si>
  <si>
    <t>Lente camara para Galaxy S8 G950 negro</t>
  </si>
  <si>
    <t>FLX01908</t>
  </si>
  <si>
    <t>Lente camara para Galaxy S8 G950 oro</t>
  </si>
  <si>
    <t>FLX01907</t>
  </si>
  <si>
    <t>Lente camara para Galaxy S8 G950 plata</t>
  </si>
  <si>
    <t>FLX01906</t>
  </si>
  <si>
    <t>Lente camara para Galaxy S8 Plus G955 azul</t>
  </si>
  <si>
    <t>FLX02066</t>
  </si>
  <si>
    <t>Lente camara para Galaxy S8 Plus G955 morado</t>
  </si>
  <si>
    <t>FLX02065</t>
  </si>
  <si>
    <t>Lente camara para Galaxy S8 Plus G955 negro</t>
  </si>
  <si>
    <t>FLX02064</t>
  </si>
  <si>
    <t>Lente camara para Galaxy S8 Plus G955 oro</t>
  </si>
  <si>
    <t>FLX02063</t>
  </si>
  <si>
    <t>Lente camara para Galaxy S8 Plus G955 plata</t>
  </si>
  <si>
    <t>FLX02062</t>
  </si>
  <si>
    <t>Lente camara para Galaxy S8 y S8 Plus</t>
  </si>
  <si>
    <t>FLX01778</t>
  </si>
  <si>
    <t>Lente camara para Galaxy S9 G960 1</t>
  </si>
  <si>
    <t>FLX01417</t>
  </si>
  <si>
    <t>Lente camara para Galaxy S9 G960 2</t>
  </si>
  <si>
    <t>Lente camara para Galaxy S9 Plus G965 1</t>
  </si>
  <si>
    <t>FLX01427</t>
  </si>
  <si>
    <t>Lente camara para Galaxy S9 Plus G965 2</t>
  </si>
  <si>
    <t>FLX02636</t>
  </si>
  <si>
    <t>Lente camara para Galaxy Tab 3 T210</t>
  </si>
  <si>
    <t>FLX02127</t>
  </si>
  <si>
    <t>Lente camara para Galaxy Win i8552</t>
  </si>
  <si>
    <t>FLX02158</t>
  </si>
  <si>
    <t>Lente camara para HTC 10</t>
  </si>
  <si>
    <t>FLX01943</t>
  </si>
  <si>
    <t>Lente camara para HTC A9</t>
  </si>
  <si>
    <t>FLX01891</t>
  </si>
  <si>
    <t>Lente camara para HTC Desire G7</t>
  </si>
  <si>
    <t>FLX03549</t>
  </si>
  <si>
    <t>Lente camara para HTC HD2 T8585</t>
  </si>
  <si>
    <t>FLX03548</t>
  </si>
  <si>
    <t>Lente camara para HTC M8</t>
  </si>
  <si>
    <t>FLX02157</t>
  </si>
  <si>
    <t>Lente camara para Huawei Mate 20 HMA-L29</t>
  </si>
  <si>
    <t>FLX01694</t>
  </si>
  <si>
    <t>Lente camara para Huawei Mate 20 Pro LYA-L09</t>
  </si>
  <si>
    <t>FLX00352</t>
  </si>
  <si>
    <t>Lente camara para Huawei Mate 7 MT7-L09</t>
  </si>
  <si>
    <t>FLX01824</t>
  </si>
  <si>
    <t>Lente camara para Huawei Mate 8 NXT-L09 Oro</t>
  </si>
  <si>
    <t>FLX02037</t>
  </si>
  <si>
    <t>Lente camara para Huawei Nova 3 PAR-LX9</t>
  </si>
  <si>
    <t>FLX00544</t>
  </si>
  <si>
    <t>Lente camara para Huawei P Smart FIG-LX1</t>
  </si>
  <si>
    <t>FLX01418</t>
  </si>
  <si>
    <t>Lente camara para Huawei P10 Selfie BAC-L01</t>
  </si>
  <si>
    <t>FLX03869</t>
  </si>
  <si>
    <t>Lente camara para Huawei P10 VTR-L29 blanco</t>
  </si>
  <si>
    <t>FLX02231</t>
  </si>
  <si>
    <t>Lente camara para Huawei P10 VTR-L29 negro</t>
  </si>
  <si>
    <t>FLX02230</t>
  </si>
  <si>
    <t>Lente camara para Huawei P10 VTR-L29 rosa</t>
  </si>
  <si>
    <t>FLX02229</t>
  </si>
  <si>
    <t>Lente camara para Huawei P20 EML-L29</t>
  </si>
  <si>
    <t>FLX00599</t>
  </si>
  <si>
    <t>Lente camara para Huawei P20 Lite Nova 3E 1</t>
  </si>
  <si>
    <t>FLX00364</t>
  </si>
  <si>
    <t>Lente camara para Huawei P20 Lite Nova 3E 2</t>
  </si>
  <si>
    <t>FLX01786</t>
  </si>
  <si>
    <t>Lente camara para Huawei P30 Lite MAR-LX2 1</t>
  </si>
  <si>
    <t>FLX00355</t>
  </si>
  <si>
    <t>Lente camara para Huawei P30 Lite MAR-LX2 2</t>
  </si>
  <si>
    <t>FLX02329</t>
  </si>
  <si>
    <t>Lente camara para Huawei P40 Lite JNY-L21</t>
  </si>
  <si>
    <t>FLX00653</t>
  </si>
  <si>
    <t>Lente camara para Huawei P8 GRA-L09 blanco</t>
  </si>
  <si>
    <t>FLX03909</t>
  </si>
  <si>
    <t>Lente camara para Huawei P8 GRA-L09 negro</t>
  </si>
  <si>
    <t>FLX03908</t>
  </si>
  <si>
    <t>Lente camara para Huawei P8 Lite ALE-L21 blanco</t>
  </si>
  <si>
    <t>FLX03910</t>
  </si>
  <si>
    <t>Lente camara para Huawei P8 Lite ALE-L21 Negro</t>
  </si>
  <si>
    <t>FLX03911</t>
  </si>
  <si>
    <t>Lente camara para Huawei P9 Leica EVA-L09 oro</t>
  </si>
  <si>
    <t>FLX02060</t>
  </si>
  <si>
    <t>Lente camara para Huawei Y7A P Smart 2021</t>
  </si>
  <si>
    <t>Lente camara para Huawei Y8S 2020</t>
  </si>
  <si>
    <t>FLX00423</t>
  </si>
  <si>
    <t>Lente camara para Huawei Y9S STK-L21</t>
  </si>
  <si>
    <t>Lente camara para iPhone 11</t>
  </si>
  <si>
    <t>FLX00651</t>
  </si>
  <si>
    <t>Lente camara para iPhone 11P</t>
  </si>
  <si>
    <t>FLX00211</t>
  </si>
  <si>
    <t>Lente camara para iPhone 11PM</t>
  </si>
  <si>
    <t>FLX00542</t>
  </si>
  <si>
    <t>Lente camara para iPhone 12 / Mini</t>
  </si>
  <si>
    <t>FLX01744</t>
  </si>
  <si>
    <t>Lente camara para iPhone 12P</t>
  </si>
  <si>
    <t>FLX01743</t>
  </si>
  <si>
    <t>Lente camara para iPhone 12PM</t>
  </si>
  <si>
    <t>FLX01419</t>
  </si>
  <si>
    <t>Lente camara para iPhone 4</t>
  </si>
  <si>
    <t>FLX03473</t>
  </si>
  <si>
    <t>Lente camara para iPhone 5 blanco</t>
  </si>
  <si>
    <t>FLX03551</t>
  </si>
  <si>
    <t>Lente camara para iPhone 5 negro</t>
  </si>
  <si>
    <t>FLX02104</t>
  </si>
  <si>
    <t>Lente camara para iPhone 6 / 6S</t>
  </si>
  <si>
    <t>FLX01852</t>
  </si>
  <si>
    <t>Lente camara para iPhone 6 Plus / 6S Plus</t>
  </si>
  <si>
    <t>FLX00654</t>
  </si>
  <si>
    <t>Lente camara para iPhone 7 / 8</t>
  </si>
  <si>
    <t>Lente camara para iPhone 7 Plus / 8 Plus</t>
  </si>
  <si>
    <t>Lente camara para iPhone 7 Plus / 8 Plus navaja</t>
  </si>
  <si>
    <t>FLX00496</t>
  </si>
  <si>
    <t>Lente camara para iPhone X Negro</t>
  </si>
  <si>
    <t>Lente camara para iPhone XR</t>
  </si>
  <si>
    <t>Lente camara para iPhone XS / XS Max</t>
  </si>
  <si>
    <t>Lente camara para LG Flex D950</t>
  </si>
  <si>
    <t>FLX01841</t>
  </si>
  <si>
    <t>Lente camara para LG G2 D800 blanco</t>
  </si>
  <si>
    <t>FLX01850</t>
  </si>
  <si>
    <t>Lente camara para LG G2 D800 negro</t>
  </si>
  <si>
    <t>FLX01849</t>
  </si>
  <si>
    <t>Lente camara para LG G3 D850 blanco</t>
  </si>
  <si>
    <t>FLX01847</t>
  </si>
  <si>
    <t>Lente camara para LG G3 D850 negro</t>
  </si>
  <si>
    <t>FLX01784</t>
  </si>
  <si>
    <t>Lente camara para LG G3 D850 oro</t>
  </si>
  <si>
    <t>FLX01950</t>
  </si>
  <si>
    <t>Lente camara para LG G4 H815 blanco</t>
  </si>
  <si>
    <t>FLX03700</t>
  </si>
  <si>
    <t>Lente camara para LG G4 H815 negro</t>
  </si>
  <si>
    <t>FLX03701</t>
  </si>
  <si>
    <t>Lente camara para LG G4 H815 oro</t>
  </si>
  <si>
    <t>FLX03702</t>
  </si>
  <si>
    <t>Lente camara para LG G5 H860 negro</t>
  </si>
  <si>
    <t>Lente camara para LG G6 H870 negro</t>
  </si>
  <si>
    <t>FLX03796</t>
  </si>
  <si>
    <t>Lente camara para LG G6 H870 plastico azul</t>
  </si>
  <si>
    <t>FLX03798</t>
  </si>
  <si>
    <t>Lente camara para LG G6 H870 plastico plata</t>
  </si>
  <si>
    <t>FLX03797</t>
  </si>
  <si>
    <t>Lente camara para LG G7 ThinkQ LM-G710</t>
  </si>
  <si>
    <t>FLX02325</t>
  </si>
  <si>
    <t>Lente camara para LG Nexus 4 E960</t>
  </si>
  <si>
    <t>FLX02179</t>
  </si>
  <si>
    <t>Lente camara para LG Nexus 5 D820</t>
  </si>
  <si>
    <t>FLX01798</t>
  </si>
  <si>
    <t>Lente camara para LG Nexus 5X H791</t>
  </si>
  <si>
    <t>FLX01806</t>
  </si>
  <si>
    <t>Lente camara para LG Optimus P880 4X HD</t>
  </si>
  <si>
    <t>FLX02154</t>
  </si>
  <si>
    <t>Lente camara para LG V10 H900 blanco</t>
  </si>
  <si>
    <t>FLX02224</t>
  </si>
  <si>
    <t>Lente camara para LG V10 H900 negro</t>
  </si>
  <si>
    <t>FLX02225</t>
  </si>
  <si>
    <t>Lente camara para LG V10 H900 oro</t>
  </si>
  <si>
    <t>FLX02226</t>
  </si>
  <si>
    <t>Lente camara para LG V20 H910</t>
  </si>
  <si>
    <t>FLX03801</t>
  </si>
  <si>
    <t>Lente camara para Moto E20 XT2155</t>
  </si>
  <si>
    <t>Lente camara para Moto E7 Plus XT2081 1</t>
  </si>
  <si>
    <t>FLX00578</t>
  </si>
  <si>
    <t>Lente camara para Moto E7 Plus XT2081 2</t>
  </si>
  <si>
    <t>FLX01993</t>
  </si>
  <si>
    <t>Lente camara para Moto E7 Power XT2097 1</t>
  </si>
  <si>
    <t>Lente camara para Moto E7 Power XT2097 2</t>
  </si>
  <si>
    <t>FLX01992</t>
  </si>
  <si>
    <t>Lente camara para Moto E7 XT2095 1</t>
  </si>
  <si>
    <t>FLX00579</t>
  </si>
  <si>
    <t>Lente camara para Moto E7 XT2095 2</t>
  </si>
  <si>
    <t>Lente camara para Moto G Stylus XT2115 azul</t>
  </si>
  <si>
    <t>FLX00792</t>
  </si>
  <si>
    <t>Lente camara para Moto G10 XT2127</t>
  </si>
  <si>
    <t>FLX00581</t>
  </si>
  <si>
    <t>Lente camara para Moto G20 XT2128 azul</t>
  </si>
  <si>
    <t>FLX00757</t>
  </si>
  <si>
    <t>Lente camara para Moto G20 XT2128 rosa</t>
  </si>
  <si>
    <t>FLX01423</t>
  </si>
  <si>
    <t>Lente camara para Moto G30 gris</t>
  </si>
  <si>
    <t>FLX01692</t>
  </si>
  <si>
    <t>Lente camara para Moto G4 Plus XT1644</t>
  </si>
  <si>
    <t>FLX01425</t>
  </si>
  <si>
    <t>Lente camara para Moto G4 XT1625</t>
  </si>
  <si>
    <t>FLX01424</t>
  </si>
  <si>
    <t>Lente camara para Moto G5 XT1672</t>
  </si>
  <si>
    <t>FLX02244</t>
  </si>
  <si>
    <t>Lente camara para Moto G6 Play XT1922 1</t>
  </si>
  <si>
    <t>FLX00545</t>
  </si>
  <si>
    <t>Lente camara para Moto G6 Play XT1922 2</t>
  </si>
  <si>
    <t>Lente camara para Moto G6 Plus azul claro 1</t>
  </si>
  <si>
    <t>FLX00600</t>
  </si>
  <si>
    <t>Lente camara para Moto G6 Plus azul claro 2</t>
  </si>
  <si>
    <t>FLX01990</t>
  </si>
  <si>
    <t>Lente camara para Moto G6 Plus azul fuerte 1</t>
  </si>
  <si>
    <t>Lente camara para Moto G6 Plus azul fuerte 2</t>
  </si>
  <si>
    <t>FLX01989</t>
  </si>
  <si>
    <t>Lente camara para Moto G6 XT1925 negro 1</t>
  </si>
  <si>
    <t>FLX01420</t>
  </si>
  <si>
    <t>Lente camara para Moto G6 XT1925 negro 2</t>
  </si>
  <si>
    <t>FLX01997</t>
  </si>
  <si>
    <t>Lente camara para Moto G6 XT1925 oro 1</t>
  </si>
  <si>
    <t>FLX01421</t>
  </si>
  <si>
    <t>Lente camara para Moto G6 XT1925 oro 2</t>
  </si>
  <si>
    <t>FLX01996</t>
  </si>
  <si>
    <t>Lente camara para Moto G6 XT1925 plata 1</t>
  </si>
  <si>
    <t>FLX01422</t>
  </si>
  <si>
    <t>Lente camara para Moto G6 XT1925 plata 2</t>
  </si>
  <si>
    <t>FLX01995</t>
  </si>
  <si>
    <t>Lente camara para Moto G7 Power azul fuerte 1</t>
  </si>
  <si>
    <t>FLX01426</t>
  </si>
  <si>
    <t>Lente camara para Moto G7 Power azul fuerte 2</t>
  </si>
  <si>
    <t>Lente camara para Moto G7 XT1962 1</t>
  </si>
  <si>
    <t>FLX00376</t>
  </si>
  <si>
    <t>Lente camara para Moto G7 XT1962 2</t>
  </si>
  <si>
    <t>Lente camara para Moto G8 Play XT2015</t>
  </si>
  <si>
    <t>Lente camara para Moto G8 Plus XT2019</t>
  </si>
  <si>
    <t>Lente camara para Moto G9 Plus XT2087 azul</t>
  </si>
  <si>
    <t>FLX02731</t>
  </si>
  <si>
    <t>Lente camara para Moto One Fusion XT2073 azul</t>
  </si>
  <si>
    <t>FLX00804</t>
  </si>
  <si>
    <t>Lente camara para Moto One Vision XT1970</t>
  </si>
  <si>
    <t>FLX00799</t>
  </si>
  <si>
    <t>Lente camara para Moto Razr HD XT925</t>
  </si>
  <si>
    <t>FLX02148</t>
  </si>
  <si>
    <t>Lente camara para Moto X Play XT1565 negro</t>
  </si>
  <si>
    <t>FLX03849</t>
  </si>
  <si>
    <t>Lente camara para Moto X Play XT1565 plata</t>
  </si>
  <si>
    <t>FLX03851</t>
  </si>
  <si>
    <t>Lente camara para Moto X Style XT1575 negro</t>
  </si>
  <si>
    <t>FLX03852</t>
  </si>
  <si>
    <t>Lente camara para Moto X Style XT1575 plata</t>
  </si>
  <si>
    <t>FLX03853</t>
  </si>
  <si>
    <t>Lente camara para Moto Z XT1650</t>
  </si>
  <si>
    <t>Lente camara para Moto Z XT1650 Droid</t>
  </si>
  <si>
    <t>FLX01741</t>
  </si>
  <si>
    <t>Lente camara para Moto Z2 Force XT1789</t>
  </si>
  <si>
    <t>Lente camara para Moto Z2 Play Droid XT1710</t>
  </si>
  <si>
    <t>FLX01791</t>
  </si>
  <si>
    <t>Lente camara para Moto Z3 Play XT1929</t>
  </si>
  <si>
    <t>FLX02240</t>
  </si>
  <si>
    <t>Lente camara para Nokia Lumia 1520</t>
  </si>
  <si>
    <t>FLX02119</t>
  </si>
  <si>
    <t>Lente camara para Nokia Lumia 820</t>
  </si>
  <si>
    <t>FLX02159</t>
  </si>
  <si>
    <t>Lente camara para Nokia Lumia 920</t>
  </si>
  <si>
    <t>FLX02152</t>
  </si>
  <si>
    <t>Lente camara para Nokia Lumia 950 XL</t>
  </si>
  <si>
    <t>FLX01956</t>
  </si>
  <si>
    <t>Lente camara para Oppo A15</t>
  </si>
  <si>
    <t>Lente camara para Oppo A32 A53</t>
  </si>
  <si>
    <t>Lente camara para Oppo A53 5G</t>
  </si>
  <si>
    <t>FLX00835</t>
  </si>
  <si>
    <t>Lente camara para Oppo A57 / A77</t>
  </si>
  <si>
    <t>Lente camara para Oppo Reno 6 Lite</t>
  </si>
  <si>
    <t>Lente camara para Xiaomi Mi 10T</t>
  </si>
  <si>
    <t>FLX01430</t>
  </si>
  <si>
    <t>Lente camara para Xiaomi Mi 11</t>
  </si>
  <si>
    <t>FLX01431</t>
  </si>
  <si>
    <t>Lente camara para Xiaomi Mi 11 Lite</t>
  </si>
  <si>
    <t>FLX00737</t>
  </si>
  <si>
    <t>Lente camara para Xiaomi Mi CC9E / A3 1</t>
  </si>
  <si>
    <t>FLX01432</t>
  </si>
  <si>
    <t>Lente camara para Xiaomi Mi CC9E / A3 2</t>
  </si>
  <si>
    <t>Lente camara para Xiaomi Note 10 4G</t>
  </si>
  <si>
    <t>Lente camara para Xiaomi Note 10 5G</t>
  </si>
  <si>
    <t>Lente camara para Xiaomi Note 10 Pro 4G 1</t>
  </si>
  <si>
    <t>Lente camara para Xiaomi Note 10 Pro 4G 2</t>
  </si>
  <si>
    <t>Lente camara para Xiaomi Note 9S</t>
  </si>
  <si>
    <t>Lente camara para Xiaomi Note CC9 A3 Lite</t>
  </si>
  <si>
    <t>FLX01433</t>
  </si>
  <si>
    <t>Lente camara para Xiaomi Poco M3 Pro 5G</t>
  </si>
  <si>
    <t>Lente camara para Xiaomi Poco M4 Pro</t>
  </si>
  <si>
    <t>Lente camara para Xiaomi Poco X3</t>
  </si>
  <si>
    <t>Lente camara para Xiaomi Poco X3 GT</t>
  </si>
  <si>
    <t>Lente camara para Xiaomi Poco X4 Pro</t>
  </si>
  <si>
    <t>FLX00777</t>
  </si>
  <si>
    <t>Lente camara para Xiaomi Redmi 10A</t>
  </si>
  <si>
    <t>FLX02718</t>
  </si>
  <si>
    <t>Lente camara para Xiaomi Redmi 10C</t>
  </si>
  <si>
    <t>FLX02719</t>
  </si>
  <si>
    <t>Lente camara para Xiaomi Redmi 12C</t>
  </si>
  <si>
    <t>FLX02862</t>
  </si>
  <si>
    <t>Lente camara para Xiaomi Redmi 9</t>
  </si>
  <si>
    <t>FLX01435</t>
  </si>
  <si>
    <t>Lente camara para Xiaomi Redmi 9A</t>
  </si>
  <si>
    <t>FLX00602</t>
  </si>
  <si>
    <t>Lente camara para Xiaomi Redmi Note 10S</t>
  </si>
  <si>
    <t>FLX02861</t>
  </si>
  <si>
    <t>Lente camara para Xiaomi Redmi Note 11</t>
  </si>
  <si>
    <t>Lente camara para Xiaomi Redmi Note 11 Pro 5G</t>
  </si>
  <si>
    <t>FLX02863</t>
  </si>
  <si>
    <t>Lente camara para Xiaomi Redmi Note 11S</t>
  </si>
  <si>
    <t>Lente camara para Xiaomi Redmi Note 5</t>
  </si>
  <si>
    <t>FLX02593</t>
  </si>
  <si>
    <t>Lente camara para Xiaomi Redmi Note 7</t>
  </si>
  <si>
    <t>Lente camara para Xiaomi Redmi Note 8</t>
  </si>
  <si>
    <t>Lente camara para Xiaomi Redmi Note 9S 1</t>
  </si>
  <si>
    <t>FLX00652</t>
  </si>
  <si>
    <t>Lente camara para Xiaomi Redmi Note 9S 2</t>
  </si>
  <si>
    <t>Lente camara para Xperia Z negro</t>
  </si>
  <si>
    <t>FLX03542</t>
  </si>
  <si>
    <t>Lente camara para Xperia Z1 Compact</t>
  </si>
  <si>
    <t>FLX00833</t>
  </si>
  <si>
    <t>Lente camara para Xperia Z5 Compact Z3 Compact</t>
  </si>
  <si>
    <t>FLX01861</t>
  </si>
  <si>
    <t>Lentes con lupa y luz LED</t>
  </si>
  <si>
    <t>Lupa plegable con LED</t>
  </si>
  <si>
    <t>FLX00679</t>
  </si>
  <si>
    <t>Lupa Portatil 30 X 22mm 60 x 12MM</t>
  </si>
  <si>
    <t>FLX01173</t>
  </si>
  <si>
    <t>Lupa sencilla 30 x 21</t>
  </si>
  <si>
    <t>FLX01172</t>
  </si>
  <si>
    <t>Luz tira led casco moto amarillo</t>
  </si>
  <si>
    <t>Luz tira led casco moto azul</t>
  </si>
  <si>
    <t>Luz tira led casco moto blanco</t>
  </si>
  <si>
    <t>Luz tira led casco moto rojo</t>
  </si>
  <si>
    <t>Luz tira led casco moto verde</t>
  </si>
  <si>
    <t>Magnetizador des gris</t>
  </si>
  <si>
    <t>FLX00627</t>
  </si>
  <si>
    <t>Malla anti polvo auricular dock para iPhone 4</t>
  </si>
  <si>
    <t>FLX03313</t>
  </si>
  <si>
    <t>Malla antipolvo auricular para iPhone 5</t>
  </si>
  <si>
    <t>FLX03456</t>
  </si>
  <si>
    <t>Mapa iPhone 5 organizador magnetico tornillos</t>
  </si>
  <si>
    <t>Mapa iPhone 5S organizador magnetico tornillos</t>
  </si>
  <si>
    <t>FLX03571</t>
  </si>
  <si>
    <t>Mapa iPhone 6 organizador magnetico tornillos</t>
  </si>
  <si>
    <t>FLX02049</t>
  </si>
  <si>
    <t>Mapa iPhone 6 Plus organizador magnetico tornillo</t>
  </si>
  <si>
    <t>FLX02050</t>
  </si>
  <si>
    <t>Mapa iPhone 6S 4.7 organizador magnetico</t>
  </si>
  <si>
    <t>FLX03811</t>
  </si>
  <si>
    <t>Mapa iPhone 7 4.7 organizador magnetico</t>
  </si>
  <si>
    <t>FLX03812</t>
  </si>
  <si>
    <t>Mapa iPhone 7 Plus 5.5 organizador magnetico</t>
  </si>
  <si>
    <t>FLX03813</t>
  </si>
  <si>
    <t>Marco contorno flash para Galaxy S5 oro</t>
  </si>
  <si>
    <t>FLX01790</t>
  </si>
  <si>
    <t>Marco contorno flash para Galaxy S5 plata</t>
  </si>
  <si>
    <t>FLX01892</t>
  </si>
  <si>
    <t>Marco contorno flash para Note 4 N910</t>
  </si>
  <si>
    <t>FLX02090</t>
  </si>
  <si>
    <t>Marco intermedio para Galaxy A510 2016 gris</t>
  </si>
  <si>
    <t>FLX00772</t>
  </si>
  <si>
    <t>Marco intermedio para Galaxy A510 2016 plata</t>
  </si>
  <si>
    <t>FLX00485</t>
  </si>
  <si>
    <t>Marco intermedio para Galaxy Alpha G850</t>
  </si>
  <si>
    <t>FLX02168</t>
  </si>
  <si>
    <t>Marco intermedio para Galaxy Grand Prime G530</t>
  </si>
  <si>
    <t>FLX03628</t>
  </si>
  <si>
    <t>Marco intermedio para Galaxy J710 2016 gris</t>
  </si>
  <si>
    <t>FLX00915</t>
  </si>
  <si>
    <t>Marco intermedio para Galaxy J710 2016 plata</t>
  </si>
  <si>
    <t>FLX00914</t>
  </si>
  <si>
    <t>Marco intermedio para Galaxy Note 2 I317 blanco</t>
  </si>
  <si>
    <t>FLX02059</t>
  </si>
  <si>
    <t>Marco intermedio para Galaxy S3 azul</t>
  </si>
  <si>
    <t>FLX01520</t>
  </si>
  <si>
    <t>Marco intermedio para Galaxy S3 blanco</t>
  </si>
  <si>
    <t>FLX03081</t>
  </si>
  <si>
    <t>Marco intermedio para Galaxy S3 gris</t>
  </si>
  <si>
    <t>FLX03082</t>
  </si>
  <si>
    <t>Marco intermedio para Galaxy S3 i9300 negro</t>
  </si>
  <si>
    <t>FLX03078</t>
  </si>
  <si>
    <t>Marco intermedio para Galaxy S3 i9300 rojo</t>
  </si>
  <si>
    <t>FLX03079</t>
  </si>
  <si>
    <t>Marco intermedio para Galaxy S3 i9305 negro</t>
  </si>
  <si>
    <t>FLX03080</t>
  </si>
  <si>
    <t>Marco intermedio para Galaxy S3 Mini i8190 blanco</t>
  </si>
  <si>
    <t>FLX00878</t>
  </si>
  <si>
    <t>Marco intermedio para Galaxy S4 display pantalla</t>
  </si>
  <si>
    <t>Marco intermedio para Galaxy S4 I337 blanco</t>
  </si>
  <si>
    <t>FLX00876</t>
  </si>
  <si>
    <t>Marco intermedio para Galaxy S5 blanco</t>
  </si>
  <si>
    <t>FLX03653</t>
  </si>
  <si>
    <t>Marco intermedio para Galaxy S5 Mini blanco</t>
  </si>
  <si>
    <t>FLX00855</t>
  </si>
  <si>
    <t>Marco intermedio para Galaxy S5 negro</t>
  </si>
  <si>
    <t>FLX03652</t>
  </si>
  <si>
    <t>Marco intermedio para Galaxy S6 Edge blanco</t>
  </si>
  <si>
    <t>FLX02251</t>
  </si>
  <si>
    <t>Marco intermedio para Galaxy S6 Edge G925</t>
  </si>
  <si>
    <t>FLX02252</t>
  </si>
  <si>
    <t>Marco intermedio para Galaxy S6 G920 oro</t>
  </si>
  <si>
    <t>Marco intermedio para Galaxy S6 G920 plata</t>
  </si>
  <si>
    <t>FLX03693</t>
  </si>
  <si>
    <t>Marco intermedio para Galaxy S6 gris</t>
  </si>
  <si>
    <t>FLX03694</t>
  </si>
  <si>
    <t>Marco intermedio para iPad 2, 3 y 4 blanco 1</t>
  </si>
  <si>
    <t>FLX01753</t>
  </si>
  <si>
    <t>Marco intermedio para iPad 2, 3 y 4 blanco 2</t>
  </si>
  <si>
    <t>FLX02277</t>
  </si>
  <si>
    <t>Marco intermedio para iPad 2, 3 y 4 negro 1</t>
  </si>
  <si>
    <t>FLX01754</t>
  </si>
  <si>
    <t>Marco intermedio para iPad 2, 3 y 4 negro 2</t>
  </si>
  <si>
    <t>FLX02276</t>
  </si>
  <si>
    <t>Marco intermedio para iPhone 3G 3GS</t>
  </si>
  <si>
    <t>FLX03321</t>
  </si>
  <si>
    <t>Marco intermedio para iPhone 3GS 3G</t>
  </si>
  <si>
    <t>FLX02939</t>
  </si>
  <si>
    <t>Marco intermedio para iPhone 5 blanco</t>
  </si>
  <si>
    <t>Marco intermedio para iPhone 5 negro</t>
  </si>
  <si>
    <t>Marco intermedio para iPhone 5S blanco</t>
  </si>
  <si>
    <t>FLX03083</t>
  </si>
  <si>
    <t>Marco intermedio para iPhone 5S negro</t>
  </si>
  <si>
    <t>FLX03084</t>
  </si>
  <si>
    <t>Marco intermedio para iPod 2G con adhesivo</t>
  </si>
  <si>
    <t>FLX01845</t>
  </si>
  <si>
    <t>Marco intermedio para iPod 3G con adhesivo</t>
  </si>
  <si>
    <t>FLX03392</t>
  </si>
  <si>
    <t>Marco intermedio para LG K10 K430 blanco</t>
  </si>
  <si>
    <t>FLX02938</t>
  </si>
  <si>
    <t>Marco intermedio para LG K10 K430 negro</t>
  </si>
  <si>
    <t>FLX03293</t>
  </si>
  <si>
    <t>Marco intermedio para LG K7 blanco</t>
  </si>
  <si>
    <t>FLX00687</t>
  </si>
  <si>
    <t>Marco intermedio para LG K7 negro</t>
  </si>
  <si>
    <t>FLX00688</t>
  </si>
  <si>
    <t>Marco intermedio para LG K8 azul</t>
  </si>
  <si>
    <t>FLX03189</t>
  </si>
  <si>
    <t>Marco intermedio para LG K8 oro</t>
  </si>
  <si>
    <t>FLX03281</t>
  </si>
  <si>
    <t>Marco intermedio para LG K8 plata</t>
  </si>
  <si>
    <t>FLX03696</t>
  </si>
  <si>
    <t>Marco intermedio para Nexus 4 negro</t>
  </si>
  <si>
    <t>FLX03499</t>
  </si>
  <si>
    <t>Marco intermedio para Nexus 5 D820 negro</t>
  </si>
  <si>
    <t>FLX03594</t>
  </si>
  <si>
    <t>Marco intermedio para Xperia Z3 Compact negro</t>
  </si>
  <si>
    <t>FLX03076</t>
  </si>
  <si>
    <t>Marco intermedio para Xperia Z3 Compact plata</t>
  </si>
  <si>
    <t>FLX03077</t>
  </si>
  <si>
    <t>Marco soporte bracket auricular para iPhone 5</t>
  </si>
  <si>
    <t>FLX03444</t>
  </si>
  <si>
    <t>Marco trasero de LCD para iPhone 4 blanco</t>
  </si>
  <si>
    <t>FLX03651</t>
  </si>
  <si>
    <t>Marco trasero de LCD para iPhone 4 CDMA blanco</t>
  </si>
  <si>
    <t>FLX03440</t>
  </si>
  <si>
    <t>Marco trasero de LCD para iPhone 4 negro</t>
  </si>
  <si>
    <t>FLX03650</t>
  </si>
  <si>
    <t>Marco trasero de LCD para iPhone 4S blanco</t>
  </si>
  <si>
    <t>FLX03649</t>
  </si>
  <si>
    <t>Marco trasero de LCD para iPhone 5C negro</t>
  </si>
  <si>
    <t>FLX03648</t>
  </si>
  <si>
    <t>Marco trasero de LCD para iPhone 6 blanco</t>
  </si>
  <si>
    <t>FLX03647</t>
  </si>
  <si>
    <t>Marco trasero de LCD para iPhone 6 Plus blanco</t>
  </si>
  <si>
    <t>FLX03646</t>
  </si>
  <si>
    <t>Marco trasero de LCD para iPhone 6 Plus negro</t>
  </si>
  <si>
    <t>Mica anti reflejante 4 pzas para iPhone 5</t>
  </si>
  <si>
    <t>FLX03485</t>
  </si>
  <si>
    <t>Mica anti reflejante frente atras para iPhone 4 4s</t>
  </si>
  <si>
    <t>FLX03345</t>
  </si>
  <si>
    <t>Mica anti reflejante Para Galaxy Note 2</t>
  </si>
  <si>
    <t>FLX01904</t>
  </si>
  <si>
    <t>Mica anti reflejante para iPhone 5</t>
  </si>
  <si>
    <t>FLX03363</t>
  </si>
  <si>
    <t>Mica protector para iPhone 2G 3G 3GS</t>
  </si>
  <si>
    <t>FLX01797</t>
  </si>
  <si>
    <t>Mica protectora para iPad 2 anti reflejante</t>
  </si>
  <si>
    <t>Microfono adaptable interno 4015 10 piezas</t>
  </si>
  <si>
    <t>Microfono jack 3.5MM 30Hz clip 1.5Mts Lavalier</t>
  </si>
  <si>
    <t>FLX01039</t>
  </si>
  <si>
    <t>Microfono para Alcatel OT Idol 6012 modulo</t>
  </si>
  <si>
    <t>FLX02160</t>
  </si>
  <si>
    <t>Microfono para iPhone 2G modulo</t>
  </si>
  <si>
    <t>FLX03417</t>
  </si>
  <si>
    <t>Microfono para Nexus 5 D820 modulo</t>
  </si>
  <si>
    <t>FLX02098</t>
  </si>
  <si>
    <t>Microfono para Nexus 6 Xt1100 Xt1103 modulo</t>
  </si>
  <si>
    <t>FLX00250</t>
  </si>
  <si>
    <t>Microfono para Xperia Z1 Z2 Z3 M4 Compact</t>
  </si>
  <si>
    <t>FLX01955</t>
  </si>
  <si>
    <t>Miracast tarjeta hdmi airplay streaming wifi dnla</t>
  </si>
  <si>
    <t>FLX03711</t>
  </si>
  <si>
    <t>Montura de tripie expandible</t>
  </si>
  <si>
    <t>Montura fijador curva + Adhesivo para GoPro</t>
  </si>
  <si>
    <t>FLX03558</t>
  </si>
  <si>
    <t>Montura plana sacado rapido para GoPro</t>
  </si>
  <si>
    <t>FLX03557</t>
  </si>
  <si>
    <t>Montura rotativa 360 para GoPro 1 2 3</t>
  </si>
  <si>
    <t>FLX03560</t>
  </si>
  <si>
    <t>Montura sujetador vidrio parabrisas para GoPro</t>
  </si>
  <si>
    <t>FLX03614</t>
  </si>
  <si>
    <t>Montura tornillo universal tripie para GoPro</t>
  </si>
  <si>
    <t>Montura ventosa triple para GoPro 1 2 3 3+ 4</t>
  </si>
  <si>
    <t>Montura vertical Juliet hebilla para GoPro</t>
  </si>
  <si>
    <t>FLX03559</t>
  </si>
  <si>
    <t>Motor para DJI Mavic Pro Platinium trasero Der</t>
  </si>
  <si>
    <t>FLX01361</t>
  </si>
  <si>
    <t>Motor para DJI Mavic Pro Platinium trasero Izq</t>
  </si>
  <si>
    <t>FLX00707</t>
  </si>
  <si>
    <t>Motor para DJI Mavic Pro trasero Der</t>
  </si>
  <si>
    <t>FLX02852</t>
  </si>
  <si>
    <t>Motor para DJI Mavic Pro trasero Izq</t>
  </si>
  <si>
    <t>FLX01354</t>
  </si>
  <si>
    <t>Motor vibrador para Galaxy Note 2 N7100 I317</t>
  </si>
  <si>
    <t>FLX03404</t>
  </si>
  <si>
    <t>Motor vibrador para Galaxy S2 i9100 i777</t>
  </si>
  <si>
    <t>FLX03451</t>
  </si>
  <si>
    <t>Motor vibrador para Galaxy S4 i337 i9500 L720</t>
  </si>
  <si>
    <t>FLX03450</t>
  </si>
  <si>
    <t>Motor vibrador para iPhone 3GS</t>
  </si>
  <si>
    <t>FLX03379</t>
  </si>
  <si>
    <t>Motor vibrador para iPhone 4</t>
  </si>
  <si>
    <t>FLX02106</t>
  </si>
  <si>
    <t>Motor vibrador para iPhone 4 CDMA</t>
  </si>
  <si>
    <t>FLX03377</t>
  </si>
  <si>
    <t>Motor vibrador para iPhone 4S</t>
  </si>
  <si>
    <t>FLX03302</t>
  </si>
  <si>
    <t>Motor vibrador para iPhone 5</t>
  </si>
  <si>
    <t>FLX03305</t>
  </si>
  <si>
    <t>Motor vibrador para iPhone 5S</t>
  </si>
  <si>
    <t>FLX03458</t>
  </si>
  <si>
    <t>Motor vibrador para LG Nexus 4</t>
  </si>
  <si>
    <t>FLX02139</t>
  </si>
  <si>
    <t>Motor vibrador para Nokia Lumia 925</t>
  </si>
  <si>
    <t>FLX00402</t>
  </si>
  <si>
    <t>MPUSIM</t>
  </si>
  <si>
    <t>FLX03800</t>
  </si>
  <si>
    <t>Organizador plano distribución tornillos iPhone 4</t>
  </si>
  <si>
    <t>FLX02102</t>
  </si>
  <si>
    <t>Organizador plano distribución tornillos iPhone 4S</t>
  </si>
  <si>
    <t>FLX01967</t>
  </si>
  <si>
    <t>Pantalla display +Marco para Galaxy S4 i337 azul</t>
  </si>
  <si>
    <t>FLX03193</t>
  </si>
  <si>
    <t>Pantalla display +Marco para Galaxy S4 i337 blanco</t>
  </si>
  <si>
    <t>FLX03194</t>
  </si>
  <si>
    <t>Pantalla display +Marco para Galaxy S4 i337 negro</t>
  </si>
  <si>
    <t>FLX03195</t>
  </si>
  <si>
    <t>Pantalla display LCD AAA+ para iPhone 5 blanco</t>
  </si>
  <si>
    <t>FLX03196</t>
  </si>
  <si>
    <t>Pantalla display LCD AAA+ para iPhone 5 negro</t>
  </si>
  <si>
    <t>FLX03197</t>
  </si>
  <si>
    <t>Pantalla display LCD AAA+ para iPhone 5C negro</t>
  </si>
  <si>
    <t>FLX01932</t>
  </si>
  <si>
    <t>Pantalla display LCD AAA+ para iPhone 5S blanco</t>
  </si>
  <si>
    <t>FLX03198</t>
  </si>
  <si>
    <t>Pantalla display LCD AAA+ para iPhone 5S negro</t>
  </si>
  <si>
    <t>FLX03199</t>
  </si>
  <si>
    <t>Pantalla display LCD AAA+ para iPhone 6 blanco</t>
  </si>
  <si>
    <t>FLX03200</t>
  </si>
  <si>
    <t>Pantalla display LCD AAA+ para iPhone 6 negro</t>
  </si>
  <si>
    <t>FLX03201</t>
  </si>
  <si>
    <t>Pantalla display LCD AAA+ para iPhone 6P blanco</t>
  </si>
  <si>
    <t>FLX03202</t>
  </si>
  <si>
    <t>Pantalla display LCD AAA+ para iPhone 6P negro</t>
  </si>
  <si>
    <t>FLX03203</t>
  </si>
  <si>
    <t>Pantalla display LCD AAA+ para iPhone 6S blanco</t>
  </si>
  <si>
    <t>FLX03204</t>
  </si>
  <si>
    <t>Pantalla display LCD AAA+ para iPhone 7 blanco</t>
  </si>
  <si>
    <t>FLX03205</t>
  </si>
  <si>
    <t>Pantalla display LCD AAA+ para iPhone 7 negro</t>
  </si>
  <si>
    <t>FLX03206</t>
  </si>
  <si>
    <t>Pantalla display LCD AAA+ para iPhone 8 4.7" negro</t>
  </si>
  <si>
    <t>FLX03207</t>
  </si>
  <si>
    <t>Pantalla display LCD AAA+ para iPhone 8 blanco</t>
  </si>
  <si>
    <t>FLX03208</t>
  </si>
  <si>
    <t>Pantalla display LCD para Alcatel Idol OT 6030</t>
  </si>
  <si>
    <t>FLX00899</t>
  </si>
  <si>
    <t>Pantalla display LCD para Alcatel OT 4010</t>
  </si>
  <si>
    <t>FLX00898</t>
  </si>
  <si>
    <t>Pantalla display LCD para Alcatel OT 7055 negro</t>
  </si>
  <si>
    <t>FLX03190</t>
  </si>
  <si>
    <t>Pantalla display LCD para Galaxy Ace S5830</t>
  </si>
  <si>
    <t>FLX03209</t>
  </si>
  <si>
    <t>Pantalla display LCD para Galaxy J320 blanco</t>
  </si>
  <si>
    <t>FLX01439</t>
  </si>
  <si>
    <t>Pantalla display LCD para Galaxy J320 negro</t>
  </si>
  <si>
    <t>FLX03210</t>
  </si>
  <si>
    <t>Pantalla display LCD para Galaxy J320 oro</t>
  </si>
  <si>
    <t>FLX01440</t>
  </si>
  <si>
    <t>Pantalla display LCD para Galaxy Note 4 blanco</t>
  </si>
  <si>
    <t>FLX00421</t>
  </si>
  <si>
    <t>Pantalla display LCD para Galaxy Note 5 N920 azul</t>
  </si>
  <si>
    <t>FLX00877</t>
  </si>
  <si>
    <t>Pantalla display LCD para Galaxy Note 8 N5100</t>
  </si>
  <si>
    <t>FLX01448</t>
  </si>
  <si>
    <t>Pantalla display LCD para Galaxy Note N8000</t>
  </si>
  <si>
    <t>FLX01441</t>
  </si>
  <si>
    <t>Pantalla display LCD para Galaxy Prime J2 G532</t>
  </si>
  <si>
    <t>FLX03211</t>
  </si>
  <si>
    <t>Pantalla display LCD para Galaxy S3 Mini azul</t>
  </si>
  <si>
    <t>FLX03212</t>
  </si>
  <si>
    <t>Pantalla display LCD para Galaxy S4 Active</t>
  </si>
  <si>
    <t>FLX03213</t>
  </si>
  <si>
    <t>Pantalla display LCD para Galaxy S5 azul</t>
  </si>
  <si>
    <t>FLX03214</t>
  </si>
  <si>
    <t>Pantalla display LCD para Galaxy S5 blanco</t>
  </si>
  <si>
    <t>FLX03215</t>
  </si>
  <si>
    <t>Pantalla display LCD para Galaxy S5 negro</t>
  </si>
  <si>
    <t>FLX00866</t>
  </si>
  <si>
    <t>Pantalla display LCD para Galaxy T290 negro</t>
  </si>
  <si>
    <t>Pantalla display LCD para Galaxy Tab 2 P3100 10 13</t>
  </si>
  <si>
    <t>FLX03216</t>
  </si>
  <si>
    <t>Pantalla display LCD para Galaxy Tab 2 P5100 P5110</t>
  </si>
  <si>
    <t>FLX01381</t>
  </si>
  <si>
    <t>Pantalla display LCD para Galaxy Tab 3 Lite T110</t>
  </si>
  <si>
    <t>Pantalla Display LCD para Galaxy Tab 3 T210 11 17S</t>
  </si>
  <si>
    <t>FLX01382</t>
  </si>
  <si>
    <t>Pantalla display LCD para Galaxy Tab 4 T230</t>
  </si>
  <si>
    <t>FLX03217</t>
  </si>
  <si>
    <t>Pantalla display LCD para Galaxy Tab 7.0 P6200</t>
  </si>
  <si>
    <t>FLX01446</t>
  </si>
  <si>
    <t>Pantalla display LCD para HTC Evo 4G (flex ancho)</t>
  </si>
  <si>
    <t>FLX03364</t>
  </si>
  <si>
    <t>Pantalla display LCD para HTC Evo Shift 4G</t>
  </si>
  <si>
    <t>FLX03369</t>
  </si>
  <si>
    <t>Pantalla display LCD para iPad 3 y 4</t>
  </si>
  <si>
    <t>FLX03367</t>
  </si>
  <si>
    <t>Pantalla display LCD para iPad Mini</t>
  </si>
  <si>
    <t>FLX03218</t>
  </si>
  <si>
    <t>Pantalla display LCD para iPad Mini 2 3</t>
  </si>
  <si>
    <t>FLX01383</t>
  </si>
  <si>
    <t>Pantalla display LCD para iPhone 5 blanco</t>
  </si>
  <si>
    <t>FLX03219</t>
  </si>
  <si>
    <t>Pantalla display LCD para iPhone 5 negro</t>
  </si>
  <si>
    <t>FLX03220</t>
  </si>
  <si>
    <t>Pantalla display LCD para iPhone 5S Blanco</t>
  </si>
  <si>
    <t>FLX03221</t>
  </si>
  <si>
    <t>Pantalla display LCD para iPhone 5S negro</t>
  </si>
  <si>
    <t>FLX03222</t>
  </si>
  <si>
    <t>Pantalla display LCD para iPhone 6 blanco</t>
  </si>
  <si>
    <t>FLX03223</t>
  </si>
  <si>
    <t>Pantalla display LCD para iPhone 6 negro</t>
  </si>
  <si>
    <t>FLX03224</t>
  </si>
  <si>
    <t>Pantalla display LCD para iPhone 6P negro</t>
  </si>
  <si>
    <t>FLX03225</t>
  </si>
  <si>
    <t>Pantalla display LCD para iPod 4 blanco</t>
  </si>
  <si>
    <t>Pantalla display LCD para iPod 4 negro</t>
  </si>
  <si>
    <t>FLX01443</t>
  </si>
  <si>
    <t>Pantalla display LCD para iPod 7 nano</t>
  </si>
  <si>
    <t>FLX03226</t>
  </si>
  <si>
    <t>Pantalla display LCD para iPod Nano 6 negro</t>
  </si>
  <si>
    <t>FLX03227</t>
  </si>
  <si>
    <t>Pantalla display LCD para iPod Touch 3G</t>
  </si>
  <si>
    <t>FLX03228</t>
  </si>
  <si>
    <t>Pantalla display LCD para iPod Touch 5 6 blanco</t>
  </si>
  <si>
    <t>Pantalla display LCD para iPod Touch 5 6 negro</t>
  </si>
  <si>
    <t>Pantalla display LCD para LG G2 805 802 negro</t>
  </si>
  <si>
    <t>FLX03191</t>
  </si>
  <si>
    <t>Pantalla display LCD para M4TEL SS4040</t>
  </si>
  <si>
    <t>FLX03229</t>
  </si>
  <si>
    <t>Pantalla display LCD para Nexus 7 1Gen</t>
  </si>
  <si>
    <t>FLX03230</t>
  </si>
  <si>
    <t>Pantalla display LCD para Nexus 7 2Gen</t>
  </si>
  <si>
    <t>FLX03231</t>
  </si>
  <si>
    <t>Pantalla display LCD para Nintendo Switch Lite</t>
  </si>
  <si>
    <t>FLX02887</t>
  </si>
  <si>
    <t>Pantalla display LCD para Nintendo Switch NFT-K12D</t>
  </si>
  <si>
    <t>FLX02864</t>
  </si>
  <si>
    <t>Pantalla display LCD para Surface RT2</t>
  </si>
  <si>
    <t>FLX03232</t>
  </si>
  <si>
    <t>Pantalla display LCD para Surface RT3 1645</t>
  </si>
  <si>
    <t>FLX03233</t>
  </si>
  <si>
    <t>Pantalla display LCD para Xiaomi Mi A1 5X negro</t>
  </si>
  <si>
    <t>FLX01175</t>
  </si>
  <si>
    <t>Pantalla display LCD para Xiaomi Note 4 negro</t>
  </si>
  <si>
    <t>Pantalla display LCD para Xiaomi X3</t>
  </si>
  <si>
    <t>FLX02568</t>
  </si>
  <si>
    <t>Pantalla display LCD para Xperia M4 negro</t>
  </si>
  <si>
    <t>FLX03234</t>
  </si>
  <si>
    <t>Pantalla display LCD para Xperia Z1 Compact negro</t>
  </si>
  <si>
    <t>FLX03235</t>
  </si>
  <si>
    <t>Pantalla display LCD para Xperia Z3 blanco</t>
  </si>
  <si>
    <t>FLX03236</t>
  </si>
  <si>
    <t>Pantalla display LCD para Xperia Z3 Compact negro</t>
  </si>
  <si>
    <t>FLX03237</t>
  </si>
  <si>
    <t>Pantalla display LCD para Xperia Z5 Compact blanco</t>
  </si>
  <si>
    <t>FLX03192</t>
  </si>
  <si>
    <t>Pantalla display LCD para Xperia Z5 Compact negro</t>
  </si>
  <si>
    <t>FLX03238</t>
  </si>
  <si>
    <t>Pantalla display LCD para ZTE A51 Negro</t>
  </si>
  <si>
    <t>FLX02331</t>
  </si>
  <si>
    <t>Pantalla display LCD para ZTE V7 negro</t>
  </si>
  <si>
    <t>FLX01436</t>
  </si>
  <si>
    <t>Pantalla display LCD para ZTE V793 V795</t>
  </si>
  <si>
    <t>FLX03239</t>
  </si>
  <si>
    <t>Pantalla display LCD para ZTE Z982</t>
  </si>
  <si>
    <t>Pantalla display para Alcatel One Touch M'Pop 5020</t>
  </si>
  <si>
    <t>FLX00890</t>
  </si>
  <si>
    <t>Pantalla display para Alcatel OT Hero 8020 negro</t>
  </si>
  <si>
    <t>FLX03240</t>
  </si>
  <si>
    <t>Pantalla display para Alcatel OT Idol 3 6039 negro</t>
  </si>
  <si>
    <t>FLX00892</t>
  </si>
  <si>
    <t>Pantalla display para Alcatel OT Idol 4 6055 negro</t>
  </si>
  <si>
    <t>Pantalla display para Alcatel OT Idol Alpha 6032</t>
  </si>
  <si>
    <t>FLX03241</t>
  </si>
  <si>
    <t>Pantalla display para Alcatel OT Pop C1 4015 4016</t>
  </si>
  <si>
    <t>FLX03242</t>
  </si>
  <si>
    <t>Pantalla display para iPhone 4 con malla blanco</t>
  </si>
  <si>
    <t>FLX03243</t>
  </si>
  <si>
    <t>Pantalla display para iPhone 4 con malla negro</t>
  </si>
  <si>
    <t>FLX03244</t>
  </si>
  <si>
    <t>Par antena para Galaxy A3 señal GSM</t>
  </si>
  <si>
    <t>FLX03725</t>
  </si>
  <si>
    <t>Par antena para Galaxy Note 5 N920 señal GSM</t>
  </si>
  <si>
    <t>FLX01954</t>
  </si>
  <si>
    <t>Par antena para Galaxy Note Edge N915 señal GSM</t>
  </si>
  <si>
    <t>FLX02122</t>
  </si>
  <si>
    <t>Par antena para Galaxy S6 Edge Plus señal GSM</t>
  </si>
  <si>
    <t>FLX03717</t>
  </si>
  <si>
    <t>Par antena para Galaxy S6 Edge señal GSM</t>
  </si>
  <si>
    <t>FLX03718</t>
  </si>
  <si>
    <t>Par antena para Galaxy S6 G920 señal GSM</t>
  </si>
  <si>
    <t>FLX03716</t>
  </si>
  <si>
    <t>Par antena para Galaxy S7 Edge señal GSM</t>
  </si>
  <si>
    <t>FLX03839</t>
  </si>
  <si>
    <t>Par antena para Galaxy S7 G930 señal GSM</t>
  </si>
  <si>
    <t>FLX03838</t>
  </si>
  <si>
    <t>Par grapa prensa sujetador fijador display</t>
  </si>
  <si>
    <t>Par joystick control para Xbox One aluminio azul</t>
  </si>
  <si>
    <t>FLX02497</t>
  </si>
  <si>
    <t>Par joystick control para Xbox One Aluminio Morado</t>
  </si>
  <si>
    <t>FLX02498</t>
  </si>
  <si>
    <t>Par joystick control para Xbox One Aluminio Negro</t>
  </si>
  <si>
    <t>FLX01449</t>
  </si>
  <si>
    <t>Par joystick control para Xbox One Aluminio Plata</t>
  </si>
  <si>
    <t>FLX01328</t>
  </si>
  <si>
    <t>Par joystick control para Xbox One Aluminio Rojo</t>
  </si>
  <si>
    <t>FLX02499</t>
  </si>
  <si>
    <t>Par joystick control para Xbox One Aluminio Rosa</t>
  </si>
  <si>
    <t>FLX02500</t>
  </si>
  <si>
    <t>Par joystick control para Xbox One Aluminio Verde</t>
  </si>
  <si>
    <t>Par joystick perilla para Nintendo Gamecube</t>
  </si>
  <si>
    <t>Pin carga Galaxy A20 A30 A40 A50 A60 A70</t>
  </si>
  <si>
    <t>Pin carga Galaxy A33 A52 A52S A53 A72 A73</t>
  </si>
  <si>
    <t>FLX00742</t>
  </si>
  <si>
    <t>Pin carga para Galaxy J1 J3 J5 J7 A10 A02 A6 A7</t>
  </si>
  <si>
    <t>FLX02280</t>
  </si>
  <si>
    <t>Pin carga para Galaxy S6 Edge Plus A310 A510 Note5</t>
  </si>
  <si>
    <t>FLX01008</t>
  </si>
  <si>
    <t>Pin centro carga para Galaxy I9200 T111 T210 P5200</t>
  </si>
  <si>
    <t>Pin centro carga USB C 16 3.1 0.8/1.6 Tipo 2</t>
  </si>
  <si>
    <t>Pin centro puerto carga para Alcatel C9 7047</t>
  </si>
  <si>
    <t>FLX01856</t>
  </si>
  <si>
    <t>Pin centro puerto carga para Alcatel OT 4010</t>
  </si>
  <si>
    <t>FLX01838</t>
  </si>
  <si>
    <t>Pin centro puerto carga para Alcatel OT 4033 C3 C7</t>
  </si>
  <si>
    <t>FLX01785</t>
  </si>
  <si>
    <t>Pin centro puerto carga para Alcatel OT 5035</t>
  </si>
  <si>
    <t>FLX01836</t>
  </si>
  <si>
    <t>Pin centro puerto carga para Alcatel OT 6030</t>
  </si>
  <si>
    <t>FLX02162</t>
  </si>
  <si>
    <t>Pin centro puerto carga para Galaxy Ace S5830</t>
  </si>
  <si>
    <t>FLX01787</t>
  </si>
  <si>
    <t>Pin centro puerto carga para Galaxy Core 2 G355 J7</t>
  </si>
  <si>
    <t>FLX03574</t>
  </si>
  <si>
    <t>Pin centro puerto carga para Galaxy Mini S3</t>
  </si>
  <si>
    <t>FLX03575</t>
  </si>
  <si>
    <t>Pin centro puerto carga para Galaxy S3 i747 T999</t>
  </si>
  <si>
    <t>FLX03576</t>
  </si>
  <si>
    <t>Pin centro puerto carga para Galaxy S8 S9 Note 9</t>
  </si>
  <si>
    <t>Pin centro puerto carga para Huawei G9 P9</t>
  </si>
  <si>
    <t>FLX03907</t>
  </si>
  <si>
    <t>Pin centro puerto carga para Huawei P6</t>
  </si>
  <si>
    <t>Pin centro puerto carga para Huawei P7</t>
  </si>
  <si>
    <t>FLX03904</t>
  </si>
  <si>
    <t>Pin centro puerto carga para Huawei P8</t>
  </si>
  <si>
    <t>FLX03905</t>
  </si>
  <si>
    <t>Pin centro puerto carga para Huawei P9 &amp; P9 Plus</t>
  </si>
  <si>
    <t>FLX03906</t>
  </si>
  <si>
    <t>Pin centro puerto carga para Huawei Y300 Y200 G510</t>
  </si>
  <si>
    <t>FLX03615</t>
  </si>
  <si>
    <t>Pin centro puerto carga para iPod Touch 4 30 pins</t>
  </si>
  <si>
    <t>FLX03378</t>
  </si>
  <si>
    <t>Pin centro puerto carga para LG G4</t>
  </si>
  <si>
    <t>FLX03633</t>
  </si>
  <si>
    <t>Pin centro puerto carga para Moto G7 Play XT1952 1</t>
  </si>
  <si>
    <t>FLX00375</t>
  </si>
  <si>
    <t>Pin centro puerto carga para Moto G7 Play XT1952 2</t>
  </si>
  <si>
    <t>FLX01868</t>
  </si>
  <si>
    <t>Pin centro puerto carga para Moto X XT1058 1060</t>
  </si>
  <si>
    <t>FLX01820</t>
  </si>
  <si>
    <t>Pin centro puerto carga para Moto Z</t>
  </si>
  <si>
    <t>FLX01451</t>
  </si>
  <si>
    <t>Pin centro puerto carga para Nintendo Switch 1</t>
  </si>
  <si>
    <t>Pin centro puerto carga para Nintendo Switch 2</t>
  </si>
  <si>
    <t>FLX01874</t>
  </si>
  <si>
    <t>Pin centro puerto carga para Nokia Lumia 710</t>
  </si>
  <si>
    <t>FLX01983</t>
  </si>
  <si>
    <t>Pin centro puerto carga para Nokia Lumia 800</t>
  </si>
  <si>
    <t>FLX02142</t>
  </si>
  <si>
    <t>Pin centro puerto carga para Nokia Lumia 820</t>
  </si>
  <si>
    <t>FLX01948</t>
  </si>
  <si>
    <t>Pin centro puerto carga para Xbox One control</t>
  </si>
  <si>
    <t>Pin centro puerto carga para Xperia C5 Ultra</t>
  </si>
  <si>
    <t>FLX00359</t>
  </si>
  <si>
    <t>Pin centro puerto carga para Xperia J ST26i ST26a</t>
  </si>
  <si>
    <t>FLX03578</t>
  </si>
  <si>
    <t>Pin centro puerto carga para Xperia X10</t>
  </si>
  <si>
    <t>FLX03579</t>
  </si>
  <si>
    <t>Pin centro puerto carga para Xperia XA Ultra</t>
  </si>
  <si>
    <t>FLX03290</t>
  </si>
  <si>
    <t>Pin centro puerto carga para Xperia Z C6603</t>
  </si>
  <si>
    <t>FLX03577</t>
  </si>
  <si>
    <t>Pin centro puerto carga USB C 16 Pin Tipo 1</t>
  </si>
  <si>
    <t>Pin puerto centro carga para Nexus 6</t>
  </si>
  <si>
    <t>FLX02245</t>
  </si>
  <si>
    <t>Pinza prensa sujetador fijador pantalla celular</t>
  </si>
  <si>
    <t>FLX01145</t>
  </si>
  <si>
    <t>Pinzas con ventosa apertura telefono iSlack</t>
  </si>
  <si>
    <t>Pluma stylus para Galaxy Note 10 azul S/Bluetooth</t>
  </si>
  <si>
    <t>Pluma stylus para Galaxy Note 10 blanco SBluetooth</t>
  </si>
  <si>
    <t>FLX00648</t>
  </si>
  <si>
    <t>Pluma stylus para Galaxy Note 10 C/Bluetooth negro</t>
  </si>
  <si>
    <t>Pluma stylus para Galaxy Note 10 Negro S/Bluetooth</t>
  </si>
  <si>
    <t>FLX00351</t>
  </si>
  <si>
    <t>Pluma stylus para Galaxy Note 10 rojo S/Bluetooth</t>
  </si>
  <si>
    <t>FLX00451</t>
  </si>
  <si>
    <t>Pluma stylus para Galaxy Note 10.1 P600 blanco</t>
  </si>
  <si>
    <t>FLX00864</t>
  </si>
  <si>
    <t>Pluma stylus para Galaxy Note 10.1 P600 negro</t>
  </si>
  <si>
    <t>FLX00593</t>
  </si>
  <si>
    <t>Pluma stylus para Galaxy Note 20 negro C/Bluetooth</t>
  </si>
  <si>
    <t>FLX02716</t>
  </si>
  <si>
    <t>Pluma stylus para Galaxy Note 20 Negro S/Bluetooth</t>
  </si>
  <si>
    <t>Pluma stylus para Galaxy Note 3 N9000 blanco</t>
  </si>
  <si>
    <t>FLX01452</t>
  </si>
  <si>
    <t>Pluma stylus para Galaxy Note 4 N910 blanco</t>
  </si>
  <si>
    <t>FLX00865</t>
  </si>
  <si>
    <t>Pluma stylus para Galaxy Note 4 N910 negro</t>
  </si>
  <si>
    <t>FLX00863</t>
  </si>
  <si>
    <t>Pluma stylus para Galaxy Note 5 N920 gris 1</t>
  </si>
  <si>
    <t>Pluma stylus para Galaxy Note 5 N920 gris 2</t>
  </si>
  <si>
    <t>FLX02323</t>
  </si>
  <si>
    <t>Pluma stylus para Galaxy Note 5 N920 oro 1</t>
  </si>
  <si>
    <t>FLX00414</t>
  </si>
  <si>
    <t>Pluma stylus para Galaxy Note 5 N920 oro 2</t>
  </si>
  <si>
    <t>FLX02322</t>
  </si>
  <si>
    <t>Pluma stylus para Galaxy Note 5 N920 plata 1</t>
  </si>
  <si>
    <t>FLX00449</t>
  </si>
  <si>
    <t>Pluma stylus para Galaxy Note 5 N920 plata 2</t>
  </si>
  <si>
    <t>FLX02321</t>
  </si>
  <si>
    <t>Pluma stylus para Galaxy Note 8 gris 1</t>
  </si>
  <si>
    <t>FLX00862</t>
  </si>
  <si>
    <t>Pluma stylus para Galaxy Note 8 gris 2</t>
  </si>
  <si>
    <t>FLX02318</t>
  </si>
  <si>
    <t>Pluma stylus para Galaxy Note 8 N95 oro 2</t>
  </si>
  <si>
    <t>FLX02320</t>
  </si>
  <si>
    <t>Pluma stylus para Galaxy Note 8 N960 azul 1</t>
  </si>
  <si>
    <t>FLX00454</t>
  </si>
  <si>
    <t>Pluma stylus para Galaxy Note 8 N960 Azul 2</t>
  </si>
  <si>
    <t>FLX02506</t>
  </si>
  <si>
    <t>Pluma stylus para Galaxy Note 8 N960 negro 1</t>
  </si>
  <si>
    <t>FLX00803</t>
  </si>
  <si>
    <t>Pluma stylus para Galaxy Note 8 N960 negro 2</t>
  </si>
  <si>
    <t>FLX02319</t>
  </si>
  <si>
    <t>Pluma stylus para Galaxy Note 8 N960 oro 1</t>
  </si>
  <si>
    <t>FLX00663</t>
  </si>
  <si>
    <t>Pluma stylus para Galaxy Note 8.0 N5100 negro</t>
  </si>
  <si>
    <t>FLX03841</t>
  </si>
  <si>
    <t>Pluma stylus para Galaxy Note 9 N60 negro 2</t>
  </si>
  <si>
    <t>FLX01873</t>
  </si>
  <si>
    <t>Pluma stylus para Galaxy Note 9 N960 amarillo 1</t>
  </si>
  <si>
    <t>FLX00453</t>
  </si>
  <si>
    <t>Pluma stylus para Galaxy Note 9 N960 amarillo 2</t>
  </si>
  <si>
    <t>FLX01870</t>
  </si>
  <si>
    <t>Pluma stylus para Galaxy Note 9 N960 Cobre 1</t>
  </si>
  <si>
    <t>FLX00660</t>
  </si>
  <si>
    <t>Pluma stylus para Galaxy Note 9 N960 Cobre 2</t>
  </si>
  <si>
    <t>FLX01871</t>
  </si>
  <si>
    <t>Pluma stylus para Galaxy Note 9 N960 morado 1</t>
  </si>
  <si>
    <t>Pluma stylus para Galaxy Note 9 N960 morado 2</t>
  </si>
  <si>
    <t>FLX01872</t>
  </si>
  <si>
    <t>Pluma stylus para Galaxy Note 9 N960 negro 1</t>
  </si>
  <si>
    <t>Pluma stylus para Galaxy S22 S901 negro</t>
  </si>
  <si>
    <t>FLX02656</t>
  </si>
  <si>
    <t>Pluma stylus para Galaxy S23 S911 negro</t>
  </si>
  <si>
    <t>Pluma stylus para Galaxy Tab A 10.1 T585 blanco</t>
  </si>
  <si>
    <t>Pluma stylus para Galaxy Tab A 10.1 T585 negro</t>
  </si>
  <si>
    <t>Pluma stylus para Galaxy Tab A P350 P550 blanco</t>
  </si>
  <si>
    <t>Pluma stylus para Galaxy Tab A P350 P550 negro</t>
  </si>
  <si>
    <t>FLX01740</t>
  </si>
  <si>
    <t>Probador activador baterias iPhone Kaisi</t>
  </si>
  <si>
    <t>FLX03913</t>
  </si>
  <si>
    <t>Probador tester carga rapida USB</t>
  </si>
  <si>
    <t>FLX02618</t>
  </si>
  <si>
    <t>Probador tester USB</t>
  </si>
  <si>
    <t>FLX02617</t>
  </si>
  <si>
    <t>Probador tester USB C &amp; iPhone OSS Team</t>
  </si>
  <si>
    <t>FLX02871</t>
  </si>
  <si>
    <t>Probador tester USB C &amp; iPhone Relife</t>
  </si>
  <si>
    <t>FLX02870</t>
  </si>
  <si>
    <t>Puerto carga control para PlayStation PS5 A</t>
  </si>
  <si>
    <t>FLX02851</t>
  </si>
  <si>
    <t>Puerto carga Dell 14-3452</t>
  </si>
  <si>
    <t>Puerto carga Dell DC301016f00 0XHV65</t>
  </si>
  <si>
    <t>FLX02754</t>
  </si>
  <si>
    <t>Puerto carga Dell E3490</t>
  </si>
  <si>
    <t>Puerto carga HP 799735-F51</t>
  </si>
  <si>
    <t>Puerto carga HP 799736-Y57</t>
  </si>
  <si>
    <t>FLX02749</t>
  </si>
  <si>
    <t>Puerto conector HDMI para PlayStation PS4</t>
  </si>
  <si>
    <t>Puerto conector HDMI para PlayStation PS5</t>
  </si>
  <si>
    <t>Puerto RJ45</t>
  </si>
  <si>
    <t>Pulsera antiestatica azul</t>
  </si>
  <si>
    <t>Punta reemplazo pluma stylus para Galaxy blanco</t>
  </si>
  <si>
    <t>FLX00662</t>
  </si>
  <si>
    <t>Punta reemplazo pluma stylus para Galaxy negro</t>
  </si>
  <si>
    <t>FLX00658</t>
  </si>
  <si>
    <t>RCM Switch negro</t>
  </si>
  <si>
    <t>Receptor bluetooth aux auto estereo</t>
  </si>
  <si>
    <t>Receptor bluetooth aux USB</t>
  </si>
  <si>
    <t>FLX03757</t>
  </si>
  <si>
    <t>Rollo adhesivo 10MM 50M rojo</t>
  </si>
  <si>
    <t>FLX01158</t>
  </si>
  <si>
    <t>Rollo adhesivo 1CM 10mm 50M negro</t>
  </si>
  <si>
    <t>FLX01161</t>
  </si>
  <si>
    <t>Rollo adhesivo 1MM 50M rojo</t>
  </si>
  <si>
    <t>FLX01154</t>
  </si>
  <si>
    <t>Rollo adhesivo 2MM 50M negro 1</t>
  </si>
  <si>
    <t>FLX01159</t>
  </si>
  <si>
    <t>Rollo adhesivo 2MM 50M negro 2</t>
  </si>
  <si>
    <t>Rollo adhesivo 2MM 50M rojo 1</t>
  </si>
  <si>
    <t>Rollo adhesivo 2MM 50M rojo 2</t>
  </si>
  <si>
    <t>FLX01875</t>
  </si>
  <si>
    <t>Rollo adhesivo 3MM 50M rojo</t>
  </si>
  <si>
    <t>FLX01156</t>
  </si>
  <si>
    <t>Rollo adhesivo 5MM 50M negro</t>
  </si>
  <si>
    <t>FLX01160</t>
  </si>
  <si>
    <t>Rollo adhesivo 5MM 50M rojo</t>
  </si>
  <si>
    <t>FLX01157</t>
  </si>
  <si>
    <t>Rsim 12</t>
  </si>
  <si>
    <t>FLX03934</t>
  </si>
  <si>
    <t>Rsim 14</t>
  </si>
  <si>
    <t>FLX00362</t>
  </si>
  <si>
    <t>Rsim Gevey 10+ iOS 7.X 10.X i5 i5S i6 i6S Plus</t>
  </si>
  <si>
    <t>FLX03712</t>
  </si>
  <si>
    <t>Sim card tarjeta Sprint chip</t>
  </si>
  <si>
    <t>FLX03736</t>
  </si>
  <si>
    <t>Sim card tarjeta Verizon chip</t>
  </si>
  <si>
    <t>FLX03771</t>
  </si>
  <si>
    <t>Sim chip card tarjeta AT&amp;T ATT</t>
  </si>
  <si>
    <t>FLX03343</t>
  </si>
  <si>
    <t>Soporte plástico boton home para iPad 2</t>
  </si>
  <si>
    <t>FLX02180</t>
  </si>
  <si>
    <t>Soporte plastico replegable verde</t>
  </si>
  <si>
    <t>FLX03334</t>
  </si>
  <si>
    <t>Stencil Universal 4 pzas en 1</t>
  </si>
  <si>
    <t>Stencil Universal 80 en 1 1pza</t>
  </si>
  <si>
    <t>Tapa camara webcam espia laptop aluminio negro</t>
  </si>
  <si>
    <t>FLX00106</t>
  </si>
  <si>
    <t>Tapa camara webcam espia laptop aluminio plata</t>
  </si>
  <si>
    <t>FLX00148</t>
  </si>
  <si>
    <t>Tapa camara webcam espia tablet laptop negro</t>
  </si>
  <si>
    <t>FLX00073</t>
  </si>
  <si>
    <t>Tapa control para Xbox 360 blanco</t>
  </si>
  <si>
    <t>Tapa control para Xbox 360 negro</t>
  </si>
  <si>
    <t>Tapa control para Xbox One blanco</t>
  </si>
  <si>
    <t>Tapa control para Xbox One negro</t>
  </si>
  <si>
    <t>Tapa cubierta superior inferior para HTC M8 Negro</t>
  </si>
  <si>
    <t>FLX03789</t>
  </si>
  <si>
    <t>Tapa cubierta superior inferior para HTC M8 Oro</t>
  </si>
  <si>
    <t>FLX03788</t>
  </si>
  <si>
    <t>Tapa cubierta superior inferior para HTC M8 Plata</t>
  </si>
  <si>
    <t>FLX03790</t>
  </si>
  <si>
    <t>Tapa cubierta superior inferior para Huawei Mate 8</t>
  </si>
  <si>
    <t>FLX03902</t>
  </si>
  <si>
    <t>Tapa esquinas para Xperia Z3 cafe</t>
  </si>
  <si>
    <t>FLX01888</t>
  </si>
  <si>
    <t>Tapa esquinas para Xperia Z3 negro gris</t>
  </si>
  <si>
    <t>FLX01885</t>
  </si>
  <si>
    <t>Tapa esquinas para Xperia Z3 plata</t>
  </si>
  <si>
    <t>FLX02287</t>
  </si>
  <si>
    <t>Tapa esquinas para Xperia Z3 verde</t>
  </si>
  <si>
    <t>FLX01886</t>
  </si>
  <si>
    <t>Tapa esquinas para Xperia Z5 oro</t>
  </si>
  <si>
    <t>FLX02032</t>
  </si>
  <si>
    <t>Tapa esquinas para Xperia Z5 plata</t>
  </si>
  <si>
    <t>FLX02046</t>
  </si>
  <si>
    <t>Tapa esquinas para Xperia Z5 Premium negro</t>
  </si>
  <si>
    <t>FLX03278</t>
  </si>
  <si>
    <t>Tapa esquinas para Xperia Z5 Premium oro</t>
  </si>
  <si>
    <t>FLX03280</t>
  </si>
  <si>
    <t>Tapa esquinas para Xperia Z5 Premium plata</t>
  </si>
  <si>
    <t>FLX03279</t>
  </si>
  <si>
    <t>Tapa inferior para iPhone 2G</t>
  </si>
  <si>
    <t>FLX03418</t>
  </si>
  <si>
    <t>Tapa par superior inferior para Huawei G7 blanco</t>
  </si>
  <si>
    <t>FLX00353</t>
  </si>
  <si>
    <t>Tapa par superior inferior para Huawei G7 gris</t>
  </si>
  <si>
    <t>FLX03754</t>
  </si>
  <si>
    <t>Tapa para Galaxy A3 A300 2015 azul</t>
  </si>
  <si>
    <t>FLX00487</t>
  </si>
  <si>
    <t>Tapa para Galaxy A3 A300 2015 blanco</t>
  </si>
  <si>
    <t>FLX00488</t>
  </si>
  <si>
    <t>Tapa para Galaxy A3 A310 2016 blanco</t>
  </si>
  <si>
    <t>FLX03829</t>
  </si>
  <si>
    <t>Tapa para Galaxy A30 A305 negro</t>
  </si>
  <si>
    <t>Tapa para Galaxy A5 A510 2016 negro</t>
  </si>
  <si>
    <t>Tapa para Galaxy A5 A510 2016 rosa</t>
  </si>
  <si>
    <t>Tapa para Galaxy A7 A710 2016 negro</t>
  </si>
  <si>
    <t>FLX01745</t>
  </si>
  <si>
    <t>Tapa para Galaxy A7 A710 2016 rosa</t>
  </si>
  <si>
    <t>FLX01456</t>
  </si>
  <si>
    <t>Tapa para Galaxy A7 A750 2018 azul</t>
  </si>
  <si>
    <t>FLX00428</t>
  </si>
  <si>
    <t>Tapa para Galaxy A7 A750 2018 negro</t>
  </si>
  <si>
    <t>FLX00427</t>
  </si>
  <si>
    <t>Tapa para Galaxy Ace S5830 blanco</t>
  </si>
  <si>
    <t>FLX01966</t>
  </si>
  <si>
    <t>Tapa para Galaxy Grand Prime G530 blanco</t>
  </si>
  <si>
    <t>FLX03681</t>
  </si>
  <si>
    <t>Tapa para Galaxy J1 J100 2015 azul</t>
  </si>
  <si>
    <t>FLX00514</t>
  </si>
  <si>
    <t>Tapa para Galaxy J1 J100 2015 blanco</t>
  </si>
  <si>
    <t>FLX00515</t>
  </si>
  <si>
    <t>Tapa para Galaxy J2 J200 blanco</t>
  </si>
  <si>
    <t>FLX00513</t>
  </si>
  <si>
    <t>Tapa para Galaxy J2 J200 oro</t>
  </si>
  <si>
    <t>FLX00512</t>
  </si>
  <si>
    <t>Tapa para Galaxy J7 J710 2016 blanco</t>
  </si>
  <si>
    <t>FLX00517</t>
  </si>
  <si>
    <t>Tapa para Galaxy J7 J710 2016 negro</t>
  </si>
  <si>
    <t>FLX00516</t>
  </si>
  <si>
    <t>Tapa para Galaxy J7 J710 2016 oro</t>
  </si>
  <si>
    <t>FLX00519</t>
  </si>
  <si>
    <t>Tapa para Galaxy J7 J710 2016 rosa</t>
  </si>
  <si>
    <t>FLX00518</t>
  </si>
  <si>
    <t>Tapa para Galaxy Note 2 N7100 azul</t>
  </si>
  <si>
    <t>FLX03642</t>
  </si>
  <si>
    <t>Tapa para Galaxy Note 4 N910 blanco</t>
  </si>
  <si>
    <t>FLX03636</t>
  </si>
  <si>
    <t>Tapa para Galaxy Note 4 N910 negro</t>
  </si>
  <si>
    <t>FLX03637</t>
  </si>
  <si>
    <t>Tapa para Galaxy Note 4 N910 rosa</t>
  </si>
  <si>
    <t>FLX02101</t>
  </si>
  <si>
    <t>Tapa para Galaxy Note 5 N920 rosa</t>
  </si>
  <si>
    <t>FLX03764</t>
  </si>
  <si>
    <t>Tapa para Galaxy Note 8 N950 gris</t>
  </si>
  <si>
    <t>FLX00867</t>
  </si>
  <si>
    <t>Tapa para Galaxy Note 8 N950 oro</t>
  </si>
  <si>
    <t>FLX00868</t>
  </si>
  <si>
    <t>Tapa para Galaxy Note N7000 blanco</t>
  </si>
  <si>
    <t>FLX03408</t>
  </si>
  <si>
    <t>Tapa para Galaxy S I9000 blanco</t>
  </si>
  <si>
    <t>FLX03375</t>
  </si>
  <si>
    <t>Tapa para Galaxy S3 I9300 gris</t>
  </si>
  <si>
    <t>FLX03655</t>
  </si>
  <si>
    <t>Tapa para Galaxy S3 Mini I8190 gris</t>
  </si>
  <si>
    <t>FLX03407</t>
  </si>
  <si>
    <t>Tapa para Galaxy S5 G900 azul</t>
  </si>
  <si>
    <t>FLX03641</t>
  </si>
  <si>
    <t>Tapa para Galaxy S6 Edge G925 blanco</t>
  </si>
  <si>
    <t>FLX03643</t>
  </si>
  <si>
    <t>Tapa para Galaxy S6 Edge G925 negro</t>
  </si>
  <si>
    <t>FLX03644</t>
  </si>
  <si>
    <t>Tapa para Galaxy S6 Edge G925 oro</t>
  </si>
  <si>
    <t>FLX03645</t>
  </si>
  <si>
    <t>Tapa para Galaxy S6 Edge Plus G928 azul</t>
  </si>
  <si>
    <t>FLX03808</t>
  </si>
  <si>
    <t>Tapa para Galaxy S6 Edge Plus G928 blanco</t>
  </si>
  <si>
    <t>FLX03809</t>
  </si>
  <si>
    <t>Tapa para Galaxy S6 G920 azul claro</t>
  </si>
  <si>
    <t>FLX03778</t>
  </si>
  <si>
    <t>Tapa para Galaxy S6 G920 azul marino</t>
  </si>
  <si>
    <t>FLX03640</t>
  </si>
  <si>
    <t>Tapa para Galaxy S6 G920 azul metalico</t>
  </si>
  <si>
    <t>FLX03573</t>
  </si>
  <si>
    <t>Tapa para Galaxy S6 G920 blanco</t>
  </si>
  <si>
    <t>FLX03638</t>
  </si>
  <si>
    <t>Tapa para Galaxy S6 G920 oro</t>
  </si>
  <si>
    <t>FLX03639</t>
  </si>
  <si>
    <t>Tapa para Galaxy S7 Edge G935 plata</t>
  </si>
  <si>
    <t>Tapa para Galaxy S7 G930 blanco</t>
  </si>
  <si>
    <t>FLX03794</t>
  </si>
  <si>
    <t>Tapa para Galaxy S7 G930 plata</t>
  </si>
  <si>
    <t>FLX03830</t>
  </si>
  <si>
    <t>Tapa para Galaxy S8 G950 negro 1</t>
  </si>
  <si>
    <t>FLX00820</t>
  </si>
  <si>
    <t>Tapa para Galaxy S8 G950 negro 2</t>
  </si>
  <si>
    <t>FLX02294</t>
  </si>
  <si>
    <t>Tapa para Galaxy S8 G950 rosa</t>
  </si>
  <si>
    <t>FLX02036</t>
  </si>
  <si>
    <t>Tapa para Galaxy S8 Plus G955 oro</t>
  </si>
  <si>
    <t>FLX01772</t>
  </si>
  <si>
    <t>Tapa para Galaxy S8 Plus G955 rosa</t>
  </si>
  <si>
    <t>FLX01771</t>
  </si>
  <si>
    <t>Tapa para Galaxy S9 G960 azul 1</t>
  </si>
  <si>
    <t>FLX00821</t>
  </si>
  <si>
    <t>Tapa para Galaxy S9 G960 azul 2</t>
  </si>
  <si>
    <t>FLX02292</t>
  </si>
  <si>
    <t>Tapa para Galaxy S9 G960 gris</t>
  </si>
  <si>
    <t>FLX01695</t>
  </si>
  <si>
    <t>Tapa para Galaxy S9 G960 negro 1</t>
  </si>
  <si>
    <t>FLX01457</t>
  </si>
  <si>
    <t>Tapa para Galaxy S9 G960 negro 2</t>
  </si>
  <si>
    <t>FLX02293</t>
  </si>
  <si>
    <t>Tapa para Huawei P10 Lite WAS-LX1 azul 1</t>
  </si>
  <si>
    <t>FLX00753</t>
  </si>
  <si>
    <t>Tapa para Huawei P10 Lite WAS-LX1 azul 2</t>
  </si>
  <si>
    <t>FLX01877</t>
  </si>
  <si>
    <t>Tapa para Huawei P10 Lite WAS-LX1 azul 3</t>
  </si>
  <si>
    <t>Tapa para Huawei P10 Lite WAS-LX1 negro 1</t>
  </si>
  <si>
    <t>Tapa para Huawei P10 Lite WAS-LX1 negro 2</t>
  </si>
  <si>
    <t>FLX00750</t>
  </si>
  <si>
    <t>Tapa para Huawei P10 Lite WAS-LX1 oro 1</t>
  </si>
  <si>
    <t>FLX00538</t>
  </si>
  <si>
    <t>Tapa para Huawei P10 Lite WAS-LX1 oro 2</t>
  </si>
  <si>
    <t>Tapa para Huawei P20 EML-L29 azul</t>
  </si>
  <si>
    <t>FLX03922</t>
  </si>
  <si>
    <t>Tapa para Huawei P20 Lite ANE-LX1 azul</t>
  </si>
  <si>
    <t>FLX03920</t>
  </si>
  <si>
    <t>Tapa para Huawei P20 Lite ANE-LX1 oro</t>
  </si>
  <si>
    <t>FLX03284</t>
  </si>
  <si>
    <t>Tapa para Huawei P20 Lite ANE-LX1 rosa</t>
  </si>
  <si>
    <t>FLX03921</t>
  </si>
  <si>
    <t>Tapa para Huawei P20 Pro CLT-L29 azul</t>
  </si>
  <si>
    <t>FLX03273</t>
  </si>
  <si>
    <t>Tapa para Huawei P20 Pro CLT-L29 negro</t>
  </si>
  <si>
    <t>FLX03275</t>
  </si>
  <si>
    <t>Tapa para Huawei P20 Pro CLT-L29 rosa</t>
  </si>
  <si>
    <t>FLX03276</t>
  </si>
  <si>
    <t>Tapa para Huawei P20 Pro CLT-L29 tornasol</t>
  </si>
  <si>
    <t>FLX03274</t>
  </si>
  <si>
    <t>Tapa para Huawei P30 Lite MAR-LX2 azul 1</t>
  </si>
  <si>
    <t>Tapa para Huawei P30 Lite MAR-LX2 azul 2</t>
  </si>
  <si>
    <t>FLX02713</t>
  </si>
  <si>
    <t>Tapa para Huawei P8 Lite 2017 PRA-LX1 blanco</t>
  </si>
  <si>
    <t>FLX03817</t>
  </si>
  <si>
    <t>Tapa para Huawei P8 Lite ALE-L21 blanco</t>
  </si>
  <si>
    <t>FLX03710</t>
  </si>
  <si>
    <t>Tapa para Huawei P8 Lite ANE-LX1 oro</t>
  </si>
  <si>
    <t>FLX03277</t>
  </si>
  <si>
    <t>Tapa para Huawei P9 Lite VNS-L31 blanco</t>
  </si>
  <si>
    <t>FLX03818</t>
  </si>
  <si>
    <t>Tapa para iPhone 3G 16gb blanco</t>
  </si>
  <si>
    <t>FLX03312</t>
  </si>
  <si>
    <t>Tapa para iPhone 3G 16gb negro</t>
  </si>
  <si>
    <t>FLX03342</t>
  </si>
  <si>
    <t>Tapa para iPhone 3G 8gb blanco</t>
  </si>
  <si>
    <t>FLX03310</t>
  </si>
  <si>
    <t>Tapa para iPhone 3G 8gb negro</t>
  </si>
  <si>
    <t>FLX03311</t>
  </si>
  <si>
    <t>Tapa para iPhone 3GS 32gb negro</t>
  </si>
  <si>
    <t>FLX03309</t>
  </si>
  <si>
    <t>Tapa para iPhone 4 blanco</t>
  </si>
  <si>
    <t>FLX02745</t>
  </si>
  <si>
    <t>Tapa para iPhone 4 negro</t>
  </si>
  <si>
    <t>Tapa para iPhone 4S blanco</t>
  </si>
  <si>
    <t>Tapa para iPhone 5 blanco</t>
  </si>
  <si>
    <t>FLX03446</t>
  </si>
  <si>
    <t>Tapa para iPhone X blanco</t>
  </si>
  <si>
    <t>FLX00925</t>
  </si>
  <si>
    <t>Tapa para iPhone X negro</t>
  </si>
  <si>
    <t>Tapa para iPod Touch 2 32gb</t>
  </si>
  <si>
    <t>FLX03554</t>
  </si>
  <si>
    <t>Tapa para iPod Touch 3 16gb</t>
  </si>
  <si>
    <t>FLX03552</t>
  </si>
  <si>
    <t>Tapa para iPod Touch 3 32gb</t>
  </si>
  <si>
    <t>FLX03553</t>
  </si>
  <si>
    <t>Tapa para iPod Touch 4 16gb blanco</t>
  </si>
  <si>
    <t>FLX03528</t>
  </si>
  <si>
    <t>Tapa para iPod Touch 4 32gb blanco</t>
  </si>
  <si>
    <t>Tapa para iPod Touch 4 64gb blanco</t>
  </si>
  <si>
    <t>FLX03506</t>
  </si>
  <si>
    <t>Tapa para iPod Touch 4 8gb blanco</t>
  </si>
  <si>
    <t>FLX03505</t>
  </si>
  <si>
    <t>Tapa para LG G6 H870 azul</t>
  </si>
  <si>
    <t>FLX01461</t>
  </si>
  <si>
    <t>Tapa para LG G6 H870 blanco</t>
  </si>
  <si>
    <t>Tapa para LG G6 H870 oro</t>
  </si>
  <si>
    <t>FLX01462</t>
  </si>
  <si>
    <t>Tapa para Moto E5 Plus XT1924 azul</t>
  </si>
  <si>
    <t>FLX00445</t>
  </si>
  <si>
    <t>Tapa para Moto E5 Plus XT1924 oro</t>
  </si>
  <si>
    <t>FLX01458</t>
  </si>
  <si>
    <t>Tapa para Moto G6 Play XT1922 azul</t>
  </si>
  <si>
    <t>Tapa para Moto G6 Play XT1922 oro</t>
  </si>
  <si>
    <t>FLX00457</t>
  </si>
  <si>
    <t>Tapa para Moto G6 Plus XT1926 azul</t>
  </si>
  <si>
    <t>Tapa para Moto G7 Play XT1952 negro</t>
  </si>
  <si>
    <t>FLX00438</t>
  </si>
  <si>
    <t>Tapa para Moto G7 Play XT1952 oro</t>
  </si>
  <si>
    <t>Tapa para Moto G7 Plus XT1965 azul 1</t>
  </si>
  <si>
    <t>Tapa para Moto G7 Plus XT1965 azul 2</t>
  </si>
  <si>
    <t>Tapa para Moto G7 Plus XT1965 rojo 1</t>
  </si>
  <si>
    <t>FLX00446</t>
  </si>
  <si>
    <t>Tapa para Moto G7 Plus XT1965 rojo 2</t>
  </si>
  <si>
    <t>Tapa para Moto G7 Power XT1955 azul</t>
  </si>
  <si>
    <t>Tapa para Moto G7 Power XT1955 negro</t>
  </si>
  <si>
    <t>FLX00447</t>
  </si>
  <si>
    <t>Tapa para Moto Nexus 6 XT1100 azul</t>
  </si>
  <si>
    <t>FLX02239</t>
  </si>
  <si>
    <t>Tapa para Moto Nexus 6 XT1100 blanco</t>
  </si>
  <si>
    <t>FLX01460</t>
  </si>
  <si>
    <t>Tapa para Moto One Play P30 XT1941 blanco 1</t>
  </si>
  <si>
    <t>FLX00751</t>
  </si>
  <si>
    <t>Tapa para Moto One Play P30 XT1941 blanco 2</t>
  </si>
  <si>
    <t>Tapa para Moto One Play P30 XT1941 negro 1</t>
  </si>
  <si>
    <t>FLX00441</t>
  </si>
  <si>
    <t>Tapa para Moto One Play P30 XT1941 negro 2</t>
  </si>
  <si>
    <t>FLX01881</t>
  </si>
  <si>
    <t>Tapa para Moto One Vision XT1970 azul</t>
  </si>
  <si>
    <t>Tapa para Moto One Vision XT1970 cafe</t>
  </si>
  <si>
    <t>Tapa para PSP 1000 negro</t>
  </si>
  <si>
    <t>FLX02773</t>
  </si>
  <si>
    <t>Tapa para PSP 2000 3000 negro</t>
  </si>
  <si>
    <t>FLX02774</t>
  </si>
  <si>
    <t>Tapa para Xiaomi Redmi Note 8 azul 1</t>
  </si>
  <si>
    <t>FLX00091</t>
  </si>
  <si>
    <t>Tapa para Xiaomi Redmi Note 8 azul 2</t>
  </si>
  <si>
    <t>FLX00930</t>
  </si>
  <si>
    <t>Tapa para Xiaomi Redmi Note 8 blanco 1</t>
  </si>
  <si>
    <t>FLX00731</t>
  </si>
  <si>
    <t>Tapa para Xiaomi Redmi Note 8 blanco 2</t>
  </si>
  <si>
    <t>Tapa para Xiaomi Redmi Note 8 negro 1</t>
  </si>
  <si>
    <t>FLX00039</t>
  </si>
  <si>
    <t>Tapa para Xiaomi Redmi Note 8 negro 2</t>
  </si>
  <si>
    <t>Tapa para Xperia C5 Ultra blanco</t>
  </si>
  <si>
    <t>FLX03815</t>
  </si>
  <si>
    <t>Tapa para Xperia C5 Ultra negro</t>
  </si>
  <si>
    <t>FLX03814</t>
  </si>
  <si>
    <t>Tapa para Xperia C5 Ultra verde</t>
  </si>
  <si>
    <t>FLX03816</t>
  </si>
  <si>
    <t>Tapa para Xperia J negro</t>
  </si>
  <si>
    <t>FLX03703</t>
  </si>
  <si>
    <t>Tapa para Xperia M4 Aqua negro</t>
  </si>
  <si>
    <t>FLX01805</t>
  </si>
  <si>
    <t>Tapa para Xperia M5 negro</t>
  </si>
  <si>
    <t>FLX03783</t>
  </si>
  <si>
    <t>Tapa para Xperia X Compact blanco</t>
  </si>
  <si>
    <t>FLX03834</t>
  </si>
  <si>
    <t>Tapa para Xperia X Compact negro</t>
  </si>
  <si>
    <t>FLX03833</t>
  </si>
  <si>
    <t>Tapa para Xperia X Ray Compact azul</t>
  </si>
  <si>
    <t>FLX03835</t>
  </si>
  <si>
    <t>Tapa para Xperia XA amarillo</t>
  </si>
  <si>
    <t>FLX00521</t>
  </si>
  <si>
    <t>Tapa para Xperia XA blanco</t>
  </si>
  <si>
    <t>FLX00522</t>
  </si>
  <si>
    <t>Tapa para Xperia XA negro</t>
  </si>
  <si>
    <t>FLX00523</t>
  </si>
  <si>
    <t>Tapa para Xperia XA rosa</t>
  </si>
  <si>
    <t>FLX00524</t>
  </si>
  <si>
    <t>Tapa para Xperia Z morado</t>
  </si>
  <si>
    <t>FLX03670</t>
  </si>
  <si>
    <t>Tapa para Xperia Z negro</t>
  </si>
  <si>
    <t>FLX03669</t>
  </si>
  <si>
    <t>Tapa para Xperia Z Ultra morado</t>
  </si>
  <si>
    <t>FLX03682</t>
  </si>
  <si>
    <t>Tapa para Xperia Z1 blanco</t>
  </si>
  <si>
    <t>FLX03679</t>
  </si>
  <si>
    <t>Tapa para Xperia Z1 Compact blanco</t>
  </si>
  <si>
    <t>FLX02057</t>
  </si>
  <si>
    <t>Tapa para Xperia Z1 Compact negro</t>
  </si>
  <si>
    <t>FLX00568</t>
  </si>
  <si>
    <t>Tapa para Xperia Z1 Compact rosa</t>
  </si>
  <si>
    <t>FLX02058</t>
  </si>
  <si>
    <t>Tapa para Xperia Z1 Compact verde</t>
  </si>
  <si>
    <t>FLX01812</t>
  </si>
  <si>
    <t>Tapa para Xperia Z3 blanco</t>
  </si>
  <si>
    <t>FLX01962</t>
  </si>
  <si>
    <t>Tapa para Xperia Z3 cafe</t>
  </si>
  <si>
    <t>FLX01961</t>
  </si>
  <si>
    <t>Tapa para Xperia Z3 Compact blanco</t>
  </si>
  <si>
    <t>FLX03545</t>
  </si>
  <si>
    <t>Tapa para Xperia Z3 Compact rojo</t>
  </si>
  <si>
    <t>Tapa para Xperia Z3 Compact verde</t>
  </si>
  <si>
    <t>Tapa para Xperia Z3 morado</t>
  </si>
  <si>
    <t>FLX01963</t>
  </si>
  <si>
    <t>Tapa para Xperia Z3 Plus oro</t>
  </si>
  <si>
    <t>FLX01960</t>
  </si>
  <si>
    <t>Tapa para Xperia Z5 Compact amarillo</t>
  </si>
  <si>
    <t>FLX03810</t>
  </si>
  <si>
    <t>Tapa para Xperia Z5 Compact blanco</t>
  </si>
  <si>
    <t>Tapa para Xperia Z5 Compact coral</t>
  </si>
  <si>
    <t>Tapa para Xperia Z5 negro</t>
  </si>
  <si>
    <t>FLX03668</t>
  </si>
  <si>
    <t>Tapa para Xperia Z5 plata</t>
  </si>
  <si>
    <t>FLX03667</t>
  </si>
  <si>
    <t>Tapa para Xperia Z5 Premium negro</t>
  </si>
  <si>
    <t>FLX03802</t>
  </si>
  <si>
    <t>Tapa SD para Xperia M2 negro</t>
  </si>
  <si>
    <t>FLX01945</t>
  </si>
  <si>
    <t>Tapa SD para Xperia M2 plata</t>
  </si>
  <si>
    <t>FLX01946</t>
  </si>
  <si>
    <t>Tapa SD para Xperia Z3 Plus negro</t>
  </si>
  <si>
    <t>FLX03672</t>
  </si>
  <si>
    <t>Tapa SD para Xperia Z3 Plus oro</t>
  </si>
  <si>
    <t>FLX03674</t>
  </si>
  <si>
    <t>Tapa SD para Xperia Z3 Plus plata</t>
  </si>
  <si>
    <t>FLX03673</t>
  </si>
  <si>
    <t>Tapa SD sim para Xperia M5 negro</t>
  </si>
  <si>
    <t>FLX03759</t>
  </si>
  <si>
    <t>Tapa SD sim para Xperia M5 plata</t>
  </si>
  <si>
    <t>FLX02163</t>
  </si>
  <si>
    <t>Tapa SD USB para Xperia M4 negro</t>
  </si>
  <si>
    <t>FLX02155</t>
  </si>
  <si>
    <t>Tapa SD USB para Xperia M4 plata</t>
  </si>
  <si>
    <t>FLX02156</t>
  </si>
  <si>
    <t>Tapa SD USB sim para Xperia T2 Ultra negro</t>
  </si>
  <si>
    <t>FLX03671</t>
  </si>
  <si>
    <t>Tapa SD USB sim para Xperia Z1 Compact negro</t>
  </si>
  <si>
    <t>FLX03550</t>
  </si>
  <si>
    <t>Tapa SD USB sim para Xperia Z1 Compact rosa</t>
  </si>
  <si>
    <t>FLX03592</t>
  </si>
  <si>
    <t>Tapa SD USB sim para Xperia Z1 Compact verde</t>
  </si>
  <si>
    <t>FLX03591</t>
  </si>
  <si>
    <t>Tapa SD USB sim para Xperia Z1 morado</t>
  </si>
  <si>
    <t>FLX02564</t>
  </si>
  <si>
    <t>Tapa SD USB sim para Xperia Z1 negro</t>
  </si>
  <si>
    <t>FLX02565</t>
  </si>
  <si>
    <t>Tapa SD USB sim para Xperia Z1 plata</t>
  </si>
  <si>
    <t>FLX02563</t>
  </si>
  <si>
    <t>Tapa SD USB sim para Xperia Z2 negro</t>
  </si>
  <si>
    <t>FLX03540</t>
  </si>
  <si>
    <t>Tapa SD USB sim para Xperia Z2 plata</t>
  </si>
  <si>
    <t>FLX03541</t>
  </si>
  <si>
    <t>Tapa SD USB sim para Xperia Z3 Compact negro</t>
  </si>
  <si>
    <t>FLX01768</t>
  </si>
  <si>
    <t>Tapa SD USB sim para Xperia Z3 Compact plata</t>
  </si>
  <si>
    <t>FLX03544</t>
  </si>
  <si>
    <t>Tapa SD USB sim para Xperia Z3 Compact rojo</t>
  </si>
  <si>
    <t>FLX01814</t>
  </si>
  <si>
    <t>Tapa SD USB sim para Xperia Z3 negro</t>
  </si>
  <si>
    <t>FLX03543</t>
  </si>
  <si>
    <t>Tapa SD USB sim para Xperia Z3 plata</t>
  </si>
  <si>
    <t>FLX03546</t>
  </si>
  <si>
    <t>Tapa USB botones para Galaxy S4 Active</t>
  </si>
  <si>
    <t>FLX01830</t>
  </si>
  <si>
    <t>Tapa USB HDMI para Xperia Z plata</t>
  </si>
  <si>
    <t>FLX02133</t>
  </si>
  <si>
    <t>Tapa USB para Galaxy S5 G900 oro</t>
  </si>
  <si>
    <t>FLX01833</t>
  </si>
  <si>
    <t>Tapa USB para Galaxy S5 G900 plata</t>
  </si>
  <si>
    <t>FLX00856</t>
  </si>
  <si>
    <t>Tapa USB para Galaxy S5 G900 tornillo oro</t>
  </si>
  <si>
    <t>FLX03612</t>
  </si>
  <si>
    <t>Tapa USB para Galaxy S5 G900 tornillo plata</t>
  </si>
  <si>
    <t>FLX03613</t>
  </si>
  <si>
    <t>Tapete tapiz lienzo reparacion azul</t>
  </si>
  <si>
    <t>Tarjeta adaptador NVEM M.2 Mac</t>
  </si>
  <si>
    <t>FLX02867</t>
  </si>
  <si>
    <t>Tarjeta capturadora video HDMI</t>
  </si>
  <si>
    <t>FLX01050</t>
  </si>
  <si>
    <t>Tarjeta Carplay 2 en 1 Android auto inalambrico</t>
  </si>
  <si>
    <t>FLX02868</t>
  </si>
  <si>
    <t>Tarjeta leds indicador carga scooter patin</t>
  </si>
  <si>
    <t>FLX02161</t>
  </si>
  <si>
    <t>Tarjeta leds indicador lateral scooter patin</t>
  </si>
  <si>
    <t>FLX03739</t>
  </si>
  <si>
    <t>Tarjeta leds indicador status scooter patin</t>
  </si>
  <si>
    <t>FLX03740</t>
  </si>
  <si>
    <t>Tarjeta logica impresora Epson L555</t>
  </si>
  <si>
    <t>FLX02886</t>
  </si>
  <si>
    <t>Tarjeta memoria para PlayStation PS2 128MB</t>
  </si>
  <si>
    <t>FLX03932</t>
  </si>
  <si>
    <t>Tarjeta PCIE 1X NVEM 4.0</t>
  </si>
  <si>
    <t>FLX02866</t>
  </si>
  <si>
    <t>Templado camara para iPhone 7 Plus</t>
  </si>
  <si>
    <t>FLX02284</t>
  </si>
  <si>
    <t>Templado camara para Xiaomi Poco NFC X3</t>
  </si>
  <si>
    <t>Tira lamina adhesivo (1 pza) 20x20CM</t>
  </si>
  <si>
    <t>FLX01141</t>
  </si>
  <si>
    <t>Tira lamina adhesivo (1 pza) 21x28CM 1</t>
  </si>
  <si>
    <t>FLX01808</t>
  </si>
  <si>
    <t>Tira lamina adhesivo (1 pza) 21x28CM 2</t>
  </si>
  <si>
    <t>FLX01911</t>
  </si>
  <si>
    <t>Tornillo para Macbook Air Pro DD SSD</t>
  </si>
  <si>
    <t>FLX00476</t>
  </si>
  <si>
    <t>Tornillo tapa bateria teclado para iMac 1</t>
  </si>
  <si>
    <t>FLX01057</t>
  </si>
  <si>
    <t>Tornillo tapa bateria teclado para iMac 2</t>
  </si>
  <si>
    <t>FLX01882</t>
  </si>
  <si>
    <t>Tornillos iPhone 5 5S 6 6P negro dock 1 pza</t>
  </si>
  <si>
    <t>FLX01061</t>
  </si>
  <si>
    <t>Tornillos iPhone 5 5S 6 6P oro dock 1 pza</t>
  </si>
  <si>
    <t>FLX01059</t>
  </si>
  <si>
    <t>Tornillos iPhone 5 5S 6 6P plata dock 1 pza</t>
  </si>
  <si>
    <t>FLX01060</t>
  </si>
  <si>
    <t>Tornillos iPhone 6S 6SP dock 1 pieza oro</t>
  </si>
  <si>
    <t>Tornillos iPhone 6S 6SP dock 1 pieza rosa</t>
  </si>
  <si>
    <t>FLX01064</t>
  </si>
  <si>
    <t>Tornillos iPhone 6S 6SP dock 1 pza plata</t>
  </si>
  <si>
    <t>Tornillos iPhone 7 y plus plata dock 1 pza</t>
  </si>
  <si>
    <t>FLX01747</t>
  </si>
  <si>
    <t>Tornillos iPhone 7 y plus rosa dock 1 pza</t>
  </si>
  <si>
    <t>FLX01746</t>
  </si>
  <si>
    <t>Tornillos para iPhone 4 4S dock 1 pieza pentalobe</t>
  </si>
  <si>
    <t>FLX01058</t>
  </si>
  <si>
    <t>Tornillos para iPhone 7 y plus negro dock 1 pza</t>
  </si>
  <si>
    <t>FLX01749</t>
  </si>
  <si>
    <t>Tornillos para iPhone 7 y plus oro dock 1 pza</t>
  </si>
  <si>
    <t>FLX01748</t>
  </si>
  <si>
    <t>Tornillos para Macbook Air A1370 A1465 A1369 A1466</t>
  </si>
  <si>
    <t>Tornillos para Macbook Pro A1278 A1286 A1297 1</t>
  </si>
  <si>
    <t>FLX00477</t>
  </si>
  <si>
    <t>Tornillos para Macbook Pro A1278 A1286 A1297 2</t>
  </si>
  <si>
    <t>FLX01858</t>
  </si>
  <si>
    <t>Tornillos para Macbook Pro A1278 A1286 A1297 3</t>
  </si>
  <si>
    <t>Tornillos para Macbook Pro A1278 A1286 A1297 4</t>
  </si>
  <si>
    <t>FLX01883</t>
  </si>
  <si>
    <t>Touch digitalizador para Lg L5 E610 marco blanco</t>
  </si>
  <si>
    <t>FLX03453</t>
  </si>
  <si>
    <t>Touch digitalizador para Lg L5 E610 marco negro</t>
  </si>
  <si>
    <t>FLX03409</t>
  </si>
  <si>
    <t>Touch para Nintendo DS</t>
  </si>
  <si>
    <t>FLX00881</t>
  </si>
  <si>
    <t>Tripie aluminio tornillo universal con control</t>
  </si>
  <si>
    <t>Tripie aluminio tornillo universal sin control</t>
  </si>
  <si>
    <t>FLX01038</t>
  </si>
  <si>
    <t>Tripie soporte celular flexible azul</t>
  </si>
  <si>
    <t>Tripie soporte celular flexible negro</t>
  </si>
  <si>
    <t>Tripie soporte celular flexible rojo</t>
  </si>
  <si>
    <t>FLX01148</t>
  </si>
  <si>
    <t>Tripie soporte celular flexible verde</t>
  </si>
  <si>
    <t>FLX01149</t>
  </si>
  <si>
    <t>Tripie soporte iPhone aluminio negro</t>
  </si>
  <si>
    <t>FLX01150</t>
  </si>
  <si>
    <t>Tripie soporte iPhone aluminio plata</t>
  </si>
  <si>
    <t>FLX01151</t>
  </si>
  <si>
    <t>Ventilador Izq + Dcho Asus FX506LI LH FX506LU LH</t>
  </si>
  <si>
    <t>FLX02885</t>
  </si>
  <si>
    <t>Ventilador Nintendo Switch recto con flex 1</t>
  </si>
  <si>
    <t>FLX00580</t>
  </si>
  <si>
    <t>Ventilador Nintendo Switch recto con flex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</si>
</sst>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ervi-cel.fm" TargetMode="External"/><Relationship Id="rId2" Type="http://schemas.openxmlformats.org/officeDocument/2006/relationships/hyperlink" Target="http://ontoy.mx" TargetMode="External"/><Relationship Id="rId3" Type="http://schemas.openxmlformats.org/officeDocument/2006/relationships/hyperlink" Target="http://melissa.tc" TargetMode="External"/><Relationship Id="rId4" Type="http://schemas.openxmlformats.org/officeDocument/2006/relationships/hyperlink" Target="http://melissa.tc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</row>
    <row r="2">
      <c r="A2" s="1" t="s">
        <v>55</v>
      </c>
      <c r="C2" s="1" t="s">
        <v>56</v>
      </c>
      <c r="D2" s="1" t="s">
        <v>57</v>
      </c>
      <c r="Y2" s="2">
        <v>45523.0</v>
      </c>
      <c r="AE2" s="1">
        <v>59.99</v>
      </c>
      <c r="AG2" s="3" t="str">
        <f>"2000006195087949"</f>
        <v>2000006195087949</v>
      </c>
      <c r="AH2" s="1" t="s">
        <v>58</v>
      </c>
      <c r="AI2" s="1" t="s">
        <v>59</v>
      </c>
      <c r="AJ2" s="1" t="s">
        <v>59</v>
      </c>
      <c r="AK2" s="1" t="s">
        <v>60</v>
      </c>
      <c r="AL2" s="1" t="s">
        <v>60</v>
      </c>
      <c r="AW2" s="1" t="s">
        <v>61</v>
      </c>
      <c r="AY2" s="1">
        <v>1.0</v>
      </c>
      <c r="AZ2" s="1">
        <v>59.99</v>
      </c>
      <c r="BB2" s="1">
        <v>59.99</v>
      </c>
    </row>
    <row r="3">
      <c r="A3" s="1" t="s">
        <v>62</v>
      </c>
      <c r="C3" s="1" t="s">
        <v>56</v>
      </c>
      <c r="D3" s="1" t="s">
        <v>63</v>
      </c>
      <c r="Y3" s="2">
        <v>45523.0</v>
      </c>
      <c r="AE3" s="1">
        <v>249.49</v>
      </c>
      <c r="AG3" s="3" t="str">
        <f>"2000006195071593"</f>
        <v>2000006195071593</v>
      </c>
      <c r="AH3" s="1" t="s">
        <v>58</v>
      </c>
      <c r="AI3" s="1" t="s">
        <v>59</v>
      </c>
      <c r="AJ3" s="1" t="s">
        <v>59</v>
      </c>
      <c r="AK3" s="1" t="s">
        <v>60</v>
      </c>
      <c r="AL3" s="1" t="s">
        <v>60</v>
      </c>
      <c r="AW3" s="1" t="s">
        <v>64</v>
      </c>
      <c r="AY3" s="1">
        <v>1.0</v>
      </c>
      <c r="AZ3" s="1">
        <v>249.49</v>
      </c>
      <c r="BB3" s="1">
        <v>249.49</v>
      </c>
    </row>
    <row r="4">
      <c r="A4" s="1" t="s">
        <v>65</v>
      </c>
      <c r="C4" s="1" t="s">
        <v>56</v>
      </c>
      <c r="D4" s="1" t="s">
        <v>66</v>
      </c>
      <c r="Y4" s="2">
        <v>45523.0</v>
      </c>
      <c r="AE4" s="1">
        <v>79.99</v>
      </c>
      <c r="AG4" s="3" t="str">
        <f>"2000006195069699"</f>
        <v>2000006195069699</v>
      </c>
      <c r="AH4" s="1" t="s">
        <v>58</v>
      </c>
      <c r="AI4" s="1" t="s">
        <v>59</v>
      </c>
      <c r="AJ4" s="1" t="s">
        <v>59</v>
      </c>
      <c r="AK4" s="1" t="s">
        <v>60</v>
      </c>
      <c r="AL4" s="1" t="s">
        <v>60</v>
      </c>
      <c r="AW4" s="1" t="s">
        <v>67</v>
      </c>
      <c r="AY4" s="1">
        <v>1.0</v>
      </c>
      <c r="AZ4" s="1">
        <v>79.99</v>
      </c>
      <c r="BB4" s="1">
        <v>79.99</v>
      </c>
    </row>
    <row r="5">
      <c r="A5" s="1" t="s">
        <v>68</v>
      </c>
      <c r="C5" s="1" t="s">
        <v>56</v>
      </c>
      <c r="D5" s="1" t="s">
        <v>69</v>
      </c>
      <c r="Y5" s="2">
        <v>45523.0</v>
      </c>
      <c r="AE5" s="1">
        <v>49.99</v>
      </c>
      <c r="AG5" s="3" t="str">
        <f>"2000009072248074"</f>
        <v>2000009072248074</v>
      </c>
      <c r="AH5" s="1" t="s">
        <v>58</v>
      </c>
      <c r="AI5" s="1" t="s">
        <v>59</v>
      </c>
      <c r="AJ5" s="1" t="s">
        <v>59</v>
      </c>
      <c r="AK5" s="1" t="s">
        <v>60</v>
      </c>
      <c r="AL5" s="1" t="s">
        <v>60</v>
      </c>
      <c r="AW5" s="1" t="s">
        <v>70</v>
      </c>
      <c r="AY5" s="1">
        <v>1.0</v>
      </c>
      <c r="AZ5" s="1">
        <v>49.99</v>
      </c>
      <c r="BB5" s="1">
        <v>49.99</v>
      </c>
    </row>
    <row r="6">
      <c r="A6" s="1" t="s">
        <v>71</v>
      </c>
      <c r="C6" s="1" t="s">
        <v>56</v>
      </c>
      <c r="D6" s="1" t="s">
        <v>72</v>
      </c>
      <c r="Y6" s="2">
        <v>45523.0</v>
      </c>
      <c r="AE6" s="1">
        <v>84.99</v>
      </c>
      <c r="AG6" s="3" t="str">
        <f>"2000006195053983"</f>
        <v>2000006195053983</v>
      </c>
      <c r="AH6" s="1" t="s">
        <v>58</v>
      </c>
      <c r="AI6" s="1" t="s">
        <v>59</v>
      </c>
      <c r="AJ6" s="1" t="s">
        <v>59</v>
      </c>
      <c r="AK6" s="1" t="s">
        <v>60</v>
      </c>
      <c r="AL6" s="1" t="s">
        <v>60</v>
      </c>
      <c r="AW6" s="1" t="s">
        <v>73</v>
      </c>
      <c r="AY6" s="1">
        <v>1.0</v>
      </c>
      <c r="AZ6" s="1">
        <v>84.99</v>
      </c>
      <c r="BB6" s="1">
        <v>84.99</v>
      </c>
    </row>
    <row r="7">
      <c r="A7" s="1" t="s">
        <v>74</v>
      </c>
      <c r="C7" s="1" t="s">
        <v>56</v>
      </c>
      <c r="D7" s="1" t="s">
        <v>75</v>
      </c>
      <c r="Y7" s="2">
        <v>45523.0</v>
      </c>
      <c r="AE7" s="1">
        <v>219.98</v>
      </c>
      <c r="AG7" s="3" t="str">
        <f>"2000006195034877"</f>
        <v>2000006195034877</v>
      </c>
      <c r="AH7" s="1" t="s">
        <v>58</v>
      </c>
      <c r="AI7" s="1" t="s">
        <v>59</v>
      </c>
      <c r="AJ7" s="1" t="s">
        <v>59</v>
      </c>
      <c r="AK7" s="1" t="s">
        <v>60</v>
      </c>
      <c r="AL7" s="1" t="s">
        <v>60</v>
      </c>
      <c r="AW7" s="1" t="s">
        <v>76</v>
      </c>
      <c r="AY7" s="1">
        <v>2.0</v>
      </c>
      <c r="AZ7" s="1">
        <v>109.99</v>
      </c>
      <c r="BB7" s="1">
        <v>219.98</v>
      </c>
    </row>
    <row r="8">
      <c r="A8" s="1" t="s">
        <v>77</v>
      </c>
      <c r="C8" s="1" t="s">
        <v>56</v>
      </c>
      <c r="D8" s="1" t="s">
        <v>78</v>
      </c>
      <c r="Y8" s="2">
        <v>45523.0</v>
      </c>
      <c r="AE8" s="1">
        <v>64.99</v>
      </c>
      <c r="AG8" s="3" t="str">
        <f>"2000006195022209"</f>
        <v>2000006195022209</v>
      </c>
      <c r="AH8" s="1" t="s">
        <v>58</v>
      </c>
      <c r="AI8" s="1" t="s">
        <v>59</v>
      </c>
      <c r="AJ8" s="1" t="s">
        <v>59</v>
      </c>
      <c r="AK8" s="1" t="s">
        <v>60</v>
      </c>
      <c r="AL8" s="1" t="s">
        <v>60</v>
      </c>
      <c r="AW8" s="1" t="s">
        <v>79</v>
      </c>
      <c r="AY8" s="1">
        <v>1.0</v>
      </c>
      <c r="AZ8" s="1">
        <v>64.99</v>
      </c>
      <c r="BB8" s="1">
        <v>64.99</v>
      </c>
    </row>
    <row r="9">
      <c r="A9" s="1" t="s">
        <v>80</v>
      </c>
      <c r="C9" s="1" t="s">
        <v>56</v>
      </c>
      <c r="D9" s="1" t="s">
        <v>81</v>
      </c>
      <c r="Y9" s="2">
        <v>45523.0</v>
      </c>
      <c r="AE9" s="1">
        <v>174.99</v>
      </c>
      <c r="AG9" s="3" t="str">
        <f>"2000006195025825"</f>
        <v>2000006195025825</v>
      </c>
      <c r="AH9" s="1" t="s">
        <v>58</v>
      </c>
      <c r="AI9" s="1" t="s">
        <v>59</v>
      </c>
      <c r="AJ9" s="1" t="s">
        <v>59</v>
      </c>
      <c r="AK9" s="1" t="s">
        <v>60</v>
      </c>
      <c r="AL9" s="1" t="s">
        <v>60</v>
      </c>
      <c r="AW9" s="1" t="s">
        <v>82</v>
      </c>
      <c r="AY9" s="1">
        <v>1.0</v>
      </c>
      <c r="AZ9" s="1">
        <v>174.99</v>
      </c>
      <c r="BB9" s="1">
        <v>174.99</v>
      </c>
    </row>
    <row r="10">
      <c r="A10" s="1" t="s">
        <v>83</v>
      </c>
      <c r="C10" s="1" t="s">
        <v>56</v>
      </c>
      <c r="D10" s="1" t="s">
        <v>84</v>
      </c>
      <c r="Y10" s="2">
        <v>45523.0</v>
      </c>
      <c r="AE10" s="1">
        <v>109.98</v>
      </c>
      <c r="AG10" s="3" t="str">
        <f>"2000006195025813"</f>
        <v>2000006195025813</v>
      </c>
      <c r="AH10" s="1" t="s">
        <v>58</v>
      </c>
      <c r="AI10" s="1" t="s">
        <v>59</v>
      </c>
      <c r="AJ10" s="1" t="s">
        <v>59</v>
      </c>
      <c r="AK10" s="1" t="s">
        <v>60</v>
      </c>
      <c r="AL10" s="1" t="s">
        <v>60</v>
      </c>
      <c r="AW10" s="1" t="s">
        <v>85</v>
      </c>
      <c r="AY10" s="1">
        <v>2.0</v>
      </c>
      <c r="AZ10" s="1">
        <v>54.99</v>
      </c>
      <c r="BB10" s="1">
        <v>109.98</v>
      </c>
    </row>
    <row r="11">
      <c r="A11" s="1" t="s">
        <v>86</v>
      </c>
      <c r="C11" s="1" t="s">
        <v>56</v>
      </c>
      <c r="D11" s="1" t="s">
        <v>87</v>
      </c>
      <c r="Y11" s="2">
        <v>45523.0</v>
      </c>
      <c r="AE11" s="1">
        <v>64.99</v>
      </c>
      <c r="AG11" s="3" t="str">
        <f>"2000006195021705"</f>
        <v>2000006195021705</v>
      </c>
      <c r="AH11" s="1" t="s">
        <v>58</v>
      </c>
      <c r="AI11" s="1" t="s">
        <v>59</v>
      </c>
      <c r="AJ11" s="1" t="s">
        <v>59</v>
      </c>
      <c r="AK11" s="1" t="s">
        <v>60</v>
      </c>
      <c r="AL11" s="1" t="s">
        <v>60</v>
      </c>
      <c r="AW11" s="1" t="s">
        <v>88</v>
      </c>
      <c r="AY11" s="1">
        <v>1.0</v>
      </c>
      <c r="AZ11" s="1">
        <v>64.99</v>
      </c>
      <c r="BB11" s="1">
        <v>64.99</v>
      </c>
    </row>
    <row r="12">
      <c r="A12" s="1" t="s">
        <v>89</v>
      </c>
      <c r="C12" s="1" t="s">
        <v>56</v>
      </c>
      <c r="D12" s="1" t="s">
        <v>90</v>
      </c>
      <c r="Y12" s="2">
        <v>45523.0</v>
      </c>
      <c r="AE12" s="1">
        <v>109.99</v>
      </c>
      <c r="AG12" s="3" t="str">
        <f>"2000006195004671"</f>
        <v>2000006195004671</v>
      </c>
      <c r="AH12" s="1" t="s">
        <v>58</v>
      </c>
      <c r="AI12" s="1" t="s">
        <v>59</v>
      </c>
      <c r="AJ12" s="1" t="s">
        <v>59</v>
      </c>
      <c r="AK12" s="1" t="s">
        <v>60</v>
      </c>
      <c r="AL12" s="1" t="s">
        <v>60</v>
      </c>
      <c r="AW12" s="1" t="s">
        <v>91</v>
      </c>
      <c r="AY12" s="1">
        <v>1.0</v>
      </c>
      <c r="AZ12" s="1">
        <v>109.99</v>
      </c>
      <c r="BB12" s="1">
        <v>109.99</v>
      </c>
    </row>
    <row r="13">
      <c r="A13" s="1" t="s">
        <v>92</v>
      </c>
      <c r="C13" s="1" t="s">
        <v>56</v>
      </c>
      <c r="D13" s="1" t="s">
        <v>93</v>
      </c>
      <c r="Y13" s="2">
        <v>45523.0</v>
      </c>
      <c r="AE13" s="1">
        <v>94.99</v>
      </c>
      <c r="AG13" s="3" t="str">
        <f>"2000009072147006"</f>
        <v>2000009072147006</v>
      </c>
      <c r="AH13" s="1" t="s">
        <v>58</v>
      </c>
      <c r="AI13" s="1" t="s">
        <v>59</v>
      </c>
      <c r="AJ13" s="1" t="s">
        <v>59</v>
      </c>
      <c r="AK13" s="1" t="s">
        <v>60</v>
      </c>
      <c r="AL13" s="1" t="s">
        <v>60</v>
      </c>
      <c r="AW13" s="1" t="s">
        <v>94</v>
      </c>
      <c r="AY13" s="1">
        <v>1.0</v>
      </c>
      <c r="AZ13" s="1">
        <v>94.99</v>
      </c>
      <c r="BB13" s="1">
        <v>94.99</v>
      </c>
    </row>
    <row r="14">
      <c r="A14" s="1" t="s">
        <v>95</v>
      </c>
      <c r="C14" s="1" t="s">
        <v>56</v>
      </c>
      <c r="D14" s="1" t="s">
        <v>96</v>
      </c>
      <c r="Y14" s="2">
        <v>45523.0</v>
      </c>
      <c r="AE14" s="1">
        <v>49.99</v>
      </c>
      <c r="AG14" s="3" t="str">
        <f>"2000009072134134"</f>
        <v>2000009072134134</v>
      </c>
      <c r="AH14" s="1" t="s">
        <v>58</v>
      </c>
      <c r="AI14" s="1" t="s">
        <v>59</v>
      </c>
      <c r="AJ14" s="1" t="s">
        <v>59</v>
      </c>
      <c r="AK14" s="1" t="s">
        <v>60</v>
      </c>
      <c r="AL14" s="1" t="s">
        <v>60</v>
      </c>
      <c r="AW14" s="1" t="s">
        <v>97</v>
      </c>
      <c r="AY14" s="1">
        <v>1.0</v>
      </c>
      <c r="AZ14" s="1">
        <v>49.99</v>
      </c>
      <c r="BB14" s="1">
        <v>49.99</v>
      </c>
    </row>
    <row r="15">
      <c r="A15" s="1" t="s">
        <v>98</v>
      </c>
      <c r="C15" s="1" t="s">
        <v>56</v>
      </c>
      <c r="D15" s="1" t="s">
        <v>99</v>
      </c>
      <c r="Y15" s="2">
        <v>45523.0</v>
      </c>
      <c r="AE15" s="1">
        <v>45.99</v>
      </c>
      <c r="AG15" s="3" t="str">
        <f>"2000006194969095"</f>
        <v>2000006194969095</v>
      </c>
      <c r="AH15" s="1" t="s">
        <v>58</v>
      </c>
      <c r="AI15" s="1" t="s">
        <v>59</v>
      </c>
      <c r="AJ15" s="1" t="s">
        <v>59</v>
      </c>
      <c r="AK15" s="1" t="s">
        <v>60</v>
      </c>
      <c r="AL15" s="1" t="s">
        <v>60</v>
      </c>
      <c r="AW15" s="1" t="s">
        <v>100</v>
      </c>
      <c r="AY15" s="1">
        <v>1.0</v>
      </c>
      <c r="AZ15" s="1">
        <v>45.99</v>
      </c>
      <c r="BB15" s="1">
        <v>45.99</v>
      </c>
    </row>
    <row r="16">
      <c r="A16" s="1" t="s">
        <v>65</v>
      </c>
      <c r="C16" s="1" t="s">
        <v>56</v>
      </c>
      <c r="D16" s="1" t="s">
        <v>101</v>
      </c>
      <c r="Y16" s="2">
        <v>45523.0</v>
      </c>
      <c r="AE16" s="1">
        <v>79.99</v>
      </c>
      <c r="AG16" s="3" t="str">
        <f>"2000006194963451"</f>
        <v>2000006194963451</v>
      </c>
      <c r="AH16" s="1" t="s">
        <v>58</v>
      </c>
      <c r="AI16" s="1" t="s">
        <v>59</v>
      </c>
      <c r="AJ16" s="1" t="s">
        <v>59</v>
      </c>
      <c r="AK16" s="1" t="s">
        <v>60</v>
      </c>
      <c r="AL16" s="1" t="s">
        <v>60</v>
      </c>
      <c r="AW16" s="1" t="s">
        <v>67</v>
      </c>
      <c r="AY16" s="1">
        <v>1.0</v>
      </c>
      <c r="AZ16" s="1">
        <v>79.99</v>
      </c>
      <c r="BB16" s="1">
        <v>79.99</v>
      </c>
    </row>
    <row r="17">
      <c r="A17" s="1" t="s">
        <v>102</v>
      </c>
      <c r="C17" s="1" t="s">
        <v>56</v>
      </c>
      <c r="D17" s="1" t="s">
        <v>103</v>
      </c>
      <c r="I17" s="4"/>
      <c r="Y17" s="2">
        <v>45523.0</v>
      </c>
      <c r="AE17" s="1">
        <v>59.99</v>
      </c>
      <c r="AG17" s="3" t="str">
        <f>"2000006194959815"</f>
        <v>2000006194959815</v>
      </c>
      <c r="AH17" s="1" t="s">
        <v>58</v>
      </c>
      <c r="AI17" s="1" t="s">
        <v>59</v>
      </c>
      <c r="AJ17" s="1" t="s">
        <v>59</v>
      </c>
      <c r="AK17" s="1" t="s">
        <v>60</v>
      </c>
      <c r="AL17" s="1" t="s">
        <v>60</v>
      </c>
      <c r="AW17" s="1" t="s">
        <v>104</v>
      </c>
      <c r="AY17" s="1">
        <v>1.0</v>
      </c>
      <c r="AZ17" s="1">
        <v>59.99</v>
      </c>
      <c r="BB17" s="1">
        <v>59.99</v>
      </c>
    </row>
    <row r="18">
      <c r="A18" s="1" t="s">
        <v>105</v>
      </c>
      <c r="C18" s="1" t="s">
        <v>56</v>
      </c>
      <c r="D18" s="1" t="s">
        <v>106</v>
      </c>
      <c r="Y18" s="2">
        <v>45523.0</v>
      </c>
      <c r="AE18" s="1">
        <v>129.99</v>
      </c>
      <c r="AG18" s="3" t="str">
        <f>"2000006194904867"</f>
        <v>2000006194904867</v>
      </c>
      <c r="AH18" s="1" t="s">
        <v>58</v>
      </c>
      <c r="AI18" s="1" t="s">
        <v>59</v>
      </c>
      <c r="AJ18" s="1" t="s">
        <v>59</v>
      </c>
      <c r="AK18" s="1" t="s">
        <v>60</v>
      </c>
      <c r="AL18" s="1" t="s">
        <v>60</v>
      </c>
      <c r="AW18" s="1" t="s">
        <v>107</v>
      </c>
      <c r="AY18" s="1">
        <v>1.0</v>
      </c>
      <c r="AZ18" s="1">
        <v>129.99</v>
      </c>
      <c r="BB18" s="1">
        <v>129.99</v>
      </c>
    </row>
    <row r="19">
      <c r="A19" s="1" t="s">
        <v>108</v>
      </c>
      <c r="C19" s="1" t="s">
        <v>56</v>
      </c>
      <c r="D19" s="1" t="s">
        <v>109</v>
      </c>
      <c r="Y19" s="2">
        <v>45523.0</v>
      </c>
      <c r="AE19" s="1">
        <v>58.99</v>
      </c>
      <c r="AG19" s="3" t="str">
        <f>"2000006194904421"</f>
        <v>2000006194904421</v>
      </c>
      <c r="AH19" s="1" t="s">
        <v>58</v>
      </c>
      <c r="AI19" s="1" t="s">
        <v>59</v>
      </c>
      <c r="AJ19" s="1" t="s">
        <v>59</v>
      </c>
      <c r="AK19" s="1" t="s">
        <v>60</v>
      </c>
      <c r="AL19" s="1" t="s">
        <v>60</v>
      </c>
      <c r="AW19" s="1" t="s">
        <v>110</v>
      </c>
      <c r="AY19" s="1">
        <v>1.0</v>
      </c>
      <c r="AZ19" s="1">
        <v>58.99</v>
      </c>
      <c r="BB19" s="1">
        <v>58.99</v>
      </c>
    </row>
    <row r="20">
      <c r="A20" s="1" t="s">
        <v>111</v>
      </c>
      <c r="C20" s="1" t="s">
        <v>56</v>
      </c>
      <c r="D20" s="1" t="s">
        <v>112</v>
      </c>
      <c r="Y20" s="2">
        <v>45523.0</v>
      </c>
      <c r="AE20" s="1">
        <v>79.99</v>
      </c>
      <c r="AG20" s="3" t="str">
        <f>"2000009072014178"</f>
        <v>2000009072014178</v>
      </c>
      <c r="AH20" s="1" t="s">
        <v>58</v>
      </c>
      <c r="AI20" s="1" t="s">
        <v>59</v>
      </c>
      <c r="AJ20" s="1" t="s">
        <v>59</v>
      </c>
      <c r="AK20" s="1" t="s">
        <v>60</v>
      </c>
      <c r="AL20" s="1" t="s">
        <v>60</v>
      </c>
      <c r="AW20" s="1" t="s">
        <v>113</v>
      </c>
      <c r="AY20" s="1">
        <v>1.0</v>
      </c>
      <c r="AZ20" s="1">
        <v>79.99</v>
      </c>
      <c r="BB20" s="1">
        <v>79.99</v>
      </c>
    </row>
    <row r="21">
      <c r="A21" s="1" t="s">
        <v>114</v>
      </c>
      <c r="C21" s="1" t="s">
        <v>56</v>
      </c>
      <c r="D21" s="1" t="s">
        <v>115</v>
      </c>
      <c r="Y21" s="2">
        <v>45523.0</v>
      </c>
      <c r="AE21" s="1">
        <v>84.99</v>
      </c>
      <c r="AG21" s="3" t="str">
        <f>"2000006194885677"</f>
        <v>2000006194885677</v>
      </c>
      <c r="AH21" s="1" t="s">
        <v>58</v>
      </c>
      <c r="AI21" s="1" t="s">
        <v>59</v>
      </c>
      <c r="AJ21" s="1" t="s">
        <v>59</v>
      </c>
      <c r="AK21" s="1" t="s">
        <v>60</v>
      </c>
      <c r="AL21" s="1" t="s">
        <v>60</v>
      </c>
      <c r="AW21" s="1" t="s">
        <v>116</v>
      </c>
      <c r="AY21" s="1">
        <v>1.0</v>
      </c>
      <c r="AZ21" s="1">
        <v>84.99</v>
      </c>
      <c r="BB21" s="1">
        <v>84.99</v>
      </c>
    </row>
    <row r="22">
      <c r="A22" s="1" t="s">
        <v>117</v>
      </c>
      <c r="C22" s="1" t="s">
        <v>56</v>
      </c>
      <c r="D22" s="1" t="s">
        <v>118</v>
      </c>
      <c r="Y22" s="2">
        <v>45523.0</v>
      </c>
      <c r="AE22" s="1">
        <v>129.99</v>
      </c>
      <c r="AG22" s="3" t="str">
        <f>"2000006194870831"</f>
        <v>2000006194870831</v>
      </c>
      <c r="AH22" s="1" t="s">
        <v>58</v>
      </c>
      <c r="AI22" s="1" t="s">
        <v>59</v>
      </c>
      <c r="AJ22" s="1" t="s">
        <v>59</v>
      </c>
      <c r="AK22" s="1" t="s">
        <v>60</v>
      </c>
      <c r="AL22" s="1" t="s">
        <v>60</v>
      </c>
      <c r="AW22" s="1" t="s">
        <v>119</v>
      </c>
      <c r="AY22" s="1">
        <v>1.0</v>
      </c>
      <c r="AZ22" s="1">
        <v>129.99</v>
      </c>
      <c r="BB22" s="1">
        <v>129.99</v>
      </c>
    </row>
    <row r="23">
      <c r="A23" s="1" t="s">
        <v>120</v>
      </c>
      <c r="C23" s="1" t="s">
        <v>56</v>
      </c>
      <c r="D23" s="1" t="s">
        <v>121</v>
      </c>
      <c r="Y23" s="2">
        <v>45523.0</v>
      </c>
      <c r="AE23" s="1">
        <v>58.99</v>
      </c>
      <c r="AG23" s="3" t="str">
        <f>"2000006194859519"</f>
        <v>2000006194859519</v>
      </c>
      <c r="AH23" s="1" t="s">
        <v>58</v>
      </c>
      <c r="AI23" s="1" t="s">
        <v>59</v>
      </c>
      <c r="AJ23" s="1" t="s">
        <v>59</v>
      </c>
      <c r="AK23" s="1" t="s">
        <v>60</v>
      </c>
      <c r="AL23" s="1" t="s">
        <v>60</v>
      </c>
      <c r="AW23" s="1" t="s">
        <v>110</v>
      </c>
      <c r="AY23" s="1">
        <v>1.0</v>
      </c>
      <c r="AZ23" s="1">
        <v>58.99</v>
      </c>
      <c r="BB23" s="1">
        <v>58.99</v>
      </c>
    </row>
    <row r="24">
      <c r="A24" s="1" t="s">
        <v>122</v>
      </c>
      <c r="C24" s="1" t="s">
        <v>56</v>
      </c>
      <c r="D24" s="1" t="s">
        <v>123</v>
      </c>
      <c r="Y24" s="2">
        <v>45523.0</v>
      </c>
      <c r="AE24" s="1">
        <v>79.99</v>
      </c>
      <c r="AG24" s="3" t="str">
        <f>"2000006194836927"</f>
        <v>2000006194836927</v>
      </c>
      <c r="AH24" s="1" t="s">
        <v>58</v>
      </c>
      <c r="AI24" s="1" t="s">
        <v>59</v>
      </c>
      <c r="AJ24" s="1" t="s">
        <v>59</v>
      </c>
      <c r="AK24" s="1" t="s">
        <v>60</v>
      </c>
      <c r="AL24" s="1" t="s">
        <v>60</v>
      </c>
      <c r="AW24" s="1" t="s">
        <v>124</v>
      </c>
      <c r="AY24" s="1">
        <v>1.0</v>
      </c>
      <c r="AZ24" s="1">
        <v>79.99</v>
      </c>
      <c r="BB24" s="1">
        <v>79.99</v>
      </c>
    </row>
    <row r="25">
      <c r="A25" s="1" t="s">
        <v>125</v>
      </c>
      <c r="C25" s="1" t="s">
        <v>56</v>
      </c>
      <c r="D25" s="1" t="s">
        <v>126</v>
      </c>
      <c r="Y25" s="2">
        <v>45522.0</v>
      </c>
      <c r="AE25" s="1">
        <v>49.99</v>
      </c>
      <c r="AG25" s="3" t="str">
        <f>"2000006194827693"</f>
        <v>2000006194827693</v>
      </c>
      <c r="AH25" s="1" t="s">
        <v>58</v>
      </c>
      <c r="AI25" s="1" t="s">
        <v>59</v>
      </c>
      <c r="AJ25" s="1" t="s">
        <v>59</v>
      </c>
      <c r="AK25" s="1" t="s">
        <v>60</v>
      </c>
      <c r="AL25" s="1" t="s">
        <v>60</v>
      </c>
      <c r="AW25" s="1" t="s">
        <v>127</v>
      </c>
      <c r="AY25" s="1">
        <v>1.0</v>
      </c>
      <c r="AZ25" s="1">
        <v>49.99</v>
      </c>
      <c r="BB25" s="1">
        <v>49.99</v>
      </c>
    </row>
    <row r="26">
      <c r="A26" s="1" t="s">
        <v>128</v>
      </c>
      <c r="C26" s="1" t="s">
        <v>56</v>
      </c>
      <c r="D26" s="1" t="s">
        <v>129</v>
      </c>
      <c r="Y26" s="2">
        <v>45522.0</v>
      </c>
      <c r="AE26" s="1">
        <v>64.99</v>
      </c>
      <c r="AG26" s="3" t="str">
        <f>"2000006194809259"</f>
        <v>2000006194809259</v>
      </c>
      <c r="AH26" s="1" t="s">
        <v>58</v>
      </c>
      <c r="AI26" s="1" t="s">
        <v>59</v>
      </c>
      <c r="AJ26" s="1" t="s">
        <v>59</v>
      </c>
      <c r="AK26" s="1" t="s">
        <v>60</v>
      </c>
      <c r="AL26" s="1" t="s">
        <v>60</v>
      </c>
      <c r="AW26" s="1" t="s">
        <v>130</v>
      </c>
      <c r="AY26" s="1">
        <v>1.0</v>
      </c>
      <c r="AZ26" s="1">
        <v>64.99</v>
      </c>
      <c r="BB26" s="1">
        <v>64.99</v>
      </c>
    </row>
    <row r="27">
      <c r="A27" s="1" t="s">
        <v>131</v>
      </c>
      <c r="C27" s="1" t="s">
        <v>56</v>
      </c>
      <c r="D27" s="1" t="s">
        <v>132</v>
      </c>
      <c r="Y27" s="2">
        <v>45522.0</v>
      </c>
      <c r="AE27" s="1">
        <v>54.99</v>
      </c>
      <c r="AG27" s="3" t="str">
        <f>"2000006194803431"</f>
        <v>2000006194803431</v>
      </c>
      <c r="AH27" s="1" t="s">
        <v>58</v>
      </c>
      <c r="AI27" s="1" t="s">
        <v>59</v>
      </c>
      <c r="AJ27" s="1" t="s">
        <v>59</v>
      </c>
      <c r="AK27" s="1" t="s">
        <v>60</v>
      </c>
      <c r="AL27" s="1" t="s">
        <v>60</v>
      </c>
      <c r="AW27" s="1" t="s">
        <v>133</v>
      </c>
      <c r="AY27" s="1">
        <v>1.0</v>
      </c>
      <c r="AZ27" s="1">
        <v>54.99</v>
      </c>
      <c r="BB27" s="1">
        <v>54.99</v>
      </c>
    </row>
    <row r="28">
      <c r="A28" s="1" t="s">
        <v>86</v>
      </c>
      <c r="C28" s="1" t="s">
        <v>56</v>
      </c>
      <c r="D28" s="1" t="s">
        <v>134</v>
      </c>
      <c r="Y28" s="2">
        <v>45522.0</v>
      </c>
      <c r="AE28" s="1">
        <v>64.99</v>
      </c>
      <c r="AG28" s="3" t="str">
        <f>"2000006194778885"</f>
        <v>2000006194778885</v>
      </c>
      <c r="AH28" s="1" t="s">
        <v>58</v>
      </c>
      <c r="AI28" s="1" t="s">
        <v>59</v>
      </c>
      <c r="AJ28" s="1" t="s">
        <v>59</v>
      </c>
      <c r="AK28" s="1" t="s">
        <v>60</v>
      </c>
      <c r="AL28" s="1" t="s">
        <v>60</v>
      </c>
      <c r="AW28" s="1" t="s">
        <v>88</v>
      </c>
      <c r="AY28" s="1">
        <v>1.0</v>
      </c>
      <c r="AZ28" s="1">
        <v>64.99</v>
      </c>
      <c r="BB28" s="1">
        <v>64.99</v>
      </c>
    </row>
    <row r="29">
      <c r="A29" s="1" t="s">
        <v>135</v>
      </c>
      <c r="C29" s="1" t="s">
        <v>56</v>
      </c>
      <c r="D29" s="1" t="s">
        <v>136</v>
      </c>
      <c r="Y29" s="2">
        <v>45522.0</v>
      </c>
      <c r="AE29" s="1">
        <v>89.99</v>
      </c>
      <c r="AG29" s="3" t="str">
        <f>"2000006194769265"</f>
        <v>2000006194769265</v>
      </c>
      <c r="AH29" s="1" t="s">
        <v>58</v>
      </c>
      <c r="AI29" s="1" t="s">
        <v>59</v>
      </c>
      <c r="AJ29" s="1" t="s">
        <v>59</v>
      </c>
      <c r="AK29" s="1" t="s">
        <v>60</v>
      </c>
      <c r="AL29" s="1" t="s">
        <v>60</v>
      </c>
      <c r="AW29" s="1" t="s">
        <v>137</v>
      </c>
      <c r="AY29" s="1">
        <v>1.0</v>
      </c>
      <c r="AZ29" s="1">
        <v>89.99</v>
      </c>
      <c r="BB29" s="1">
        <v>89.99</v>
      </c>
    </row>
    <row r="30">
      <c r="A30" s="1" t="s">
        <v>138</v>
      </c>
      <c r="C30" s="1" t="s">
        <v>56</v>
      </c>
      <c r="D30" s="1" t="s">
        <v>139</v>
      </c>
      <c r="Y30" s="2">
        <v>45522.0</v>
      </c>
      <c r="AE30" s="1">
        <v>65.7</v>
      </c>
      <c r="AG30" s="3" t="str">
        <f>"2000006194760883"</f>
        <v>2000006194760883</v>
      </c>
      <c r="AH30" s="1" t="s">
        <v>58</v>
      </c>
      <c r="AI30" s="1" t="s">
        <v>59</v>
      </c>
      <c r="AJ30" s="1" t="s">
        <v>59</v>
      </c>
      <c r="AK30" s="1" t="s">
        <v>60</v>
      </c>
      <c r="AL30" s="1" t="s">
        <v>60</v>
      </c>
      <c r="AW30" s="1" t="s">
        <v>140</v>
      </c>
      <c r="AY30" s="1">
        <v>1.0</v>
      </c>
      <c r="AZ30" s="1">
        <v>65.7</v>
      </c>
      <c r="BB30" s="1">
        <v>65.7</v>
      </c>
    </row>
    <row r="31">
      <c r="A31" s="1" t="s">
        <v>141</v>
      </c>
      <c r="C31" s="1" t="s">
        <v>56</v>
      </c>
      <c r="D31" s="1" t="s">
        <v>142</v>
      </c>
      <c r="Y31" s="2">
        <v>45522.0</v>
      </c>
      <c r="AE31" s="1">
        <v>139.99</v>
      </c>
      <c r="AG31" s="3" t="str">
        <f>"2000006194762267"</f>
        <v>2000006194762267</v>
      </c>
      <c r="AH31" s="1" t="s">
        <v>58</v>
      </c>
      <c r="AI31" s="1" t="s">
        <v>59</v>
      </c>
      <c r="AJ31" s="1" t="s">
        <v>59</v>
      </c>
      <c r="AK31" s="1" t="s">
        <v>60</v>
      </c>
      <c r="AL31" s="1" t="s">
        <v>60</v>
      </c>
      <c r="AW31" s="1" t="s">
        <v>143</v>
      </c>
      <c r="AY31" s="1">
        <v>1.0</v>
      </c>
      <c r="AZ31" s="1">
        <v>139.99</v>
      </c>
      <c r="BB31" s="1">
        <v>139.99</v>
      </c>
    </row>
    <row r="32">
      <c r="A32" s="1" t="s">
        <v>144</v>
      </c>
      <c r="C32" s="1" t="s">
        <v>56</v>
      </c>
      <c r="D32" s="1" t="s">
        <v>145</v>
      </c>
      <c r="Y32" s="2">
        <v>45522.0</v>
      </c>
      <c r="AE32" s="1">
        <v>79.99</v>
      </c>
      <c r="AG32" s="3" t="str">
        <f>"2000006194752667"</f>
        <v>2000006194752667</v>
      </c>
      <c r="AH32" s="1" t="s">
        <v>58</v>
      </c>
      <c r="AI32" s="1" t="s">
        <v>59</v>
      </c>
      <c r="AJ32" s="1" t="s">
        <v>59</v>
      </c>
      <c r="AK32" s="1" t="s">
        <v>60</v>
      </c>
      <c r="AL32" s="1" t="s">
        <v>60</v>
      </c>
      <c r="AW32" s="1" t="s">
        <v>146</v>
      </c>
      <c r="AY32" s="1">
        <v>1.0</v>
      </c>
      <c r="AZ32" s="1">
        <v>79.99</v>
      </c>
      <c r="BB32" s="1">
        <v>79.99</v>
      </c>
    </row>
    <row r="33">
      <c r="A33" s="1" t="s">
        <v>147</v>
      </c>
      <c r="C33" s="1" t="s">
        <v>56</v>
      </c>
      <c r="D33" s="1" t="s">
        <v>148</v>
      </c>
      <c r="Y33" s="2">
        <v>45522.0</v>
      </c>
      <c r="AE33" s="1">
        <v>39.99</v>
      </c>
      <c r="AG33" s="3" t="str">
        <f>"2000006194755547"</f>
        <v>2000006194755547</v>
      </c>
      <c r="AH33" s="1" t="s">
        <v>58</v>
      </c>
      <c r="AI33" s="1" t="s">
        <v>59</v>
      </c>
      <c r="AJ33" s="1" t="s">
        <v>59</v>
      </c>
      <c r="AK33" s="1" t="s">
        <v>60</v>
      </c>
      <c r="AL33" s="1" t="s">
        <v>60</v>
      </c>
      <c r="AW33" s="1" t="s">
        <v>149</v>
      </c>
      <c r="AY33" s="1">
        <v>1.0</v>
      </c>
      <c r="AZ33" s="1">
        <v>39.99</v>
      </c>
      <c r="BB33" s="1">
        <v>39.99</v>
      </c>
    </row>
    <row r="34">
      <c r="A34" s="1" t="s">
        <v>150</v>
      </c>
      <c r="C34" s="1" t="s">
        <v>56</v>
      </c>
      <c r="D34" s="1" t="s">
        <v>151</v>
      </c>
      <c r="Y34" s="2">
        <v>45522.0</v>
      </c>
      <c r="AE34" s="1">
        <v>114.99</v>
      </c>
      <c r="AG34" s="3" t="str">
        <f>"2000006194710439"</f>
        <v>2000006194710439</v>
      </c>
      <c r="AH34" s="1" t="s">
        <v>58</v>
      </c>
      <c r="AI34" s="1" t="s">
        <v>59</v>
      </c>
      <c r="AJ34" s="1" t="s">
        <v>59</v>
      </c>
      <c r="AK34" s="1" t="s">
        <v>60</v>
      </c>
      <c r="AL34" s="1" t="s">
        <v>60</v>
      </c>
      <c r="AW34" s="1" t="s">
        <v>152</v>
      </c>
      <c r="AY34" s="1">
        <v>1.0</v>
      </c>
      <c r="AZ34" s="1">
        <v>114.99</v>
      </c>
      <c r="BB34" s="1">
        <v>114.99</v>
      </c>
    </row>
    <row r="35">
      <c r="A35" s="1" t="s">
        <v>153</v>
      </c>
      <c r="C35" s="1" t="s">
        <v>56</v>
      </c>
      <c r="D35" s="1" t="s">
        <v>154</v>
      </c>
      <c r="Y35" s="2">
        <v>45522.0</v>
      </c>
      <c r="AE35" s="1">
        <v>47.18</v>
      </c>
      <c r="AG35" s="3" t="str">
        <f>"2000006194704339"</f>
        <v>2000006194704339</v>
      </c>
      <c r="AH35" s="1" t="s">
        <v>58</v>
      </c>
      <c r="AI35" s="1" t="s">
        <v>59</v>
      </c>
      <c r="AJ35" s="1" t="s">
        <v>59</v>
      </c>
      <c r="AK35" s="1" t="s">
        <v>60</v>
      </c>
      <c r="AL35" s="1" t="s">
        <v>60</v>
      </c>
      <c r="AW35" s="1" t="s">
        <v>155</v>
      </c>
      <c r="AY35" s="1">
        <v>1.0</v>
      </c>
      <c r="AZ35" s="1">
        <v>47.18</v>
      </c>
      <c r="BB35" s="1">
        <v>47.18</v>
      </c>
    </row>
    <row r="36">
      <c r="A36" s="1" t="s">
        <v>156</v>
      </c>
      <c r="C36" s="1" t="s">
        <v>56</v>
      </c>
      <c r="D36" s="1" t="s">
        <v>157</v>
      </c>
      <c r="Y36" s="2">
        <v>45522.0</v>
      </c>
      <c r="AE36" s="1">
        <v>59.99</v>
      </c>
      <c r="AG36" s="3" t="str">
        <f>"2000006194706115"</f>
        <v>2000006194706115</v>
      </c>
      <c r="AH36" s="1" t="s">
        <v>58</v>
      </c>
      <c r="AI36" s="1" t="s">
        <v>59</v>
      </c>
      <c r="AJ36" s="1" t="s">
        <v>59</v>
      </c>
      <c r="AK36" s="1" t="s">
        <v>60</v>
      </c>
      <c r="AL36" s="1" t="s">
        <v>60</v>
      </c>
      <c r="AW36" s="1" t="s">
        <v>158</v>
      </c>
      <c r="AY36" s="1">
        <v>1.0</v>
      </c>
      <c r="AZ36" s="1">
        <v>59.99</v>
      </c>
      <c r="BB36" s="1">
        <v>59.99</v>
      </c>
    </row>
    <row r="37">
      <c r="A37" s="1" t="s">
        <v>150</v>
      </c>
      <c r="C37" s="1" t="s">
        <v>56</v>
      </c>
      <c r="D37" s="1" t="s">
        <v>159</v>
      </c>
      <c r="Y37" s="2">
        <v>45522.0</v>
      </c>
      <c r="AE37" s="1">
        <v>114.99</v>
      </c>
      <c r="AG37" s="3" t="str">
        <f>"2000006194692711"</f>
        <v>2000006194692711</v>
      </c>
      <c r="AH37" s="1" t="s">
        <v>58</v>
      </c>
      <c r="AI37" s="1" t="s">
        <v>59</v>
      </c>
      <c r="AJ37" s="1" t="s">
        <v>59</v>
      </c>
      <c r="AK37" s="1" t="s">
        <v>60</v>
      </c>
      <c r="AL37" s="1" t="s">
        <v>60</v>
      </c>
      <c r="AW37" s="1" t="s">
        <v>152</v>
      </c>
      <c r="AY37" s="1">
        <v>1.0</v>
      </c>
      <c r="AZ37" s="1">
        <v>114.99</v>
      </c>
      <c r="BB37" s="1">
        <v>114.99</v>
      </c>
    </row>
    <row r="38">
      <c r="A38" s="1" t="s">
        <v>160</v>
      </c>
      <c r="C38" s="1" t="s">
        <v>56</v>
      </c>
      <c r="D38" s="1" t="s">
        <v>161</v>
      </c>
      <c r="Y38" s="2">
        <v>45522.0</v>
      </c>
      <c r="AE38" s="1">
        <v>89.99</v>
      </c>
      <c r="AG38" s="3" t="str">
        <f>"2000006193710011"</f>
        <v>2000006193710011</v>
      </c>
      <c r="AH38" s="1" t="s">
        <v>58</v>
      </c>
      <c r="AI38" s="1" t="s">
        <v>59</v>
      </c>
      <c r="AJ38" s="1" t="s">
        <v>59</v>
      </c>
      <c r="AK38" s="1" t="s">
        <v>60</v>
      </c>
      <c r="AL38" s="1" t="s">
        <v>60</v>
      </c>
      <c r="AW38" s="1" t="s">
        <v>162</v>
      </c>
      <c r="AY38" s="1">
        <v>1.0</v>
      </c>
      <c r="AZ38" s="1">
        <v>89.99</v>
      </c>
      <c r="BB38" s="1">
        <v>89.99</v>
      </c>
    </row>
    <row r="39">
      <c r="A39" s="1" t="s">
        <v>163</v>
      </c>
      <c r="C39" s="1" t="s">
        <v>56</v>
      </c>
      <c r="D39" s="1" t="s">
        <v>164</v>
      </c>
      <c r="Y39" s="2">
        <v>45522.0</v>
      </c>
      <c r="AE39" s="1">
        <v>59.99</v>
      </c>
      <c r="AG39" s="3" t="str">
        <f>"2000006194681561"</f>
        <v>2000006194681561</v>
      </c>
      <c r="AH39" s="1" t="s">
        <v>58</v>
      </c>
      <c r="AI39" s="1" t="s">
        <v>59</v>
      </c>
      <c r="AJ39" s="1" t="s">
        <v>59</v>
      </c>
      <c r="AK39" s="1" t="s">
        <v>60</v>
      </c>
      <c r="AL39" s="1" t="s">
        <v>60</v>
      </c>
      <c r="AW39" s="1" t="s">
        <v>165</v>
      </c>
      <c r="AY39" s="1">
        <v>1.0</v>
      </c>
      <c r="AZ39" s="1">
        <v>59.99</v>
      </c>
      <c r="BB39" s="1">
        <v>59.99</v>
      </c>
    </row>
    <row r="40">
      <c r="A40" s="1" t="s">
        <v>166</v>
      </c>
      <c r="C40" s="1" t="s">
        <v>56</v>
      </c>
      <c r="D40" s="1" t="s">
        <v>167</v>
      </c>
      <c r="Y40" s="2">
        <v>45522.0</v>
      </c>
      <c r="AE40" s="1">
        <v>59.99</v>
      </c>
      <c r="AG40" s="3" t="str">
        <f>"2000006194644177"</f>
        <v>2000006194644177</v>
      </c>
      <c r="AH40" s="1" t="s">
        <v>58</v>
      </c>
      <c r="AI40" s="1" t="s">
        <v>59</v>
      </c>
      <c r="AJ40" s="1" t="s">
        <v>59</v>
      </c>
      <c r="AK40" s="1" t="s">
        <v>60</v>
      </c>
      <c r="AL40" s="1" t="s">
        <v>60</v>
      </c>
      <c r="AW40" s="1" t="s">
        <v>165</v>
      </c>
      <c r="AY40" s="1">
        <v>1.0</v>
      </c>
      <c r="AZ40" s="1">
        <v>59.99</v>
      </c>
      <c r="BB40" s="1">
        <v>59.99</v>
      </c>
    </row>
    <row r="41">
      <c r="A41" s="1" t="s">
        <v>114</v>
      </c>
      <c r="C41" s="1" t="s">
        <v>56</v>
      </c>
      <c r="D41" s="1" t="s">
        <v>168</v>
      </c>
      <c r="Y41" s="2">
        <v>45522.0</v>
      </c>
      <c r="AE41" s="1">
        <v>169.98</v>
      </c>
      <c r="AG41" s="3" t="str">
        <f>"2000006194654299"</f>
        <v>2000006194654299</v>
      </c>
      <c r="AH41" s="1" t="s">
        <v>58</v>
      </c>
      <c r="AI41" s="1" t="s">
        <v>59</v>
      </c>
      <c r="AJ41" s="1" t="s">
        <v>59</v>
      </c>
      <c r="AK41" s="1" t="s">
        <v>60</v>
      </c>
      <c r="AL41" s="1" t="s">
        <v>60</v>
      </c>
      <c r="AW41" s="1" t="s">
        <v>116</v>
      </c>
      <c r="AY41" s="1">
        <v>2.0</v>
      </c>
      <c r="AZ41" s="1">
        <v>84.99</v>
      </c>
      <c r="BB41" s="1">
        <v>169.98</v>
      </c>
    </row>
    <row r="42">
      <c r="A42" s="1" t="s">
        <v>169</v>
      </c>
      <c r="C42" s="1" t="s">
        <v>56</v>
      </c>
      <c r="D42" s="1" t="s">
        <v>170</v>
      </c>
      <c r="Y42" s="2">
        <v>45522.0</v>
      </c>
      <c r="AE42" s="1">
        <v>109.99</v>
      </c>
      <c r="AG42" s="3" t="str">
        <f>"2000009071601598"</f>
        <v>2000009071601598</v>
      </c>
      <c r="AH42" s="1" t="s">
        <v>58</v>
      </c>
      <c r="AI42" s="1" t="s">
        <v>59</v>
      </c>
      <c r="AJ42" s="1" t="s">
        <v>59</v>
      </c>
      <c r="AK42" s="1" t="s">
        <v>60</v>
      </c>
      <c r="AL42" s="1" t="s">
        <v>60</v>
      </c>
      <c r="AW42" s="1" t="s">
        <v>171</v>
      </c>
      <c r="AY42" s="1">
        <v>1.0</v>
      </c>
      <c r="AZ42" s="1">
        <v>109.99</v>
      </c>
      <c r="BB42" s="1">
        <v>109.99</v>
      </c>
    </row>
    <row r="43">
      <c r="A43" s="1" t="s">
        <v>172</v>
      </c>
      <c r="C43" s="1" t="s">
        <v>56</v>
      </c>
      <c r="D43" s="1" t="s">
        <v>173</v>
      </c>
      <c r="Y43" s="2">
        <v>45522.0</v>
      </c>
      <c r="AE43" s="1">
        <v>79.99</v>
      </c>
      <c r="AG43" s="3" t="str">
        <f>"2000006194635437"</f>
        <v>2000006194635437</v>
      </c>
      <c r="AH43" s="1" t="s">
        <v>58</v>
      </c>
      <c r="AI43" s="1" t="s">
        <v>59</v>
      </c>
      <c r="AJ43" s="1" t="s">
        <v>59</v>
      </c>
      <c r="AK43" s="1" t="s">
        <v>60</v>
      </c>
      <c r="AL43" s="1" t="s">
        <v>60</v>
      </c>
      <c r="AW43" s="1" t="s">
        <v>174</v>
      </c>
      <c r="AY43" s="1">
        <v>1.0</v>
      </c>
      <c r="AZ43" s="1">
        <v>79.99</v>
      </c>
      <c r="BB43" s="1">
        <v>79.99</v>
      </c>
    </row>
    <row r="44">
      <c r="A44" s="1" t="s">
        <v>175</v>
      </c>
      <c r="C44" s="1" t="s">
        <v>56</v>
      </c>
      <c r="D44" s="1" t="s">
        <v>176</v>
      </c>
      <c r="Y44" s="2">
        <v>45522.0</v>
      </c>
      <c r="AE44" s="1">
        <v>199.99</v>
      </c>
      <c r="AG44" s="3" t="str">
        <f>"2000006194620481"</f>
        <v>2000006194620481</v>
      </c>
      <c r="AH44" s="1" t="s">
        <v>58</v>
      </c>
      <c r="AI44" s="1" t="s">
        <v>59</v>
      </c>
      <c r="AJ44" s="1" t="s">
        <v>59</v>
      </c>
      <c r="AK44" s="1" t="s">
        <v>60</v>
      </c>
      <c r="AL44" s="1" t="s">
        <v>60</v>
      </c>
      <c r="AW44" s="1" t="s">
        <v>177</v>
      </c>
      <c r="AY44" s="1">
        <v>1.0</v>
      </c>
      <c r="AZ44" s="1">
        <v>199.99</v>
      </c>
      <c r="BB44" s="1">
        <v>199.99</v>
      </c>
    </row>
    <row r="45">
      <c r="A45" s="1" t="s">
        <v>178</v>
      </c>
      <c r="C45" s="1" t="s">
        <v>56</v>
      </c>
      <c r="D45" s="1" t="s">
        <v>179</v>
      </c>
      <c r="Y45" s="2">
        <v>45522.0</v>
      </c>
      <c r="AE45" s="1">
        <v>134.99</v>
      </c>
      <c r="AG45" s="3" t="str">
        <f>"2000006194603019"</f>
        <v>2000006194603019</v>
      </c>
      <c r="AH45" s="1" t="s">
        <v>58</v>
      </c>
      <c r="AI45" s="1" t="s">
        <v>59</v>
      </c>
      <c r="AJ45" s="1" t="s">
        <v>59</v>
      </c>
      <c r="AK45" s="1" t="s">
        <v>60</v>
      </c>
      <c r="AL45" s="1" t="s">
        <v>60</v>
      </c>
      <c r="AW45" s="1" t="s">
        <v>180</v>
      </c>
      <c r="AY45" s="1">
        <v>1.0</v>
      </c>
      <c r="AZ45" s="1">
        <v>134.99</v>
      </c>
      <c r="BB45" s="1">
        <v>134.99</v>
      </c>
    </row>
    <row r="46">
      <c r="A46" s="1" t="s">
        <v>55</v>
      </c>
      <c r="C46" s="1" t="s">
        <v>56</v>
      </c>
      <c r="D46" s="1" t="s">
        <v>181</v>
      </c>
      <c r="Y46" s="2">
        <v>45522.0</v>
      </c>
      <c r="AE46" s="1">
        <v>59.99</v>
      </c>
      <c r="AG46" s="3" t="str">
        <f>"2000006194614587"</f>
        <v>2000006194614587</v>
      </c>
      <c r="AH46" s="1" t="s">
        <v>58</v>
      </c>
      <c r="AI46" s="1" t="s">
        <v>59</v>
      </c>
      <c r="AJ46" s="1" t="s">
        <v>59</v>
      </c>
      <c r="AK46" s="1" t="s">
        <v>60</v>
      </c>
      <c r="AL46" s="1" t="s">
        <v>60</v>
      </c>
      <c r="AW46" s="1" t="s">
        <v>61</v>
      </c>
      <c r="AY46" s="1">
        <v>1.0</v>
      </c>
      <c r="AZ46" s="1">
        <v>59.99</v>
      </c>
      <c r="BB46" s="1">
        <v>59.99</v>
      </c>
    </row>
    <row r="47">
      <c r="A47" s="1" t="s">
        <v>182</v>
      </c>
      <c r="C47" s="1" t="s">
        <v>56</v>
      </c>
      <c r="D47" s="1" t="s">
        <v>183</v>
      </c>
      <c r="Y47" s="2">
        <v>45522.0</v>
      </c>
      <c r="AE47" s="1">
        <v>109.99</v>
      </c>
      <c r="AG47" s="3" t="str">
        <f>"2000009071509318"</f>
        <v>2000009071509318</v>
      </c>
      <c r="AH47" s="1" t="s">
        <v>58</v>
      </c>
      <c r="AI47" s="1" t="s">
        <v>59</v>
      </c>
      <c r="AJ47" s="1" t="s">
        <v>59</v>
      </c>
      <c r="AK47" s="1" t="s">
        <v>60</v>
      </c>
      <c r="AL47" s="1" t="s">
        <v>60</v>
      </c>
      <c r="AW47" s="1" t="s">
        <v>184</v>
      </c>
      <c r="AY47" s="1">
        <v>1.0</v>
      </c>
      <c r="AZ47" s="1">
        <v>109.99</v>
      </c>
      <c r="BB47" s="1">
        <v>109.99</v>
      </c>
    </row>
    <row r="48">
      <c r="A48" s="1" t="s">
        <v>185</v>
      </c>
      <c r="C48" s="1" t="s">
        <v>56</v>
      </c>
      <c r="D48" s="1" t="s">
        <v>186</v>
      </c>
      <c r="Y48" s="2">
        <v>45522.0</v>
      </c>
      <c r="AE48" s="1">
        <v>124.99</v>
      </c>
      <c r="AG48" s="3" t="str">
        <f>"2000006194521955"</f>
        <v>2000006194521955</v>
      </c>
      <c r="AH48" s="1" t="s">
        <v>58</v>
      </c>
      <c r="AI48" s="1" t="s">
        <v>59</v>
      </c>
      <c r="AJ48" s="1" t="s">
        <v>59</v>
      </c>
      <c r="AK48" s="1" t="s">
        <v>60</v>
      </c>
      <c r="AL48" s="1" t="s">
        <v>60</v>
      </c>
      <c r="AW48" s="1" t="s">
        <v>187</v>
      </c>
      <c r="AY48" s="1">
        <v>1.0</v>
      </c>
      <c r="AZ48" s="1">
        <v>124.99</v>
      </c>
      <c r="BB48" s="1">
        <v>124.99</v>
      </c>
    </row>
    <row r="49">
      <c r="A49" s="1" t="s">
        <v>188</v>
      </c>
      <c r="C49" s="1" t="s">
        <v>56</v>
      </c>
      <c r="D49" s="1" t="s">
        <v>189</v>
      </c>
      <c r="Y49" s="2">
        <v>45522.0</v>
      </c>
      <c r="AE49" s="1">
        <v>189.99</v>
      </c>
      <c r="AG49" s="3" t="str">
        <f>"2000006194518755"</f>
        <v>2000006194518755</v>
      </c>
      <c r="AH49" s="1" t="s">
        <v>58</v>
      </c>
      <c r="AI49" s="1" t="s">
        <v>59</v>
      </c>
      <c r="AJ49" s="1" t="s">
        <v>59</v>
      </c>
      <c r="AK49" s="1" t="s">
        <v>60</v>
      </c>
      <c r="AL49" s="1" t="s">
        <v>60</v>
      </c>
      <c r="AW49" s="1" t="s">
        <v>190</v>
      </c>
      <c r="AY49" s="1">
        <v>1.0</v>
      </c>
      <c r="AZ49" s="1">
        <v>189.99</v>
      </c>
      <c r="BB49" s="1">
        <v>189.99</v>
      </c>
    </row>
    <row r="50">
      <c r="A50" s="1" t="s">
        <v>191</v>
      </c>
      <c r="C50" s="1" t="s">
        <v>56</v>
      </c>
      <c r="D50" s="1" t="s">
        <v>192</v>
      </c>
      <c r="Y50" s="2">
        <v>45522.0</v>
      </c>
      <c r="AE50" s="1">
        <v>249.99</v>
      </c>
      <c r="AG50" s="3" t="str">
        <f>"2000006193723203"</f>
        <v>2000006193723203</v>
      </c>
      <c r="AH50" s="1" t="s">
        <v>58</v>
      </c>
      <c r="AI50" s="1" t="s">
        <v>59</v>
      </c>
      <c r="AJ50" s="1" t="s">
        <v>59</v>
      </c>
      <c r="AK50" s="1" t="s">
        <v>60</v>
      </c>
      <c r="AL50" s="1" t="s">
        <v>60</v>
      </c>
      <c r="AW50" s="1" t="s">
        <v>193</v>
      </c>
      <c r="AY50" s="1">
        <v>1.0</v>
      </c>
      <c r="AZ50" s="1">
        <v>249.99</v>
      </c>
      <c r="BB50" s="1">
        <v>249.99</v>
      </c>
    </row>
    <row r="51">
      <c r="A51" s="1" t="s">
        <v>125</v>
      </c>
      <c r="C51" s="1" t="s">
        <v>56</v>
      </c>
      <c r="D51" s="1" t="s">
        <v>194</v>
      </c>
      <c r="Y51" s="2">
        <v>45522.0</v>
      </c>
      <c r="AE51" s="1">
        <v>49.99</v>
      </c>
      <c r="AG51" s="3" t="str">
        <f>"2000006194508489"</f>
        <v>2000006194508489</v>
      </c>
      <c r="AH51" s="1" t="s">
        <v>58</v>
      </c>
      <c r="AI51" s="1" t="s">
        <v>59</v>
      </c>
      <c r="AJ51" s="1" t="s">
        <v>59</v>
      </c>
      <c r="AK51" s="1" t="s">
        <v>60</v>
      </c>
      <c r="AL51" s="1" t="s">
        <v>60</v>
      </c>
      <c r="AW51" s="1" t="s">
        <v>127</v>
      </c>
      <c r="AY51" s="1">
        <v>1.0</v>
      </c>
      <c r="AZ51" s="1">
        <v>49.99</v>
      </c>
      <c r="BB51" s="1">
        <v>49.99</v>
      </c>
    </row>
    <row r="52">
      <c r="A52" s="1" t="s">
        <v>195</v>
      </c>
      <c r="C52" s="1" t="s">
        <v>56</v>
      </c>
      <c r="D52" s="1" t="s">
        <v>196</v>
      </c>
      <c r="Y52" s="2">
        <v>45522.0</v>
      </c>
      <c r="AE52" s="1">
        <v>47.99</v>
      </c>
      <c r="AG52" s="3" t="str">
        <f>"2000006194505133"</f>
        <v>2000006194505133</v>
      </c>
      <c r="AH52" s="1" t="s">
        <v>58</v>
      </c>
      <c r="AI52" s="1" t="s">
        <v>59</v>
      </c>
      <c r="AJ52" s="1" t="s">
        <v>59</v>
      </c>
      <c r="AK52" s="1" t="s">
        <v>60</v>
      </c>
      <c r="AL52" s="1" t="s">
        <v>60</v>
      </c>
      <c r="AW52" s="1" t="s">
        <v>197</v>
      </c>
      <c r="AY52" s="1">
        <v>1.0</v>
      </c>
      <c r="AZ52" s="1">
        <v>47.99</v>
      </c>
      <c r="BB52" s="1">
        <v>47.99</v>
      </c>
    </row>
    <row r="53">
      <c r="A53" s="1" t="s">
        <v>198</v>
      </c>
      <c r="C53" s="1" t="s">
        <v>56</v>
      </c>
      <c r="D53" s="1" t="s">
        <v>199</v>
      </c>
      <c r="Y53" s="2">
        <v>45522.0</v>
      </c>
      <c r="AE53" s="1">
        <v>49.99</v>
      </c>
      <c r="AG53" s="3" t="str">
        <f>"2000006194483877"</f>
        <v>2000006194483877</v>
      </c>
      <c r="AH53" s="1" t="s">
        <v>58</v>
      </c>
      <c r="AI53" s="1" t="s">
        <v>59</v>
      </c>
      <c r="AJ53" s="1" t="s">
        <v>59</v>
      </c>
      <c r="AK53" s="1" t="s">
        <v>60</v>
      </c>
      <c r="AL53" s="1" t="s">
        <v>60</v>
      </c>
      <c r="AW53" s="1" t="s">
        <v>200</v>
      </c>
      <c r="AY53" s="1">
        <v>1.0</v>
      </c>
      <c r="AZ53" s="1">
        <v>49.99</v>
      </c>
      <c r="BB53" s="1">
        <v>49.99</v>
      </c>
    </row>
    <row r="54">
      <c r="A54" s="1" t="s">
        <v>201</v>
      </c>
      <c r="C54" s="1" t="s">
        <v>56</v>
      </c>
      <c r="D54" s="1" t="s">
        <v>202</v>
      </c>
      <c r="Y54" s="2">
        <v>45522.0</v>
      </c>
      <c r="AE54" s="1">
        <v>49.99</v>
      </c>
      <c r="AG54" s="3" t="str">
        <f>"2000006194470233"</f>
        <v>2000006194470233</v>
      </c>
      <c r="AH54" s="1" t="s">
        <v>58</v>
      </c>
      <c r="AI54" s="1" t="s">
        <v>59</v>
      </c>
      <c r="AJ54" s="1" t="s">
        <v>59</v>
      </c>
      <c r="AK54" s="1" t="s">
        <v>60</v>
      </c>
      <c r="AL54" s="1" t="s">
        <v>60</v>
      </c>
      <c r="AW54" s="1" t="s">
        <v>203</v>
      </c>
      <c r="AY54" s="1">
        <v>1.0</v>
      </c>
      <c r="AZ54" s="1">
        <v>49.99</v>
      </c>
      <c r="BB54" s="1">
        <v>49.99</v>
      </c>
    </row>
    <row r="55">
      <c r="A55" s="1" t="s">
        <v>204</v>
      </c>
      <c r="C55" s="1" t="s">
        <v>56</v>
      </c>
      <c r="D55" s="1" t="s">
        <v>205</v>
      </c>
      <c r="Y55" s="2">
        <v>45522.0</v>
      </c>
      <c r="AE55" s="1">
        <v>57.99</v>
      </c>
      <c r="AG55" s="3" t="str">
        <f>"2000009071251460"</f>
        <v>2000009071251460</v>
      </c>
      <c r="AH55" s="1" t="s">
        <v>58</v>
      </c>
      <c r="AI55" s="1" t="s">
        <v>59</v>
      </c>
      <c r="AJ55" s="1" t="s">
        <v>59</v>
      </c>
      <c r="AK55" s="1" t="s">
        <v>60</v>
      </c>
      <c r="AL55" s="1" t="s">
        <v>60</v>
      </c>
      <c r="AW55" s="1" t="s">
        <v>206</v>
      </c>
      <c r="AY55" s="1">
        <v>1.0</v>
      </c>
      <c r="AZ55" s="1">
        <v>57.99</v>
      </c>
      <c r="BB55" s="1">
        <v>57.99</v>
      </c>
    </row>
    <row r="56">
      <c r="A56" s="1" t="s">
        <v>207</v>
      </c>
      <c r="C56" s="1" t="s">
        <v>56</v>
      </c>
      <c r="D56" s="1" t="s">
        <v>208</v>
      </c>
      <c r="Y56" s="2">
        <v>45522.0</v>
      </c>
      <c r="AE56" s="1">
        <v>64.99</v>
      </c>
      <c r="AG56" s="3" t="str">
        <f t="shared" ref="AG56:AG57" si="1">"2000006194416157"</f>
        <v>2000006194416157</v>
      </c>
      <c r="AH56" s="1" t="s">
        <v>58</v>
      </c>
      <c r="AI56" s="1" t="s">
        <v>59</v>
      </c>
      <c r="AJ56" s="1" t="s">
        <v>59</v>
      </c>
      <c r="AK56" s="1" t="s">
        <v>60</v>
      </c>
      <c r="AL56" s="1" t="s">
        <v>60</v>
      </c>
      <c r="AW56" s="1" t="s">
        <v>209</v>
      </c>
      <c r="AY56" s="1">
        <v>1.0</v>
      </c>
      <c r="AZ56" s="1">
        <v>64.99</v>
      </c>
      <c r="BB56" s="1">
        <v>64.99</v>
      </c>
    </row>
    <row r="57">
      <c r="A57" s="1" t="s">
        <v>210</v>
      </c>
      <c r="C57" s="1" t="s">
        <v>56</v>
      </c>
      <c r="D57" s="1" t="s">
        <v>208</v>
      </c>
      <c r="Y57" s="2">
        <v>45522.0</v>
      </c>
      <c r="AE57" s="1">
        <v>61.99</v>
      </c>
      <c r="AG57" s="3" t="str">
        <f t="shared" si="1"/>
        <v>2000006194416157</v>
      </c>
      <c r="AH57" s="1" t="s">
        <v>58</v>
      </c>
      <c r="AI57" s="1" t="s">
        <v>59</v>
      </c>
      <c r="AJ57" s="1" t="s">
        <v>59</v>
      </c>
      <c r="AK57" s="1" t="s">
        <v>60</v>
      </c>
      <c r="AL57" s="1" t="s">
        <v>60</v>
      </c>
      <c r="AW57" s="1" t="s">
        <v>211</v>
      </c>
      <c r="AY57" s="1">
        <v>1.0</v>
      </c>
      <c r="AZ57" s="1">
        <v>61.99</v>
      </c>
      <c r="BB57" s="1">
        <v>61.99</v>
      </c>
    </row>
    <row r="58">
      <c r="A58" s="1" t="s">
        <v>212</v>
      </c>
      <c r="C58" s="1" t="s">
        <v>56</v>
      </c>
      <c r="D58" s="1" t="s">
        <v>213</v>
      </c>
      <c r="Y58" s="2">
        <v>45522.0</v>
      </c>
      <c r="AE58" s="1">
        <v>49.99</v>
      </c>
      <c r="AG58" s="3" t="str">
        <f>"2000006194410659"</f>
        <v>2000006194410659</v>
      </c>
      <c r="AH58" s="1" t="s">
        <v>58</v>
      </c>
      <c r="AI58" s="1" t="s">
        <v>59</v>
      </c>
      <c r="AJ58" s="1" t="s">
        <v>59</v>
      </c>
      <c r="AK58" s="1" t="s">
        <v>60</v>
      </c>
      <c r="AL58" s="1" t="s">
        <v>60</v>
      </c>
      <c r="AW58" s="1" t="s">
        <v>214</v>
      </c>
      <c r="AY58" s="1">
        <v>1.0</v>
      </c>
      <c r="AZ58" s="1">
        <v>49.99</v>
      </c>
      <c r="BB58" s="1">
        <v>49.99</v>
      </c>
    </row>
    <row r="59">
      <c r="A59" s="1" t="s">
        <v>125</v>
      </c>
      <c r="C59" s="1" t="s">
        <v>56</v>
      </c>
      <c r="D59" s="1" t="s">
        <v>215</v>
      </c>
      <c r="Y59" s="2">
        <v>45522.0</v>
      </c>
      <c r="AE59" s="1">
        <v>49.99</v>
      </c>
      <c r="AG59" s="3" t="str">
        <f>"2000006194406967"</f>
        <v>2000006194406967</v>
      </c>
      <c r="AH59" s="1" t="s">
        <v>58</v>
      </c>
      <c r="AI59" s="1" t="s">
        <v>59</v>
      </c>
      <c r="AJ59" s="1" t="s">
        <v>59</v>
      </c>
      <c r="AK59" s="1" t="s">
        <v>60</v>
      </c>
      <c r="AL59" s="1" t="s">
        <v>60</v>
      </c>
      <c r="AW59" s="1" t="s">
        <v>127</v>
      </c>
      <c r="AY59" s="1">
        <v>1.0</v>
      </c>
      <c r="AZ59" s="1">
        <v>49.99</v>
      </c>
      <c r="BB59" s="1">
        <v>49.99</v>
      </c>
    </row>
    <row r="60">
      <c r="A60" s="1" t="s">
        <v>216</v>
      </c>
      <c r="C60" s="1" t="s">
        <v>56</v>
      </c>
      <c r="D60" s="1" t="s">
        <v>217</v>
      </c>
      <c r="Y60" s="2">
        <v>45522.0</v>
      </c>
      <c r="AE60" s="1">
        <v>169.99</v>
      </c>
      <c r="AG60" s="3" t="str">
        <f>"2000006194386077"</f>
        <v>2000006194386077</v>
      </c>
      <c r="AH60" s="1" t="s">
        <v>58</v>
      </c>
      <c r="AI60" s="1" t="s">
        <v>59</v>
      </c>
      <c r="AJ60" s="1" t="s">
        <v>59</v>
      </c>
      <c r="AK60" s="1" t="s">
        <v>60</v>
      </c>
      <c r="AL60" s="1" t="s">
        <v>60</v>
      </c>
      <c r="AW60" s="1" t="s">
        <v>218</v>
      </c>
      <c r="AY60" s="1">
        <v>1.0</v>
      </c>
      <c r="AZ60" s="1">
        <v>169.99</v>
      </c>
      <c r="BB60" s="1">
        <v>169.99</v>
      </c>
    </row>
    <row r="61">
      <c r="A61" s="1" t="s">
        <v>219</v>
      </c>
      <c r="C61" s="1" t="s">
        <v>56</v>
      </c>
      <c r="D61" s="1" t="s">
        <v>220</v>
      </c>
      <c r="Y61" s="2">
        <v>45522.0</v>
      </c>
      <c r="AE61" s="1">
        <v>109.99</v>
      </c>
      <c r="AG61" s="3" t="str">
        <f>"2000009071042334"</f>
        <v>2000009071042334</v>
      </c>
      <c r="AH61" s="1" t="s">
        <v>58</v>
      </c>
      <c r="AI61" s="1" t="s">
        <v>59</v>
      </c>
      <c r="AJ61" s="1" t="s">
        <v>59</v>
      </c>
      <c r="AK61" s="1" t="s">
        <v>60</v>
      </c>
      <c r="AL61" s="1" t="s">
        <v>60</v>
      </c>
      <c r="AW61" s="1" t="s">
        <v>76</v>
      </c>
      <c r="AY61" s="1">
        <v>1.0</v>
      </c>
      <c r="AZ61" s="1">
        <v>109.99</v>
      </c>
      <c r="BB61" s="1">
        <v>109.99</v>
      </c>
    </row>
    <row r="62">
      <c r="A62" s="1" t="s">
        <v>221</v>
      </c>
      <c r="C62" s="1" t="s">
        <v>56</v>
      </c>
      <c r="D62" s="1" t="s">
        <v>222</v>
      </c>
      <c r="Y62" s="2">
        <v>45522.0</v>
      </c>
      <c r="AE62" s="1">
        <v>99.99</v>
      </c>
      <c r="AG62" s="3" t="str">
        <f>"2000009071079340"</f>
        <v>2000009071079340</v>
      </c>
      <c r="AH62" s="1" t="s">
        <v>58</v>
      </c>
      <c r="AI62" s="1" t="s">
        <v>59</v>
      </c>
      <c r="AJ62" s="1" t="s">
        <v>59</v>
      </c>
      <c r="AK62" s="1" t="s">
        <v>60</v>
      </c>
      <c r="AL62" s="1" t="s">
        <v>60</v>
      </c>
      <c r="AW62" s="1" t="s">
        <v>223</v>
      </c>
      <c r="AY62" s="1">
        <v>1.0</v>
      </c>
      <c r="AZ62" s="1">
        <v>99.99</v>
      </c>
      <c r="BB62" s="1">
        <v>99.99</v>
      </c>
    </row>
    <row r="63">
      <c r="A63" s="1" t="s">
        <v>224</v>
      </c>
      <c r="C63" s="1" t="s">
        <v>56</v>
      </c>
      <c r="D63" s="1" t="s">
        <v>225</v>
      </c>
      <c r="Y63" s="2">
        <v>45522.0</v>
      </c>
      <c r="AE63" s="1">
        <v>119.99</v>
      </c>
      <c r="AG63" s="3" t="str">
        <f>"2000006194293361"</f>
        <v>2000006194293361</v>
      </c>
      <c r="AH63" s="1" t="s">
        <v>58</v>
      </c>
      <c r="AI63" s="1" t="s">
        <v>59</v>
      </c>
      <c r="AJ63" s="1" t="s">
        <v>59</v>
      </c>
      <c r="AK63" s="1" t="s">
        <v>60</v>
      </c>
      <c r="AL63" s="1" t="s">
        <v>60</v>
      </c>
      <c r="AW63" s="1" t="s">
        <v>226</v>
      </c>
      <c r="AY63" s="1">
        <v>1.0</v>
      </c>
      <c r="AZ63" s="1">
        <v>119.99</v>
      </c>
      <c r="BB63" s="1">
        <v>119.99</v>
      </c>
    </row>
    <row r="64">
      <c r="A64" s="1" t="s">
        <v>227</v>
      </c>
      <c r="C64" s="1" t="s">
        <v>56</v>
      </c>
      <c r="D64" s="1" t="s">
        <v>228</v>
      </c>
      <c r="Y64" s="2">
        <v>45522.0</v>
      </c>
      <c r="AE64" s="1">
        <v>99.99</v>
      </c>
      <c r="AG64" s="3" t="str">
        <f>"2000006194236827"</f>
        <v>2000006194236827</v>
      </c>
      <c r="AH64" s="1" t="s">
        <v>58</v>
      </c>
      <c r="AI64" s="1" t="s">
        <v>59</v>
      </c>
      <c r="AJ64" s="1" t="s">
        <v>59</v>
      </c>
      <c r="AK64" s="1" t="s">
        <v>60</v>
      </c>
      <c r="AL64" s="1" t="s">
        <v>60</v>
      </c>
      <c r="AW64" s="1" t="s">
        <v>229</v>
      </c>
      <c r="AY64" s="1">
        <v>1.0</v>
      </c>
      <c r="AZ64" s="1">
        <v>99.99</v>
      </c>
      <c r="BB64" s="1">
        <v>99.99</v>
      </c>
    </row>
    <row r="65">
      <c r="A65" s="1" t="s">
        <v>230</v>
      </c>
      <c r="C65" s="1" t="s">
        <v>56</v>
      </c>
      <c r="D65" s="1" t="s">
        <v>231</v>
      </c>
      <c r="Y65" s="2">
        <v>45522.0</v>
      </c>
      <c r="AE65" s="1">
        <v>109.98</v>
      </c>
      <c r="AG65" s="3" t="str">
        <f>"2000006194231415"</f>
        <v>2000006194231415</v>
      </c>
      <c r="AH65" s="1" t="s">
        <v>58</v>
      </c>
      <c r="AI65" s="1" t="s">
        <v>59</v>
      </c>
      <c r="AJ65" s="1" t="s">
        <v>59</v>
      </c>
      <c r="AK65" s="1" t="s">
        <v>60</v>
      </c>
      <c r="AL65" s="1" t="s">
        <v>60</v>
      </c>
      <c r="AW65" s="1" t="s">
        <v>85</v>
      </c>
      <c r="AY65" s="1">
        <v>2.0</v>
      </c>
      <c r="AZ65" s="1">
        <v>54.99</v>
      </c>
      <c r="BB65" s="1">
        <v>109.98</v>
      </c>
    </row>
    <row r="66">
      <c r="A66" s="1" t="s">
        <v>232</v>
      </c>
      <c r="C66" s="1" t="s">
        <v>56</v>
      </c>
      <c r="D66" s="1" t="s">
        <v>233</v>
      </c>
      <c r="Y66" s="2">
        <v>45522.0</v>
      </c>
      <c r="AE66" s="1">
        <v>79.99</v>
      </c>
      <c r="AG66" s="3" t="str">
        <f>"2000006194189587"</f>
        <v>2000006194189587</v>
      </c>
      <c r="AH66" s="1" t="s">
        <v>58</v>
      </c>
      <c r="AI66" s="1" t="s">
        <v>59</v>
      </c>
      <c r="AJ66" s="1" t="s">
        <v>59</v>
      </c>
      <c r="AK66" s="1" t="s">
        <v>60</v>
      </c>
      <c r="AL66" s="1" t="s">
        <v>60</v>
      </c>
      <c r="AW66" s="1" t="s">
        <v>234</v>
      </c>
      <c r="AY66" s="1">
        <v>1.0</v>
      </c>
      <c r="AZ66" s="1">
        <v>79.99</v>
      </c>
      <c r="BB66" s="1">
        <v>79.99</v>
      </c>
    </row>
    <row r="67">
      <c r="A67" s="1" t="s">
        <v>55</v>
      </c>
      <c r="C67" s="1" t="s">
        <v>235</v>
      </c>
      <c r="D67" s="1" t="s">
        <v>181</v>
      </c>
      <c r="Y67" s="2">
        <v>45522.0</v>
      </c>
      <c r="AE67" s="1">
        <v>59.99</v>
      </c>
      <c r="AG67" s="3" t="str">
        <f>"2000006194190323"</f>
        <v>2000006194190323</v>
      </c>
      <c r="AH67" s="1" t="s">
        <v>58</v>
      </c>
      <c r="AI67" s="1" t="s">
        <v>59</v>
      </c>
      <c r="AJ67" s="1" t="s">
        <v>59</v>
      </c>
      <c r="AK67" s="1" t="s">
        <v>60</v>
      </c>
      <c r="AL67" s="1" t="s">
        <v>60</v>
      </c>
      <c r="AW67" s="1" t="s">
        <v>61</v>
      </c>
      <c r="AY67" s="1">
        <v>1.0</v>
      </c>
      <c r="AZ67" s="1">
        <v>59.99</v>
      </c>
      <c r="BB67" s="1">
        <v>59.99</v>
      </c>
    </row>
    <row r="68">
      <c r="A68" s="1" t="s">
        <v>236</v>
      </c>
      <c r="C68" s="1" t="s">
        <v>56</v>
      </c>
      <c r="D68" s="1" t="s">
        <v>237</v>
      </c>
      <c r="Y68" s="2">
        <v>45522.0</v>
      </c>
      <c r="AE68" s="1">
        <v>119.99</v>
      </c>
      <c r="AG68" s="3" t="str">
        <f>"2000006194189029"</f>
        <v>2000006194189029</v>
      </c>
      <c r="AH68" s="1" t="s">
        <v>58</v>
      </c>
      <c r="AI68" s="1" t="s">
        <v>59</v>
      </c>
      <c r="AJ68" s="1" t="s">
        <v>59</v>
      </c>
      <c r="AK68" s="1" t="s">
        <v>60</v>
      </c>
      <c r="AL68" s="1" t="s">
        <v>60</v>
      </c>
      <c r="AW68" s="1" t="s">
        <v>238</v>
      </c>
      <c r="AY68" s="1">
        <v>1.0</v>
      </c>
      <c r="AZ68" s="1">
        <v>119.99</v>
      </c>
      <c r="BB68" s="1">
        <v>119.99</v>
      </c>
    </row>
    <row r="69">
      <c r="A69" s="1" t="s">
        <v>239</v>
      </c>
      <c r="C69" s="1" t="s">
        <v>56</v>
      </c>
      <c r="D69" s="1" t="s">
        <v>240</v>
      </c>
      <c r="Y69" s="2">
        <v>45522.0</v>
      </c>
      <c r="AE69" s="1">
        <v>209.97</v>
      </c>
      <c r="AG69" s="3" t="str">
        <f>"2000006194170711"</f>
        <v>2000006194170711</v>
      </c>
      <c r="AH69" s="1" t="s">
        <v>58</v>
      </c>
      <c r="AI69" s="1" t="s">
        <v>59</v>
      </c>
      <c r="AJ69" s="1" t="s">
        <v>59</v>
      </c>
      <c r="AK69" s="1" t="s">
        <v>60</v>
      </c>
      <c r="AL69" s="1" t="s">
        <v>60</v>
      </c>
      <c r="AW69" s="1" t="s">
        <v>241</v>
      </c>
      <c r="AY69" s="1">
        <v>3.0</v>
      </c>
      <c r="AZ69" s="1">
        <v>69.99</v>
      </c>
      <c r="BB69" s="1">
        <v>209.969999999999</v>
      </c>
    </row>
    <row r="70">
      <c r="A70" s="1" t="s">
        <v>195</v>
      </c>
      <c r="C70" s="1" t="s">
        <v>56</v>
      </c>
      <c r="D70" s="1" t="s">
        <v>242</v>
      </c>
      <c r="Y70" s="2">
        <v>45522.0</v>
      </c>
      <c r="AE70" s="1">
        <v>863.82</v>
      </c>
      <c r="AG70" s="3" t="str">
        <f>"2000006194149989"</f>
        <v>2000006194149989</v>
      </c>
      <c r="AH70" s="1" t="s">
        <v>58</v>
      </c>
      <c r="AI70" s="1" t="s">
        <v>59</v>
      </c>
      <c r="AJ70" s="1" t="s">
        <v>59</v>
      </c>
      <c r="AK70" s="1" t="s">
        <v>60</v>
      </c>
      <c r="AL70" s="1" t="s">
        <v>60</v>
      </c>
      <c r="AW70" s="1" t="s">
        <v>197</v>
      </c>
      <c r="AY70" s="1">
        <v>18.0</v>
      </c>
      <c r="AZ70" s="1">
        <v>47.99</v>
      </c>
      <c r="BB70" s="1">
        <v>863.82</v>
      </c>
    </row>
    <row r="71">
      <c r="A71" s="1" t="s">
        <v>195</v>
      </c>
      <c r="C71" s="1" t="s">
        <v>56</v>
      </c>
      <c r="D71" s="1" t="s">
        <v>242</v>
      </c>
      <c r="Y71" s="2">
        <v>45522.0</v>
      </c>
      <c r="AE71" s="1">
        <v>95.98</v>
      </c>
      <c r="AG71" s="3" t="str">
        <f>"2000006194149991"</f>
        <v>2000006194149991</v>
      </c>
      <c r="AH71" s="1" t="s">
        <v>58</v>
      </c>
      <c r="AI71" s="1" t="s">
        <v>59</v>
      </c>
      <c r="AJ71" s="1" t="s">
        <v>59</v>
      </c>
      <c r="AK71" s="1" t="s">
        <v>60</v>
      </c>
      <c r="AL71" s="1" t="s">
        <v>60</v>
      </c>
      <c r="AW71" s="1" t="s">
        <v>197</v>
      </c>
      <c r="AY71" s="1">
        <v>2.0</v>
      </c>
      <c r="AZ71" s="1">
        <v>47.99</v>
      </c>
      <c r="BB71" s="1">
        <v>95.98</v>
      </c>
    </row>
    <row r="72">
      <c r="A72" s="1" t="s">
        <v>243</v>
      </c>
      <c r="C72" s="1" t="s">
        <v>56</v>
      </c>
      <c r="D72" s="1" t="s">
        <v>244</v>
      </c>
      <c r="Y72" s="2">
        <v>45522.0</v>
      </c>
      <c r="AE72" s="1">
        <v>119.99</v>
      </c>
      <c r="AG72" s="3" t="str">
        <f>"2000009070736714"</f>
        <v>2000009070736714</v>
      </c>
      <c r="AH72" s="1" t="s">
        <v>58</v>
      </c>
      <c r="AI72" s="1" t="s">
        <v>59</v>
      </c>
      <c r="AJ72" s="1" t="s">
        <v>59</v>
      </c>
      <c r="AK72" s="1" t="s">
        <v>60</v>
      </c>
      <c r="AL72" s="1" t="s">
        <v>60</v>
      </c>
      <c r="AW72" s="1" t="s">
        <v>245</v>
      </c>
      <c r="AY72" s="1">
        <v>1.0</v>
      </c>
      <c r="AZ72" s="1">
        <v>119.99</v>
      </c>
      <c r="BB72" s="1">
        <v>119.99</v>
      </c>
    </row>
    <row r="73">
      <c r="A73" s="1" t="s">
        <v>246</v>
      </c>
      <c r="C73" s="1" t="s">
        <v>56</v>
      </c>
      <c r="D73" s="1" t="s">
        <v>247</v>
      </c>
      <c r="Y73" s="2">
        <v>45522.0</v>
      </c>
      <c r="AE73" s="1">
        <v>99.98</v>
      </c>
      <c r="AG73" s="3" t="str">
        <f>"2000006194113295"</f>
        <v>2000006194113295</v>
      </c>
      <c r="AH73" s="1" t="s">
        <v>58</v>
      </c>
      <c r="AI73" s="1" t="s">
        <v>59</v>
      </c>
      <c r="AJ73" s="1" t="s">
        <v>59</v>
      </c>
      <c r="AK73" s="1" t="s">
        <v>60</v>
      </c>
      <c r="AL73" s="1" t="s">
        <v>60</v>
      </c>
      <c r="AW73" s="1" t="s">
        <v>97</v>
      </c>
      <c r="AY73" s="1">
        <v>2.0</v>
      </c>
      <c r="AZ73" s="1">
        <v>49.99</v>
      </c>
      <c r="BB73" s="1">
        <v>99.98</v>
      </c>
    </row>
    <row r="74">
      <c r="A74" s="1" t="s">
        <v>102</v>
      </c>
      <c r="C74" s="1" t="s">
        <v>56</v>
      </c>
      <c r="D74" s="1" t="s">
        <v>248</v>
      </c>
      <c r="Y74" s="2">
        <v>45522.0</v>
      </c>
      <c r="AE74" s="1">
        <v>59.99</v>
      </c>
      <c r="AG74" s="3" t="str">
        <f>"2000009070653274"</f>
        <v>2000009070653274</v>
      </c>
      <c r="AH74" s="1" t="s">
        <v>58</v>
      </c>
      <c r="AI74" s="1" t="s">
        <v>59</v>
      </c>
      <c r="AJ74" s="1" t="s">
        <v>59</v>
      </c>
      <c r="AK74" s="1" t="s">
        <v>60</v>
      </c>
      <c r="AL74" s="1" t="s">
        <v>60</v>
      </c>
      <c r="AW74" s="1" t="s">
        <v>104</v>
      </c>
      <c r="AY74" s="1">
        <v>1.0</v>
      </c>
      <c r="AZ74" s="1">
        <v>59.99</v>
      </c>
      <c r="BB74" s="1">
        <v>59.99</v>
      </c>
    </row>
    <row r="75">
      <c r="A75" s="1" t="s">
        <v>249</v>
      </c>
      <c r="C75" s="1" t="s">
        <v>56</v>
      </c>
      <c r="D75" s="1" t="s">
        <v>250</v>
      </c>
      <c r="Y75" s="2">
        <v>45522.0</v>
      </c>
      <c r="AE75" s="1">
        <v>64.99</v>
      </c>
      <c r="AG75" s="3" t="str">
        <f>"2000006194092707"</f>
        <v>2000006194092707</v>
      </c>
      <c r="AH75" s="1" t="s">
        <v>58</v>
      </c>
      <c r="AI75" s="1" t="s">
        <v>59</v>
      </c>
      <c r="AJ75" s="1" t="s">
        <v>59</v>
      </c>
      <c r="AK75" s="1" t="s">
        <v>60</v>
      </c>
      <c r="AL75" s="1" t="s">
        <v>60</v>
      </c>
      <c r="AW75" s="1" t="s">
        <v>251</v>
      </c>
      <c r="AY75" s="1">
        <v>1.0</v>
      </c>
      <c r="AZ75" s="1">
        <v>64.99</v>
      </c>
      <c r="BB75" s="1">
        <v>64.99</v>
      </c>
    </row>
    <row r="76">
      <c r="A76" s="1" t="s">
        <v>252</v>
      </c>
      <c r="C76" s="1" t="s">
        <v>56</v>
      </c>
      <c r="D76" s="1" t="s">
        <v>253</v>
      </c>
      <c r="Y76" s="2">
        <v>45522.0</v>
      </c>
      <c r="AE76" s="1">
        <v>54.99</v>
      </c>
      <c r="AG76" s="3" t="str">
        <f t="shared" ref="AG76:AG77" si="2">"2000006194084539"</f>
        <v>2000006194084539</v>
      </c>
      <c r="AH76" s="1" t="s">
        <v>58</v>
      </c>
      <c r="AI76" s="1" t="s">
        <v>59</v>
      </c>
      <c r="AJ76" s="1" t="s">
        <v>59</v>
      </c>
      <c r="AK76" s="1" t="s">
        <v>60</v>
      </c>
      <c r="AL76" s="1" t="s">
        <v>60</v>
      </c>
      <c r="AW76" s="1" t="s">
        <v>254</v>
      </c>
      <c r="AY76" s="1">
        <v>1.0</v>
      </c>
      <c r="AZ76" s="1">
        <v>54.99</v>
      </c>
      <c r="BB76" s="1">
        <v>54.99</v>
      </c>
    </row>
    <row r="77">
      <c r="A77" s="1" t="s">
        <v>255</v>
      </c>
      <c r="C77" s="1" t="s">
        <v>56</v>
      </c>
      <c r="D77" s="1" t="s">
        <v>253</v>
      </c>
      <c r="Y77" s="2">
        <v>45522.0</v>
      </c>
      <c r="AE77" s="1">
        <v>54.99</v>
      </c>
      <c r="AG77" s="3" t="str">
        <f t="shared" si="2"/>
        <v>2000006194084539</v>
      </c>
      <c r="AH77" s="1" t="s">
        <v>58</v>
      </c>
      <c r="AI77" s="1" t="s">
        <v>59</v>
      </c>
      <c r="AJ77" s="1" t="s">
        <v>59</v>
      </c>
      <c r="AK77" s="1" t="s">
        <v>60</v>
      </c>
      <c r="AL77" s="1" t="s">
        <v>60</v>
      </c>
      <c r="AW77" s="1" t="s">
        <v>254</v>
      </c>
      <c r="AY77" s="1">
        <v>1.0</v>
      </c>
      <c r="AZ77" s="1">
        <v>54.99</v>
      </c>
      <c r="BB77" s="1">
        <v>54.99</v>
      </c>
    </row>
    <row r="78">
      <c r="A78" s="1" t="s">
        <v>256</v>
      </c>
      <c r="C78" s="1" t="s">
        <v>56</v>
      </c>
      <c r="D78" s="1" t="s">
        <v>257</v>
      </c>
      <c r="Y78" s="2">
        <v>45522.0</v>
      </c>
      <c r="AE78" s="1">
        <v>149.98</v>
      </c>
      <c r="AG78" s="3" t="str">
        <f>"2000006194081413"</f>
        <v>2000006194081413</v>
      </c>
      <c r="AH78" s="1" t="s">
        <v>58</v>
      </c>
      <c r="AI78" s="1" t="s">
        <v>59</v>
      </c>
      <c r="AJ78" s="1" t="s">
        <v>59</v>
      </c>
      <c r="AK78" s="1" t="s">
        <v>60</v>
      </c>
      <c r="AL78" s="1" t="s">
        <v>60</v>
      </c>
      <c r="AW78" s="1" t="s">
        <v>258</v>
      </c>
      <c r="AY78" s="1">
        <v>1.0</v>
      </c>
      <c r="AZ78" s="1">
        <v>149.98</v>
      </c>
      <c r="BB78" s="1">
        <v>149.98</v>
      </c>
    </row>
    <row r="79">
      <c r="A79" s="1" t="s">
        <v>259</v>
      </c>
      <c r="C79" s="1" t="s">
        <v>56</v>
      </c>
      <c r="D79" s="1" t="s">
        <v>260</v>
      </c>
      <c r="Y79" s="2">
        <v>45522.0</v>
      </c>
      <c r="AE79" s="1">
        <v>239.99</v>
      </c>
      <c r="AG79" s="3" t="str">
        <f>"2000009070510648"</f>
        <v>2000009070510648</v>
      </c>
      <c r="AH79" s="1" t="s">
        <v>58</v>
      </c>
      <c r="AI79" s="1" t="s">
        <v>59</v>
      </c>
      <c r="AJ79" s="1" t="s">
        <v>59</v>
      </c>
      <c r="AK79" s="1" t="s">
        <v>60</v>
      </c>
      <c r="AL79" s="1" t="s">
        <v>60</v>
      </c>
      <c r="AW79" s="1" t="s">
        <v>261</v>
      </c>
      <c r="AY79" s="1">
        <v>1.0</v>
      </c>
      <c r="AZ79" s="1">
        <v>239.99</v>
      </c>
      <c r="BB79" s="1">
        <v>239.99</v>
      </c>
    </row>
    <row r="80">
      <c r="A80" s="1" t="s">
        <v>262</v>
      </c>
      <c r="C80" s="1" t="s">
        <v>56</v>
      </c>
      <c r="D80" s="1" t="s">
        <v>263</v>
      </c>
      <c r="Y80" s="2">
        <v>45522.0</v>
      </c>
      <c r="AE80" s="1">
        <v>129.99</v>
      </c>
      <c r="AG80" s="3" t="str">
        <f>"2000006193990557"</f>
        <v>2000006193990557</v>
      </c>
      <c r="AH80" s="1" t="s">
        <v>58</v>
      </c>
      <c r="AI80" s="1" t="s">
        <v>59</v>
      </c>
      <c r="AJ80" s="1" t="s">
        <v>59</v>
      </c>
      <c r="AK80" s="1" t="s">
        <v>60</v>
      </c>
      <c r="AL80" s="1" t="s">
        <v>60</v>
      </c>
      <c r="AW80" s="1" t="s">
        <v>264</v>
      </c>
      <c r="AY80" s="1">
        <v>1.0</v>
      </c>
      <c r="AZ80" s="1">
        <v>129.99</v>
      </c>
      <c r="BB80" s="1">
        <v>129.99</v>
      </c>
    </row>
    <row r="81">
      <c r="A81" s="1" t="s">
        <v>265</v>
      </c>
      <c r="C81" s="1" t="s">
        <v>56</v>
      </c>
      <c r="D81" s="1" t="s">
        <v>266</v>
      </c>
      <c r="Y81" s="2">
        <v>45522.0</v>
      </c>
      <c r="AE81" s="1">
        <v>114.99</v>
      </c>
      <c r="AG81" s="3" t="str">
        <f>"2000009070274412"</f>
        <v>2000009070274412</v>
      </c>
      <c r="AH81" s="1" t="s">
        <v>58</v>
      </c>
      <c r="AI81" s="1" t="s">
        <v>59</v>
      </c>
      <c r="AJ81" s="1" t="s">
        <v>59</v>
      </c>
      <c r="AK81" s="1" t="s">
        <v>60</v>
      </c>
      <c r="AL81" s="1" t="s">
        <v>60</v>
      </c>
      <c r="AW81" s="1" t="s">
        <v>267</v>
      </c>
      <c r="AY81" s="1">
        <v>1.0</v>
      </c>
      <c r="AZ81" s="1">
        <v>114.99</v>
      </c>
      <c r="BB81" s="1">
        <v>114.99</v>
      </c>
    </row>
    <row r="82">
      <c r="A82" s="1" t="s">
        <v>268</v>
      </c>
      <c r="C82" s="1" t="s">
        <v>56</v>
      </c>
      <c r="D82" s="1" t="s">
        <v>269</v>
      </c>
      <c r="Y82" s="2">
        <v>45522.0</v>
      </c>
      <c r="AE82" s="1">
        <v>99.99</v>
      </c>
      <c r="AG82" s="3" t="str">
        <f>"2000006193964325"</f>
        <v>2000006193964325</v>
      </c>
      <c r="AH82" s="1" t="s">
        <v>58</v>
      </c>
      <c r="AI82" s="1" t="s">
        <v>59</v>
      </c>
      <c r="AJ82" s="1" t="s">
        <v>59</v>
      </c>
      <c r="AK82" s="1" t="s">
        <v>60</v>
      </c>
      <c r="AL82" s="1" t="s">
        <v>60</v>
      </c>
      <c r="AW82" s="1" t="s">
        <v>270</v>
      </c>
      <c r="AY82" s="1">
        <v>1.0</v>
      </c>
      <c r="AZ82" s="1">
        <v>99.99</v>
      </c>
      <c r="BB82" s="1">
        <v>99.99</v>
      </c>
    </row>
    <row r="83">
      <c r="A83" s="1" t="s">
        <v>271</v>
      </c>
      <c r="C83" s="1" t="s">
        <v>56</v>
      </c>
      <c r="D83" s="1" t="s">
        <v>272</v>
      </c>
      <c r="Y83" s="2">
        <v>45522.0</v>
      </c>
      <c r="AE83" s="1">
        <v>58.99</v>
      </c>
      <c r="AG83" s="3" t="str">
        <f>"2000006193947519"</f>
        <v>2000006193947519</v>
      </c>
      <c r="AH83" s="1" t="s">
        <v>58</v>
      </c>
      <c r="AI83" s="1" t="s">
        <v>59</v>
      </c>
      <c r="AJ83" s="1" t="s">
        <v>59</v>
      </c>
      <c r="AK83" s="1" t="s">
        <v>60</v>
      </c>
      <c r="AL83" s="1" t="s">
        <v>60</v>
      </c>
      <c r="AW83" s="1" t="s">
        <v>110</v>
      </c>
      <c r="AY83" s="1">
        <v>1.0</v>
      </c>
      <c r="AZ83" s="1">
        <v>58.99</v>
      </c>
      <c r="BB83" s="1">
        <v>58.99</v>
      </c>
    </row>
    <row r="84">
      <c r="A84" s="1" t="s">
        <v>135</v>
      </c>
      <c r="C84" s="1" t="s">
        <v>56</v>
      </c>
      <c r="D84" s="1" t="s">
        <v>273</v>
      </c>
      <c r="Y84" s="2">
        <v>45522.0</v>
      </c>
      <c r="AE84" s="1">
        <v>89.99</v>
      </c>
      <c r="AG84" s="3" t="str">
        <f>"2000006193936637"</f>
        <v>2000006193936637</v>
      </c>
      <c r="AH84" s="1" t="s">
        <v>58</v>
      </c>
      <c r="AI84" s="1" t="s">
        <v>59</v>
      </c>
      <c r="AJ84" s="1" t="s">
        <v>59</v>
      </c>
      <c r="AK84" s="1" t="s">
        <v>60</v>
      </c>
      <c r="AL84" s="1" t="s">
        <v>60</v>
      </c>
      <c r="AW84" s="1" t="s">
        <v>137</v>
      </c>
      <c r="AY84" s="1">
        <v>1.0</v>
      </c>
      <c r="AZ84" s="1">
        <v>89.99</v>
      </c>
      <c r="BB84" s="1">
        <v>89.99</v>
      </c>
    </row>
    <row r="85">
      <c r="A85" s="1" t="s">
        <v>125</v>
      </c>
      <c r="C85" s="1" t="s">
        <v>56</v>
      </c>
      <c r="D85" s="1" t="s">
        <v>274</v>
      </c>
      <c r="Y85" s="2">
        <v>45522.0</v>
      </c>
      <c r="AE85" s="1">
        <v>49.99</v>
      </c>
      <c r="AG85" s="3" t="str">
        <f>"2000006193719933"</f>
        <v>2000006193719933</v>
      </c>
      <c r="AH85" s="1" t="s">
        <v>58</v>
      </c>
      <c r="AI85" s="1" t="s">
        <v>59</v>
      </c>
      <c r="AJ85" s="1" t="s">
        <v>59</v>
      </c>
      <c r="AK85" s="1" t="s">
        <v>60</v>
      </c>
      <c r="AL85" s="1" t="s">
        <v>60</v>
      </c>
      <c r="AW85" s="1" t="s">
        <v>127</v>
      </c>
      <c r="AY85" s="1">
        <v>1.0</v>
      </c>
      <c r="AZ85" s="1">
        <v>49.99</v>
      </c>
      <c r="BB85" s="1">
        <v>49.99</v>
      </c>
    </row>
    <row r="86">
      <c r="A86" s="1" t="s">
        <v>275</v>
      </c>
      <c r="C86" s="1" t="s">
        <v>56</v>
      </c>
      <c r="D86" s="1" t="s">
        <v>276</v>
      </c>
      <c r="Y86" s="2">
        <v>45522.0</v>
      </c>
      <c r="AE86" s="1">
        <v>58.99</v>
      </c>
      <c r="AG86" s="3" t="str">
        <f>"2000006193806181"</f>
        <v>2000006193806181</v>
      </c>
      <c r="AH86" s="1" t="s">
        <v>58</v>
      </c>
      <c r="AI86" s="1" t="s">
        <v>59</v>
      </c>
      <c r="AJ86" s="1" t="s">
        <v>59</v>
      </c>
      <c r="AK86" s="1" t="s">
        <v>60</v>
      </c>
      <c r="AL86" s="1" t="s">
        <v>60</v>
      </c>
      <c r="AW86" s="1" t="s">
        <v>110</v>
      </c>
      <c r="AY86" s="1">
        <v>1.0</v>
      </c>
      <c r="AZ86" s="1">
        <v>58.99</v>
      </c>
      <c r="BB86" s="1">
        <v>58.99</v>
      </c>
    </row>
    <row r="87">
      <c r="A87" s="1" t="s">
        <v>277</v>
      </c>
      <c r="C87" s="1" t="s">
        <v>56</v>
      </c>
      <c r="D87" s="1" t="s">
        <v>278</v>
      </c>
      <c r="Y87" s="2">
        <v>45522.0</v>
      </c>
      <c r="AE87" s="1">
        <v>139.99</v>
      </c>
      <c r="AG87" s="3" t="str">
        <f>"2000006193754627"</f>
        <v>2000006193754627</v>
      </c>
      <c r="AH87" s="1" t="s">
        <v>58</v>
      </c>
      <c r="AI87" s="1" t="s">
        <v>59</v>
      </c>
      <c r="AJ87" s="1" t="s">
        <v>59</v>
      </c>
      <c r="AK87" s="1" t="s">
        <v>60</v>
      </c>
      <c r="AL87" s="1" t="s">
        <v>60</v>
      </c>
      <c r="AW87" s="1" t="s">
        <v>279</v>
      </c>
      <c r="AY87" s="1">
        <v>1.0</v>
      </c>
      <c r="AZ87" s="1">
        <v>139.99</v>
      </c>
      <c r="BB87" s="1">
        <v>139.99</v>
      </c>
    </row>
    <row r="88">
      <c r="A88" s="1" t="s">
        <v>280</v>
      </c>
      <c r="C88" s="1" t="s">
        <v>56</v>
      </c>
      <c r="D88" s="1" t="s">
        <v>281</v>
      </c>
      <c r="Y88" s="2">
        <v>45522.0</v>
      </c>
      <c r="AE88" s="1">
        <v>119.99</v>
      </c>
      <c r="AG88" s="3" t="str">
        <f>"2000006193746413"</f>
        <v>2000006193746413</v>
      </c>
      <c r="AH88" s="1" t="s">
        <v>58</v>
      </c>
      <c r="AI88" s="1" t="s">
        <v>59</v>
      </c>
      <c r="AJ88" s="1" t="s">
        <v>59</v>
      </c>
      <c r="AK88" s="1" t="s">
        <v>60</v>
      </c>
      <c r="AL88" s="1" t="s">
        <v>60</v>
      </c>
      <c r="AW88" s="1" t="s">
        <v>282</v>
      </c>
      <c r="AY88" s="1">
        <v>1.0</v>
      </c>
      <c r="AZ88" s="1">
        <v>119.99</v>
      </c>
      <c r="BB88" s="1">
        <v>119.99</v>
      </c>
    </row>
    <row r="89">
      <c r="A89" s="1" t="s">
        <v>283</v>
      </c>
      <c r="C89" s="1" t="s">
        <v>56</v>
      </c>
      <c r="D89" s="1" t="s">
        <v>284</v>
      </c>
      <c r="Y89" s="2">
        <v>45522.0</v>
      </c>
      <c r="AE89" s="1">
        <v>499.99</v>
      </c>
      <c r="AG89" s="3" t="str">
        <f>"2000006193736099"</f>
        <v>2000006193736099</v>
      </c>
      <c r="AH89" s="1" t="s">
        <v>58</v>
      </c>
      <c r="AI89" s="1" t="s">
        <v>59</v>
      </c>
      <c r="AJ89" s="1" t="s">
        <v>59</v>
      </c>
      <c r="AK89" s="1" t="s">
        <v>60</v>
      </c>
      <c r="AL89" s="1" t="s">
        <v>60</v>
      </c>
      <c r="AW89" s="1" t="s">
        <v>285</v>
      </c>
      <c r="AY89" s="1">
        <v>1.0</v>
      </c>
      <c r="AZ89" s="1">
        <v>499.99</v>
      </c>
      <c r="BB89" s="1">
        <v>499.99</v>
      </c>
    </row>
    <row r="90">
      <c r="A90" s="1" t="s">
        <v>286</v>
      </c>
      <c r="C90" s="1" t="s">
        <v>56</v>
      </c>
      <c r="D90" s="1" t="s">
        <v>287</v>
      </c>
      <c r="Y90" s="2">
        <v>45522.0</v>
      </c>
      <c r="AE90" s="1">
        <v>87.99</v>
      </c>
      <c r="AG90" s="3" t="str">
        <f>"2000006193725607"</f>
        <v>2000006193725607</v>
      </c>
      <c r="AH90" s="1" t="s">
        <v>58</v>
      </c>
      <c r="AI90" s="1" t="s">
        <v>59</v>
      </c>
      <c r="AJ90" s="1" t="s">
        <v>59</v>
      </c>
      <c r="AK90" s="1" t="s">
        <v>60</v>
      </c>
      <c r="AL90" s="1" t="s">
        <v>60</v>
      </c>
      <c r="AW90" s="1" t="s">
        <v>288</v>
      </c>
      <c r="AY90" s="1">
        <v>1.0</v>
      </c>
      <c r="AZ90" s="1">
        <v>87.99</v>
      </c>
      <c r="BB90" s="1">
        <v>87.99</v>
      </c>
    </row>
    <row r="91">
      <c r="A91" s="1" t="s">
        <v>77</v>
      </c>
      <c r="C91" s="1" t="s">
        <v>56</v>
      </c>
      <c r="D91" s="1" t="s">
        <v>289</v>
      </c>
      <c r="Y91" s="2">
        <v>45522.0</v>
      </c>
      <c r="AE91" s="1">
        <v>64.99</v>
      </c>
      <c r="AG91" s="3" t="str">
        <f>"2000006193711251"</f>
        <v>2000006193711251</v>
      </c>
      <c r="AH91" s="1" t="s">
        <v>58</v>
      </c>
      <c r="AI91" s="1" t="s">
        <v>59</v>
      </c>
      <c r="AJ91" s="1" t="s">
        <v>59</v>
      </c>
      <c r="AK91" s="1" t="s">
        <v>60</v>
      </c>
      <c r="AL91" s="1" t="s">
        <v>60</v>
      </c>
      <c r="AW91" s="1" t="s">
        <v>79</v>
      </c>
      <c r="AY91" s="1">
        <v>1.0</v>
      </c>
      <c r="AZ91" s="1">
        <v>64.99</v>
      </c>
      <c r="BB91" s="1">
        <v>64.99</v>
      </c>
    </row>
    <row r="92">
      <c r="A92" s="1" t="s">
        <v>290</v>
      </c>
      <c r="C92" s="1" t="s">
        <v>56</v>
      </c>
      <c r="D92" s="1" t="s">
        <v>291</v>
      </c>
      <c r="Y92" s="2">
        <v>45522.0</v>
      </c>
      <c r="AE92" s="1">
        <v>139.99</v>
      </c>
      <c r="AG92" s="3" t="str">
        <f>"2000006193670807"</f>
        <v>2000006193670807</v>
      </c>
      <c r="AH92" s="1" t="s">
        <v>58</v>
      </c>
      <c r="AI92" s="1" t="s">
        <v>59</v>
      </c>
      <c r="AJ92" s="1" t="s">
        <v>59</v>
      </c>
      <c r="AK92" s="1" t="s">
        <v>60</v>
      </c>
      <c r="AL92" s="1" t="s">
        <v>60</v>
      </c>
      <c r="AW92" s="1" t="s">
        <v>292</v>
      </c>
      <c r="AY92" s="1">
        <v>1.0</v>
      </c>
      <c r="AZ92" s="1">
        <v>139.99</v>
      </c>
      <c r="BB92" s="1">
        <v>139.99</v>
      </c>
    </row>
    <row r="93">
      <c r="A93" s="1" t="s">
        <v>293</v>
      </c>
      <c r="C93" s="1" t="s">
        <v>56</v>
      </c>
      <c r="D93" s="1" t="s">
        <v>294</v>
      </c>
      <c r="Y93" s="2">
        <v>45522.0</v>
      </c>
      <c r="AE93" s="1">
        <v>54.99</v>
      </c>
      <c r="AG93" s="3" t="str">
        <f>"2000006193671921"</f>
        <v>2000006193671921</v>
      </c>
      <c r="AH93" s="1" t="s">
        <v>58</v>
      </c>
      <c r="AI93" s="1" t="s">
        <v>59</v>
      </c>
      <c r="AJ93" s="1" t="s">
        <v>59</v>
      </c>
      <c r="AK93" s="1" t="s">
        <v>60</v>
      </c>
      <c r="AL93" s="1" t="s">
        <v>60</v>
      </c>
      <c r="AW93" s="1" t="s">
        <v>295</v>
      </c>
      <c r="AY93" s="1">
        <v>1.0</v>
      </c>
      <c r="AZ93" s="1">
        <v>54.99</v>
      </c>
      <c r="BB93" s="1">
        <v>54.99</v>
      </c>
    </row>
    <row r="94">
      <c r="A94" s="1" t="s">
        <v>296</v>
      </c>
      <c r="C94" s="1" t="s">
        <v>56</v>
      </c>
      <c r="D94" s="1" t="s">
        <v>297</v>
      </c>
      <c r="Y94" s="2">
        <v>45522.0</v>
      </c>
      <c r="AE94" s="1">
        <v>139.99</v>
      </c>
      <c r="AG94" s="3" t="str">
        <f>"2000006193671727"</f>
        <v>2000006193671727</v>
      </c>
      <c r="AH94" s="1" t="s">
        <v>58</v>
      </c>
      <c r="AI94" s="1" t="s">
        <v>59</v>
      </c>
      <c r="AJ94" s="1" t="s">
        <v>59</v>
      </c>
      <c r="AK94" s="1" t="s">
        <v>60</v>
      </c>
      <c r="AL94" s="1" t="s">
        <v>60</v>
      </c>
      <c r="AW94" s="1" t="s">
        <v>298</v>
      </c>
      <c r="AY94" s="1">
        <v>1.0</v>
      </c>
      <c r="AZ94" s="1">
        <v>139.99</v>
      </c>
      <c r="BB94" s="1">
        <v>139.99</v>
      </c>
    </row>
    <row r="95">
      <c r="A95" s="1" t="s">
        <v>299</v>
      </c>
      <c r="C95" s="1" t="s">
        <v>56</v>
      </c>
      <c r="D95" s="1" t="s">
        <v>300</v>
      </c>
      <c r="Y95" s="2">
        <v>45522.0</v>
      </c>
      <c r="AE95" s="1">
        <v>59.99</v>
      </c>
      <c r="AG95" s="3" t="str">
        <f>"2000006193619705"</f>
        <v>2000006193619705</v>
      </c>
      <c r="AH95" s="1" t="s">
        <v>58</v>
      </c>
      <c r="AI95" s="1" t="s">
        <v>59</v>
      </c>
      <c r="AJ95" s="1" t="s">
        <v>59</v>
      </c>
      <c r="AK95" s="1" t="s">
        <v>60</v>
      </c>
      <c r="AL95" s="1" t="s">
        <v>60</v>
      </c>
      <c r="AW95" s="1" t="s">
        <v>301</v>
      </c>
      <c r="AY95" s="1">
        <v>1.0</v>
      </c>
      <c r="AZ95" s="1">
        <v>59.99</v>
      </c>
      <c r="BB95" s="1">
        <v>59.99</v>
      </c>
    </row>
    <row r="96">
      <c r="A96" s="1" t="s">
        <v>302</v>
      </c>
      <c r="C96" s="1" t="s">
        <v>56</v>
      </c>
      <c r="D96" s="1" t="s">
        <v>303</v>
      </c>
      <c r="Y96" s="2">
        <v>45522.0</v>
      </c>
      <c r="AE96" s="1">
        <v>39.48</v>
      </c>
      <c r="AG96" s="3" t="str">
        <f t="shared" ref="AG96:AG97" si="3">"2000006193624627"</f>
        <v>2000006193624627</v>
      </c>
      <c r="AH96" s="1" t="s">
        <v>58</v>
      </c>
      <c r="AI96" s="1" t="s">
        <v>59</v>
      </c>
      <c r="AJ96" s="1" t="s">
        <v>59</v>
      </c>
      <c r="AK96" s="1" t="s">
        <v>60</v>
      </c>
      <c r="AL96" s="1" t="s">
        <v>60</v>
      </c>
      <c r="AW96" s="1" t="s">
        <v>304</v>
      </c>
      <c r="AY96" s="1">
        <v>1.0</v>
      </c>
      <c r="AZ96" s="1">
        <v>39.48</v>
      </c>
      <c r="BB96" s="1">
        <v>39.48</v>
      </c>
    </row>
    <row r="97">
      <c r="A97" s="1" t="s">
        <v>305</v>
      </c>
      <c r="C97" s="1" t="s">
        <v>56</v>
      </c>
      <c r="D97" s="1" t="s">
        <v>303</v>
      </c>
      <c r="Y97" s="2">
        <v>45522.0</v>
      </c>
      <c r="AE97" s="1">
        <v>39.99</v>
      </c>
      <c r="AG97" s="3" t="str">
        <f t="shared" si="3"/>
        <v>2000006193624627</v>
      </c>
      <c r="AH97" s="1" t="s">
        <v>58</v>
      </c>
      <c r="AI97" s="1" t="s">
        <v>59</v>
      </c>
      <c r="AJ97" s="1" t="s">
        <v>59</v>
      </c>
      <c r="AK97" s="1" t="s">
        <v>60</v>
      </c>
      <c r="AL97" s="1" t="s">
        <v>60</v>
      </c>
      <c r="AW97" s="1" t="s">
        <v>306</v>
      </c>
      <c r="AY97" s="1">
        <v>1.0</v>
      </c>
      <c r="AZ97" s="1">
        <v>39.99</v>
      </c>
      <c r="BB97" s="1">
        <v>39.99</v>
      </c>
    </row>
    <row r="98">
      <c r="A98" s="1" t="s">
        <v>307</v>
      </c>
      <c r="C98" s="1" t="s">
        <v>56</v>
      </c>
      <c r="D98" s="1" t="s">
        <v>308</v>
      </c>
      <c r="Y98" s="2">
        <v>45522.0</v>
      </c>
      <c r="AE98" s="1">
        <v>64.99</v>
      </c>
      <c r="AG98" s="3" t="str">
        <f>"2000006193585821"</f>
        <v>2000006193585821</v>
      </c>
      <c r="AH98" s="1" t="s">
        <v>58</v>
      </c>
      <c r="AI98" s="1" t="s">
        <v>59</v>
      </c>
      <c r="AJ98" s="1" t="s">
        <v>59</v>
      </c>
      <c r="AK98" s="1" t="s">
        <v>60</v>
      </c>
      <c r="AL98" s="1" t="s">
        <v>60</v>
      </c>
      <c r="AW98" s="1" t="s">
        <v>309</v>
      </c>
      <c r="AY98" s="1">
        <v>1.0</v>
      </c>
      <c r="AZ98" s="1">
        <v>64.99</v>
      </c>
      <c r="BB98" s="1">
        <v>64.99</v>
      </c>
    </row>
    <row r="99">
      <c r="A99" s="1" t="s">
        <v>195</v>
      </c>
      <c r="C99" s="1" t="s">
        <v>56</v>
      </c>
      <c r="D99" s="1" t="s">
        <v>310</v>
      </c>
      <c r="Y99" s="2">
        <v>45522.0</v>
      </c>
      <c r="AE99" s="1">
        <v>47.99</v>
      </c>
      <c r="AG99" s="3" t="str">
        <f>"2000006193544145"</f>
        <v>2000006193544145</v>
      </c>
      <c r="AH99" s="1" t="s">
        <v>58</v>
      </c>
      <c r="AI99" s="1" t="s">
        <v>59</v>
      </c>
      <c r="AJ99" s="1" t="s">
        <v>59</v>
      </c>
      <c r="AK99" s="1" t="s">
        <v>60</v>
      </c>
      <c r="AL99" s="1" t="s">
        <v>60</v>
      </c>
      <c r="AW99" s="1" t="s">
        <v>197</v>
      </c>
      <c r="AY99" s="1">
        <v>1.0</v>
      </c>
      <c r="AZ99" s="1">
        <v>47.99</v>
      </c>
      <c r="BB99" s="1">
        <v>47.99</v>
      </c>
    </row>
    <row r="100">
      <c r="A100" s="1" t="s">
        <v>311</v>
      </c>
      <c r="C100" s="1" t="s">
        <v>56</v>
      </c>
      <c r="D100" s="1" t="s">
        <v>312</v>
      </c>
      <c r="Y100" s="2">
        <v>45522.0</v>
      </c>
      <c r="AE100" s="1">
        <v>64.99</v>
      </c>
      <c r="AG100" s="3" t="str">
        <f>"2000009069583218"</f>
        <v>2000009069583218</v>
      </c>
      <c r="AH100" s="1" t="s">
        <v>58</v>
      </c>
      <c r="AI100" s="1" t="s">
        <v>59</v>
      </c>
      <c r="AJ100" s="1" t="s">
        <v>59</v>
      </c>
      <c r="AK100" s="1" t="s">
        <v>60</v>
      </c>
      <c r="AL100" s="1" t="s">
        <v>60</v>
      </c>
      <c r="AW100" s="1" t="s">
        <v>313</v>
      </c>
      <c r="AY100" s="1">
        <v>1.0</v>
      </c>
      <c r="AZ100" s="1">
        <v>64.99</v>
      </c>
      <c r="BB100" s="1">
        <v>64.99</v>
      </c>
    </row>
    <row r="101">
      <c r="A101" s="1" t="s">
        <v>195</v>
      </c>
      <c r="C101" s="1" t="s">
        <v>56</v>
      </c>
      <c r="D101" s="1" t="s">
        <v>314</v>
      </c>
      <c r="Y101" s="2">
        <v>45522.0</v>
      </c>
      <c r="AE101" s="1">
        <v>47.99</v>
      </c>
      <c r="AG101" s="3" t="str">
        <f>"2000006193504515"</f>
        <v>2000006193504515</v>
      </c>
      <c r="AH101" s="1" t="s">
        <v>58</v>
      </c>
      <c r="AI101" s="1" t="s">
        <v>59</v>
      </c>
      <c r="AJ101" s="1" t="s">
        <v>59</v>
      </c>
      <c r="AK101" s="1" t="s">
        <v>60</v>
      </c>
      <c r="AL101" s="1" t="s">
        <v>60</v>
      </c>
      <c r="AW101" s="1" t="s">
        <v>197</v>
      </c>
      <c r="AY101" s="1">
        <v>1.0</v>
      </c>
      <c r="AZ101" s="1">
        <v>47.99</v>
      </c>
      <c r="BB101" s="1">
        <v>47.99</v>
      </c>
    </row>
    <row r="102">
      <c r="A102" s="1" t="s">
        <v>195</v>
      </c>
      <c r="C102" s="1" t="s">
        <v>56</v>
      </c>
      <c r="D102" s="1" t="s">
        <v>315</v>
      </c>
      <c r="Y102" s="2">
        <v>45522.0</v>
      </c>
      <c r="AE102" s="1">
        <v>95.98</v>
      </c>
      <c r="AG102" s="3" t="str">
        <f>"2000006193479247"</f>
        <v>2000006193479247</v>
      </c>
      <c r="AH102" s="1" t="s">
        <v>58</v>
      </c>
      <c r="AI102" s="1" t="s">
        <v>59</v>
      </c>
      <c r="AJ102" s="1" t="s">
        <v>59</v>
      </c>
      <c r="AK102" s="1" t="s">
        <v>60</v>
      </c>
      <c r="AL102" s="1" t="s">
        <v>60</v>
      </c>
      <c r="AW102" s="1" t="s">
        <v>197</v>
      </c>
      <c r="AY102" s="1">
        <v>2.0</v>
      </c>
      <c r="AZ102" s="1">
        <v>47.99</v>
      </c>
      <c r="BB102" s="1">
        <v>95.98</v>
      </c>
    </row>
    <row r="103">
      <c r="A103" s="1" t="s">
        <v>316</v>
      </c>
      <c r="C103" s="1" t="s">
        <v>56</v>
      </c>
      <c r="D103" s="1" t="s">
        <v>317</v>
      </c>
      <c r="Y103" s="2">
        <v>45522.0</v>
      </c>
      <c r="AE103" s="1">
        <v>54.99</v>
      </c>
      <c r="AG103" s="3" t="str">
        <f>"2000006193495365"</f>
        <v>2000006193495365</v>
      </c>
      <c r="AH103" s="1" t="s">
        <v>58</v>
      </c>
      <c r="AI103" s="1" t="s">
        <v>59</v>
      </c>
      <c r="AJ103" s="1" t="s">
        <v>59</v>
      </c>
      <c r="AK103" s="1" t="s">
        <v>60</v>
      </c>
      <c r="AL103" s="1" t="s">
        <v>60</v>
      </c>
      <c r="AW103" s="1" t="s">
        <v>318</v>
      </c>
      <c r="AY103" s="1">
        <v>1.0</v>
      </c>
      <c r="AZ103" s="1">
        <v>54.99</v>
      </c>
      <c r="BB103" s="1">
        <v>54.99</v>
      </c>
    </row>
    <row r="104">
      <c r="A104" s="1" t="s">
        <v>319</v>
      </c>
      <c r="C104" s="1" t="s">
        <v>56</v>
      </c>
      <c r="D104" s="1" t="s">
        <v>320</v>
      </c>
      <c r="Y104" s="2">
        <v>45522.0</v>
      </c>
      <c r="AE104" s="1">
        <v>74.99</v>
      </c>
      <c r="AG104" s="3" t="str">
        <f>"2000009069489944"</f>
        <v>2000009069489944</v>
      </c>
      <c r="AH104" s="1" t="s">
        <v>58</v>
      </c>
      <c r="AI104" s="1" t="s">
        <v>59</v>
      </c>
      <c r="AJ104" s="1" t="s">
        <v>59</v>
      </c>
      <c r="AK104" s="1" t="s">
        <v>60</v>
      </c>
      <c r="AL104" s="1" t="s">
        <v>60</v>
      </c>
      <c r="AW104" s="1" t="s">
        <v>321</v>
      </c>
      <c r="AY104" s="1">
        <v>1.0</v>
      </c>
      <c r="AZ104" s="1">
        <v>74.99</v>
      </c>
      <c r="BB104" s="1">
        <v>74.99</v>
      </c>
    </row>
    <row r="105">
      <c r="A105" s="1" t="s">
        <v>293</v>
      </c>
      <c r="C105" s="1" t="s">
        <v>56</v>
      </c>
      <c r="D105" s="1" t="s">
        <v>322</v>
      </c>
      <c r="Y105" s="2">
        <v>45522.0</v>
      </c>
      <c r="AE105" s="1">
        <v>54.99</v>
      </c>
      <c r="AG105" s="3" t="str">
        <f>"2000006193469357"</f>
        <v>2000006193469357</v>
      </c>
      <c r="AH105" s="1" t="s">
        <v>58</v>
      </c>
      <c r="AI105" s="1" t="s">
        <v>59</v>
      </c>
      <c r="AJ105" s="1" t="s">
        <v>59</v>
      </c>
      <c r="AK105" s="1" t="s">
        <v>60</v>
      </c>
      <c r="AL105" s="1" t="s">
        <v>60</v>
      </c>
      <c r="AW105" s="1" t="s">
        <v>295</v>
      </c>
      <c r="AY105" s="1">
        <v>1.0</v>
      </c>
      <c r="AZ105" s="1">
        <v>54.99</v>
      </c>
      <c r="BB105" s="1">
        <v>54.99</v>
      </c>
    </row>
    <row r="106">
      <c r="A106" s="1" t="s">
        <v>323</v>
      </c>
      <c r="C106" s="1" t="s">
        <v>56</v>
      </c>
      <c r="D106" s="1" t="s">
        <v>324</v>
      </c>
      <c r="Y106" s="2">
        <v>45522.0</v>
      </c>
      <c r="AE106" s="1">
        <v>39.99</v>
      </c>
      <c r="AG106" s="3" t="str">
        <f>"2000006193460473"</f>
        <v>2000006193460473</v>
      </c>
      <c r="AH106" s="1" t="s">
        <v>58</v>
      </c>
      <c r="AI106" s="1" t="s">
        <v>59</v>
      </c>
      <c r="AJ106" s="1" t="s">
        <v>59</v>
      </c>
      <c r="AK106" s="1" t="s">
        <v>60</v>
      </c>
      <c r="AL106" s="1" t="s">
        <v>60</v>
      </c>
      <c r="AW106" s="1" t="s">
        <v>325</v>
      </c>
      <c r="AY106" s="1">
        <v>1.0</v>
      </c>
      <c r="AZ106" s="1">
        <v>39.99</v>
      </c>
      <c r="BB106" s="1">
        <v>39.99</v>
      </c>
    </row>
    <row r="107">
      <c r="A107" s="1" t="s">
        <v>326</v>
      </c>
      <c r="C107" s="1" t="s">
        <v>56</v>
      </c>
      <c r="D107" s="1" t="s">
        <v>327</v>
      </c>
      <c r="Y107" s="2">
        <v>45522.0</v>
      </c>
      <c r="AE107" s="1">
        <v>64.99</v>
      </c>
      <c r="AG107" s="3" t="str">
        <f>"2000006192665717"</f>
        <v>2000006192665717</v>
      </c>
      <c r="AH107" s="1" t="s">
        <v>58</v>
      </c>
      <c r="AI107" s="1" t="s">
        <v>59</v>
      </c>
      <c r="AJ107" s="1" t="s">
        <v>59</v>
      </c>
      <c r="AK107" s="1" t="s">
        <v>60</v>
      </c>
      <c r="AL107" s="1" t="s">
        <v>60</v>
      </c>
      <c r="AW107" s="1" t="s">
        <v>328</v>
      </c>
      <c r="AY107" s="1">
        <v>1.0</v>
      </c>
      <c r="AZ107" s="1">
        <v>64.99</v>
      </c>
      <c r="BB107" s="1">
        <v>64.99</v>
      </c>
    </row>
    <row r="108">
      <c r="A108" s="1" t="s">
        <v>329</v>
      </c>
      <c r="C108" s="1" t="s">
        <v>56</v>
      </c>
      <c r="D108" s="1" t="s">
        <v>330</v>
      </c>
      <c r="Y108" s="2">
        <v>45522.0</v>
      </c>
      <c r="AE108" s="1">
        <v>429.99</v>
      </c>
      <c r="AG108" s="3" t="str">
        <f>"2000006193405163"</f>
        <v>2000006193405163</v>
      </c>
      <c r="AH108" s="1" t="s">
        <v>58</v>
      </c>
      <c r="AI108" s="1" t="s">
        <v>59</v>
      </c>
      <c r="AJ108" s="1" t="s">
        <v>59</v>
      </c>
      <c r="AK108" s="1" t="s">
        <v>60</v>
      </c>
      <c r="AL108" s="1" t="s">
        <v>60</v>
      </c>
      <c r="AW108" s="1" t="s">
        <v>331</v>
      </c>
      <c r="AY108" s="1">
        <v>1.0</v>
      </c>
      <c r="AZ108" s="1">
        <v>429.99</v>
      </c>
      <c r="BB108" s="1">
        <v>429.99</v>
      </c>
    </row>
    <row r="109">
      <c r="A109" s="1" t="s">
        <v>230</v>
      </c>
      <c r="C109" s="1" t="s">
        <v>235</v>
      </c>
      <c r="D109" s="1" t="s">
        <v>231</v>
      </c>
      <c r="Y109" s="2">
        <v>45522.0</v>
      </c>
      <c r="AE109" s="1">
        <v>109.98</v>
      </c>
      <c r="AG109" s="3" t="str">
        <f>"2000006193418781"</f>
        <v>2000006193418781</v>
      </c>
      <c r="AH109" s="1" t="s">
        <v>58</v>
      </c>
      <c r="AI109" s="1" t="s">
        <v>59</v>
      </c>
      <c r="AJ109" s="1" t="s">
        <v>59</v>
      </c>
      <c r="AK109" s="1" t="s">
        <v>60</v>
      </c>
      <c r="AL109" s="1" t="s">
        <v>60</v>
      </c>
      <c r="AW109" s="1" t="s">
        <v>85</v>
      </c>
      <c r="AY109" s="1">
        <v>2.0</v>
      </c>
      <c r="AZ109" s="1">
        <v>54.99</v>
      </c>
      <c r="BB109" s="1">
        <v>109.98</v>
      </c>
    </row>
    <row r="110">
      <c r="A110" s="1" t="s">
        <v>332</v>
      </c>
      <c r="C110" s="1" t="s">
        <v>56</v>
      </c>
      <c r="D110" s="1" t="s">
        <v>333</v>
      </c>
      <c r="Y110" s="2">
        <v>45522.0</v>
      </c>
      <c r="AE110" s="1">
        <v>84.99</v>
      </c>
      <c r="AG110" s="3" t="str">
        <f>"2000006193386223"</f>
        <v>2000006193386223</v>
      </c>
      <c r="AH110" s="1" t="s">
        <v>58</v>
      </c>
      <c r="AI110" s="1" t="s">
        <v>59</v>
      </c>
      <c r="AJ110" s="1" t="s">
        <v>59</v>
      </c>
      <c r="AK110" s="1" t="s">
        <v>60</v>
      </c>
      <c r="AL110" s="1" t="s">
        <v>60</v>
      </c>
      <c r="AW110" s="1" t="s">
        <v>334</v>
      </c>
      <c r="AY110" s="1">
        <v>1.0</v>
      </c>
      <c r="AZ110" s="1">
        <v>84.99</v>
      </c>
      <c r="BB110" s="1">
        <v>84.99</v>
      </c>
    </row>
    <row r="111">
      <c r="A111" s="1" t="s">
        <v>335</v>
      </c>
      <c r="C111" s="1" t="s">
        <v>56</v>
      </c>
      <c r="D111" s="1" t="s">
        <v>336</v>
      </c>
      <c r="Y111" s="2">
        <v>45522.0</v>
      </c>
      <c r="AE111" s="1">
        <v>64.99</v>
      </c>
      <c r="AG111" s="3" t="str">
        <f>"2000009069365168"</f>
        <v>2000009069365168</v>
      </c>
      <c r="AH111" s="1" t="s">
        <v>58</v>
      </c>
      <c r="AI111" s="1" t="s">
        <v>59</v>
      </c>
      <c r="AJ111" s="1" t="s">
        <v>59</v>
      </c>
      <c r="AK111" s="1" t="s">
        <v>60</v>
      </c>
      <c r="AL111" s="1" t="s">
        <v>60</v>
      </c>
      <c r="AW111" s="1" t="s">
        <v>209</v>
      </c>
      <c r="AY111" s="1">
        <v>1.0</v>
      </c>
      <c r="AZ111" s="1">
        <v>64.99</v>
      </c>
      <c r="BB111" s="1">
        <v>64.99</v>
      </c>
    </row>
    <row r="112">
      <c r="A112" s="1" t="s">
        <v>337</v>
      </c>
      <c r="C112" s="1" t="s">
        <v>56</v>
      </c>
      <c r="D112" s="1" t="s">
        <v>338</v>
      </c>
      <c r="Y112" s="2">
        <v>45522.0</v>
      </c>
      <c r="AE112" s="1">
        <v>54.99</v>
      </c>
      <c r="AG112" s="3" t="str">
        <f t="shared" ref="AG112:AG113" si="4">"2000006193385043"</f>
        <v>2000006193385043</v>
      </c>
      <c r="AH112" s="1" t="s">
        <v>58</v>
      </c>
      <c r="AI112" s="1" t="s">
        <v>59</v>
      </c>
      <c r="AJ112" s="1" t="s">
        <v>59</v>
      </c>
      <c r="AK112" s="1" t="s">
        <v>60</v>
      </c>
      <c r="AL112" s="1" t="s">
        <v>60</v>
      </c>
      <c r="AW112" s="1" t="s">
        <v>339</v>
      </c>
      <c r="AY112" s="1">
        <v>1.0</v>
      </c>
      <c r="AZ112" s="1">
        <v>54.99</v>
      </c>
      <c r="BB112" s="1">
        <v>54.99</v>
      </c>
    </row>
    <row r="113">
      <c r="A113" s="1" t="s">
        <v>340</v>
      </c>
      <c r="C113" s="1" t="s">
        <v>56</v>
      </c>
      <c r="D113" s="1" t="s">
        <v>338</v>
      </c>
      <c r="Y113" s="2">
        <v>45522.0</v>
      </c>
      <c r="AE113" s="1">
        <v>35.0</v>
      </c>
      <c r="AG113" s="3" t="str">
        <f t="shared" si="4"/>
        <v>2000006193385043</v>
      </c>
      <c r="AH113" s="1" t="s">
        <v>58</v>
      </c>
      <c r="AI113" s="1" t="s">
        <v>59</v>
      </c>
      <c r="AJ113" s="1" t="s">
        <v>59</v>
      </c>
      <c r="AK113" s="1" t="s">
        <v>60</v>
      </c>
      <c r="AL113" s="1" t="s">
        <v>60</v>
      </c>
      <c r="AW113" s="1" t="s">
        <v>341</v>
      </c>
      <c r="AY113" s="1">
        <v>1.0</v>
      </c>
      <c r="AZ113" s="1">
        <v>35.0</v>
      </c>
      <c r="BB113" s="1">
        <v>35.0</v>
      </c>
    </row>
    <row r="114">
      <c r="A114" s="1" t="s">
        <v>342</v>
      </c>
      <c r="C114" s="1" t="s">
        <v>56</v>
      </c>
      <c r="D114" s="1" t="s">
        <v>343</v>
      </c>
      <c r="Y114" s="2">
        <v>45522.0</v>
      </c>
      <c r="AE114" s="1">
        <v>50.99</v>
      </c>
      <c r="AG114" s="3" t="str">
        <f>"2000006193370491"</f>
        <v>2000006193370491</v>
      </c>
      <c r="AH114" s="1" t="s">
        <v>58</v>
      </c>
      <c r="AI114" s="1" t="s">
        <v>59</v>
      </c>
      <c r="AJ114" s="1" t="s">
        <v>59</v>
      </c>
      <c r="AK114" s="1" t="s">
        <v>60</v>
      </c>
      <c r="AL114" s="1" t="s">
        <v>60</v>
      </c>
      <c r="AW114" s="1" t="s">
        <v>344</v>
      </c>
      <c r="AY114" s="1">
        <v>1.0</v>
      </c>
      <c r="AZ114" s="1">
        <v>50.99</v>
      </c>
      <c r="BB114" s="1">
        <v>50.99</v>
      </c>
    </row>
    <row r="115">
      <c r="A115" s="1" t="s">
        <v>345</v>
      </c>
      <c r="C115" s="1" t="s">
        <v>56</v>
      </c>
      <c r="D115" s="1" t="s">
        <v>346</v>
      </c>
      <c r="Y115" s="2">
        <v>45522.0</v>
      </c>
      <c r="AE115" s="1">
        <v>164.99</v>
      </c>
      <c r="AG115" s="3" t="str">
        <f>"2000006193344333"</f>
        <v>2000006193344333</v>
      </c>
      <c r="AH115" s="1" t="s">
        <v>58</v>
      </c>
      <c r="AI115" s="1" t="s">
        <v>59</v>
      </c>
      <c r="AJ115" s="1" t="s">
        <v>59</v>
      </c>
      <c r="AK115" s="1" t="s">
        <v>60</v>
      </c>
      <c r="AL115" s="1" t="s">
        <v>60</v>
      </c>
      <c r="AW115" s="1" t="s">
        <v>347</v>
      </c>
      <c r="AY115" s="1">
        <v>1.0</v>
      </c>
      <c r="AZ115" s="1">
        <v>164.99</v>
      </c>
      <c r="BB115" s="1">
        <v>164.99</v>
      </c>
    </row>
    <row r="116">
      <c r="A116" s="1" t="s">
        <v>348</v>
      </c>
      <c r="C116" s="1" t="s">
        <v>56</v>
      </c>
      <c r="D116" s="1" t="s">
        <v>349</v>
      </c>
      <c r="Y116" s="2">
        <v>45522.0</v>
      </c>
      <c r="AE116" s="1">
        <v>99.99</v>
      </c>
      <c r="AG116" s="3" t="str">
        <f>"2000006193327565"</f>
        <v>2000006193327565</v>
      </c>
      <c r="AH116" s="1" t="s">
        <v>58</v>
      </c>
      <c r="AI116" s="1" t="s">
        <v>59</v>
      </c>
      <c r="AJ116" s="1" t="s">
        <v>59</v>
      </c>
      <c r="AK116" s="1" t="s">
        <v>60</v>
      </c>
      <c r="AL116" s="1" t="s">
        <v>60</v>
      </c>
      <c r="AW116" s="1" t="s">
        <v>350</v>
      </c>
      <c r="AY116" s="1">
        <v>1.0</v>
      </c>
      <c r="AZ116" s="1">
        <v>99.99</v>
      </c>
      <c r="BB116" s="1">
        <v>99.99</v>
      </c>
    </row>
    <row r="117">
      <c r="A117" s="1" t="s">
        <v>351</v>
      </c>
      <c r="C117" s="1" t="s">
        <v>56</v>
      </c>
      <c r="D117" s="1" t="s">
        <v>352</v>
      </c>
      <c r="Y117" s="2">
        <v>45522.0</v>
      </c>
      <c r="AE117" s="1">
        <v>119.99</v>
      </c>
      <c r="AG117" s="3" t="str">
        <f>"2000006193286875"</f>
        <v>2000006193286875</v>
      </c>
      <c r="AH117" s="1" t="s">
        <v>58</v>
      </c>
      <c r="AI117" s="1" t="s">
        <v>59</v>
      </c>
      <c r="AJ117" s="1" t="s">
        <v>59</v>
      </c>
      <c r="AK117" s="1" t="s">
        <v>60</v>
      </c>
      <c r="AL117" s="1" t="s">
        <v>60</v>
      </c>
      <c r="AW117" s="1" t="s">
        <v>353</v>
      </c>
      <c r="AY117" s="1">
        <v>1.0</v>
      </c>
      <c r="AZ117" s="1">
        <v>119.99</v>
      </c>
      <c r="BB117" s="1">
        <v>119.99</v>
      </c>
    </row>
    <row r="118">
      <c r="A118" s="1" t="s">
        <v>354</v>
      </c>
      <c r="C118" s="1" t="s">
        <v>56</v>
      </c>
      <c r="D118" s="1" t="s">
        <v>355</v>
      </c>
      <c r="Y118" s="2">
        <v>45522.0</v>
      </c>
      <c r="AE118" s="1">
        <v>649.99</v>
      </c>
      <c r="AG118" s="3" t="str">
        <f>"2000009069143500"</f>
        <v>2000009069143500</v>
      </c>
      <c r="AH118" s="1" t="s">
        <v>58</v>
      </c>
      <c r="AI118" s="1" t="s">
        <v>59</v>
      </c>
      <c r="AJ118" s="1" t="s">
        <v>59</v>
      </c>
      <c r="AK118" s="1" t="s">
        <v>60</v>
      </c>
      <c r="AL118" s="1" t="s">
        <v>60</v>
      </c>
      <c r="AW118" s="1" t="s">
        <v>356</v>
      </c>
      <c r="AY118" s="1">
        <v>1.0</v>
      </c>
      <c r="AZ118" s="1">
        <v>649.99</v>
      </c>
      <c r="BB118" s="1">
        <v>649.99</v>
      </c>
    </row>
    <row r="119">
      <c r="A119" s="1" t="s">
        <v>357</v>
      </c>
      <c r="C119" s="1" t="s">
        <v>56</v>
      </c>
      <c r="D119" s="1" t="s">
        <v>358</v>
      </c>
      <c r="Y119" s="2">
        <v>45522.0</v>
      </c>
      <c r="AE119" s="1">
        <v>89.99</v>
      </c>
      <c r="AG119" s="3" t="str">
        <f>"2000006193232943"</f>
        <v>2000006193232943</v>
      </c>
      <c r="AH119" s="1" t="s">
        <v>58</v>
      </c>
      <c r="AI119" s="1" t="s">
        <v>59</v>
      </c>
      <c r="AJ119" s="1" t="s">
        <v>59</v>
      </c>
      <c r="AK119" s="1" t="s">
        <v>60</v>
      </c>
      <c r="AL119" s="1" t="s">
        <v>60</v>
      </c>
      <c r="AW119" s="1" t="s">
        <v>359</v>
      </c>
      <c r="AY119" s="1">
        <v>1.0</v>
      </c>
      <c r="AZ119" s="1">
        <v>89.99</v>
      </c>
      <c r="BB119" s="1">
        <v>89.99</v>
      </c>
    </row>
    <row r="120">
      <c r="A120" s="1" t="s">
        <v>360</v>
      </c>
      <c r="C120" s="1" t="s">
        <v>56</v>
      </c>
      <c r="D120" s="1" t="s">
        <v>361</v>
      </c>
      <c r="Y120" s="2">
        <v>45522.0</v>
      </c>
      <c r="AE120" s="1">
        <v>47.18</v>
      </c>
      <c r="AG120" s="3" t="str">
        <f>"2000006193254961"</f>
        <v>2000006193254961</v>
      </c>
      <c r="AH120" s="1" t="s">
        <v>58</v>
      </c>
      <c r="AI120" s="1" t="s">
        <v>59</v>
      </c>
      <c r="AJ120" s="1" t="s">
        <v>59</v>
      </c>
      <c r="AK120" s="1" t="s">
        <v>60</v>
      </c>
      <c r="AL120" s="1" t="s">
        <v>60</v>
      </c>
      <c r="AW120" s="1" t="s">
        <v>155</v>
      </c>
      <c r="AY120" s="1">
        <v>1.0</v>
      </c>
      <c r="AZ120" s="1">
        <v>47.18</v>
      </c>
      <c r="BB120" s="1">
        <v>47.18</v>
      </c>
    </row>
    <row r="121">
      <c r="A121" s="1" t="s">
        <v>362</v>
      </c>
      <c r="C121" s="1" t="s">
        <v>56</v>
      </c>
      <c r="D121" s="1" t="s">
        <v>363</v>
      </c>
      <c r="Y121" s="2">
        <v>45522.0</v>
      </c>
      <c r="AE121" s="1">
        <v>59.99</v>
      </c>
      <c r="AG121" s="3" t="str">
        <f>"2000006193233443"</f>
        <v>2000006193233443</v>
      </c>
      <c r="AH121" s="1" t="s">
        <v>58</v>
      </c>
      <c r="AI121" s="1" t="s">
        <v>59</v>
      </c>
      <c r="AJ121" s="1" t="s">
        <v>59</v>
      </c>
      <c r="AK121" s="1" t="s">
        <v>60</v>
      </c>
      <c r="AL121" s="1" t="s">
        <v>60</v>
      </c>
      <c r="AW121" s="1" t="s">
        <v>364</v>
      </c>
      <c r="AY121" s="1">
        <v>1.0</v>
      </c>
      <c r="AZ121" s="1">
        <v>59.99</v>
      </c>
      <c r="BB121" s="1">
        <v>59.99</v>
      </c>
    </row>
    <row r="122">
      <c r="A122" s="1" t="s">
        <v>365</v>
      </c>
      <c r="C122" s="1" t="s">
        <v>56</v>
      </c>
      <c r="D122" s="1" t="s">
        <v>366</v>
      </c>
      <c r="Y122" s="2">
        <v>45522.0</v>
      </c>
      <c r="AE122" s="1">
        <v>39.99</v>
      </c>
      <c r="AG122" s="3" t="str">
        <f>"2000006193171965"</f>
        <v>2000006193171965</v>
      </c>
      <c r="AH122" s="1" t="s">
        <v>58</v>
      </c>
      <c r="AI122" s="1" t="s">
        <v>59</v>
      </c>
      <c r="AJ122" s="1" t="s">
        <v>59</v>
      </c>
      <c r="AK122" s="1" t="s">
        <v>60</v>
      </c>
      <c r="AL122" s="1" t="s">
        <v>60</v>
      </c>
      <c r="AW122" s="1" t="s">
        <v>367</v>
      </c>
      <c r="AY122" s="1">
        <v>1.0</v>
      </c>
      <c r="AZ122" s="1">
        <v>39.99</v>
      </c>
      <c r="BB122" s="1">
        <v>39.99</v>
      </c>
    </row>
    <row r="123">
      <c r="A123" s="1" t="s">
        <v>368</v>
      </c>
      <c r="C123" s="1" t="s">
        <v>56</v>
      </c>
      <c r="D123" s="1" t="s">
        <v>369</v>
      </c>
      <c r="Y123" s="2">
        <v>45522.0</v>
      </c>
      <c r="AE123" s="1">
        <v>94.99</v>
      </c>
      <c r="AG123" s="3" t="str">
        <f>"2000006193119883"</f>
        <v>2000006193119883</v>
      </c>
      <c r="AH123" s="1" t="s">
        <v>58</v>
      </c>
      <c r="AI123" s="1" t="s">
        <v>59</v>
      </c>
      <c r="AJ123" s="1" t="s">
        <v>59</v>
      </c>
      <c r="AK123" s="1" t="s">
        <v>60</v>
      </c>
      <c r="AL123" s="1" t="s">
        <v>60</v>
      </c>
      <c r="AW123" s="1" t="s">
        <v>370</v>
      </c>
      <c r="AY123" s="1">
        <v>1.0</v>
      </c>
      <c r="AZ123" s="1">
        <v>94.99</v>
      </c>
      <c r="BB123" s="1">
        <v>94.99</v>
      </c>
    </row>
    <row r="124">
      <c r="A124" s="1" t="s">
        <v>371</v>
      </c>
      <c r="C124" s="1" t="s">
        <v>56</v>
      </c>
      <c r="D124" s="1" t="s">
        <v>372</v>
      </c>
      <c r="Y124" s="2">
        <v>45522.0</v>
      </c>
      <c r="AE124" s="1">
        <v>42.49</v>
      </c>
      <c r="AG124" s="3" t="str">
        <f>"2000006193088337"</f>
        <v>2000006193088337</v>
      </c>
      <c r="AH124" s="1" t="s">
        <v>58</v>
      </c>
      <c r="AI124" s="1" t="s">
        <v>59</v>
      </c>
      <c r="AJ124" s="1" t="s">
        <v>59</v>
      </c>
      <c r="AK124" s="1" t="s">
        <v>60</v>
      </c>
      <c r="AL124" s="1" t="s">
        <v>60</v>
      </c>
      <c r="AW124" s="1" t="s">
        <v>373</v>
      </c>
      <c r="AY124" s="1">
        <v>1.0</v>
      </c>
      <c r="AZ124" s="1">
        <v>42.49</v>
      </c>
      <c r="BB124" s="1">
        <v>42.49</v>
      </c>
    </row>
    <row r="125">
      <c r="A125" s="1" t="s">
        <v>374</v>
      </c>
      <c r="C125" s="1" t="s">
        <v>56</v>
      </c>
      <c r="D125" s="1" t="s">
        <v>375</v>
      </c>
      <c r="Y125" s="2">
        <v>45522.0</v>
      </c>
      <c r="AE125" s="1">
        <v>99.99</v>
      </c>
      <c r="AG125" s="3" t="str">
        <f>"2000006193048049"</f>
        <v>2000006193048049</v>
      </c>
      <c r="AH125" s="1" t="s">
        <v>58</v>
      </c>
      <c r="AI125" s="1" t="s">
        <v>59</v>
      </c>
      <c r="AJ125" s="1" t="s">
        <v>59</v>
      </c>
      <c r="AK125" s="1" t="s">
        <v>60</v>
      </c>
      <c r="AL125" s="1" t="s">
        <v>60</v>
      </c>
      <c r="AW125" s="1" t="s">
        <v>376</v>
      </c>
      <c r="AY125" s="1">
        <v>1.0</v>
      </c>
      <c r="AZ125" s="1">
        <v>99.99</v>
      </c>
      <c r="BB125" s="1">
        <v>99.99</v>
      </c>
    </row>
    <row r="126">
      <c r="A126" s="1" t="s">
        <v>377</v>
      </c>
      <c r="C126" s="1" t="s">
        <v>56</v>
      </c>
      <c r="D126" s="1" t="s">
        <v>378</v>
      </c>
      <c r="Y126" s="2">
        <v>45522.0</v>
      </c>
      <c r="AE126" s="1">
        <v>64.99</v>
      </c>
      <c r="AG126" s="3" t="str">
        <f>"2000006193033383"</f>
        <v>2000006193033383</v>
      </c>
      <c r="AH126" s="1" t="s">
        <v>58</v>
      </c>
      <c r="AI126" s="1" t="s">
        <v>59</v>
      </c>
      <c r="AJ126" s="1" t="s">
        <v>59</v>
      </c>
      <c r="AK126" s="1" t="s">
        <v>60</v>
      </c>
      <c r="AL126" s="1" t="s">
        <v>60</v>
      </c>
      <c r="AW126" s="1" t="s">
        <v>79</v>
      </c>
      <c r="AY126" s="1">
        <v>1.0</v>
      </c>
      <c r="AZ126" s="1">
        <v>64.99</v>
      </c>
      <c r="BB126" s="1">
        <v>64.99</v>
      </c>
    </row>
    <row r="127">
      <c r="A127" s="1" t="s">
        <v>379</v>
      </c>
      <c r="C127" s="1" t="s">
        <v>56</v>
      </c>
      <c r="D127" s="1" t="s">
        <v>380</v>
      </c>
      <c r="Y127" s="2">
        <v>45522.0</v>
      </c>
      <c r="AE127" s="1">
        <v>249.99</v>
      </c>
      <c r="AG127" s="3" t="str">
        <f>"2000006192897659"</f>
        <v>2000006192897659</v>
      </c>
      <c r="AH127" s="1" t="s">
        <v>58</v>
      </c>
      <c r="AI127" s="1" t="s">
        <v>59</v>
      </c>
      <c r="AJ127" s="1" t="s">
        <v>59</v>
      </c>
      <c r="AK127" s="1" t="s">
        <v>60</v>
      </c>
      <c r="AL127" s="1" t="s">
        <v>60</v>
      </c>
      <c r="AW127" s="1" t="s">
        <v>381</v>
      </c>
      <c r="AY127" s="1">
        <v>1.0</v>
      </c>
      <c r="AZ127" s="1">
        <v>249.99</v>
      </c>
      <c r="BB127" s="1">
        <v>249.99</v>
      </c>
    </row>
    <row r="128">
      <c r="A128" s="1" t="s">
        <v>195</v>
      </c>
      <c r="C128" s="1" t="s">
        <v>56</v>
      </c>
      <c r="D128" s="1" t="s">
        <v>382</v>
      </c>
      <c r="Y128" s="2">
        <v>45522.0</v>
      </c>
      <c r="AE128" s="1">
        <v>47.99</v>
      </c>
      <c r="AG128" s="3" t="str">
        <f>"2000006192960133"</f>
        <v>2000006192960133</v>
      </c>
      <c r="AH128" s="1" t="s">
        <v>58</v>
      </c>
      <c r="AI128" s="1" t="s">
        <v>59</v>
      </c>
      <c r="AJ128" s="1" t="s">
        <v>59</v>
      </c>
      <c r="AK128" s="1" t="s">
        <v>60</v>
      </c>
      <c r="AL128" s="1" t="s">
        <v>60</v>
      </c>
      <c r="AW128" s="1" t="s">
        <v>197</v>
      </c>
      <c r="AY128" s="1">
        <v>1.0</v>
      </c>
      <c r="AZ128" s="1">
        <v>47.99</v>
      </c>
      <c r="BB128" s="1">
        <v>47.99</v>
      </c>
    </row>
    <row r="129">
      <c r="A129" s="1" t="s">
        <v>383</v>
      </c>
      <c r="C129" s="1" t="s">
        <v>56</v>
      </c>
      <c r="D129" s="1" t="s">
        <v>384</v>
      </c>
      <c r="Y129" s="2">
        <v>45522.0</v>
      </c>
      <c r="AE129" s="1">
        <v>159.99</v>
      </c>
      <c r="AG129" s="3" t="str">
        <f>"2000006192934691"</f>
        <v>2000006192934691</v>
      </c>
      <c r="AH129" s="1" t="s">
        <v>58</v>
      </c>
      <c r="AI129" s="1" t="s">
        <v>59</v>
      </c>
      <c r="AJ129" s="1" t="s">
        <v>59</v>
      </c>
      <c r="AK129" s="1" t="s">
        <v>60</v>
      </c>
      <c r="AL129" s="1" t="s">
        <v>60</v>
      </c>
      <c r="AW129" s="1" t="s">
        <v>385</v>
      </c>
      <c r="AY129" s="1">
        <v>1.0</v>
      </c>
      <c r="AZ129" s="1">
        <v>159.99</v>
      </c>
      <c r="BB129" s="1">
        <v>159.99</v>
      </c>
    </row>
    <row r="130">
      <c r="A130" s="1" t="s">
        <v>386</v>
      </c>
      <c r="C130" s="1" t="s">
        <v>56</v>
      </c>
      <c r="D130" s="1" t="s">
        <v>387</v>
      </c>
      <c r="Y130" s="2">
        <v>45522.0</v>
      </c>
      <c r="AE130" s="1">
        <v>94.99</v>
      </c>
      <c r="AG130" s="3" t="str">
        <f>"2000009068505738"</f>
        <v>2000009068505738</v>
      </c>
      <c r="AH130" s="1" t="s">
        <v>58</v>
      </c>
      <c r="AI130" s="1" t="s">
        <v>59</v>
      </c>
      <c r="AJ130" s="1" t="s">
        <v>59</v>
      </c>
      <c r="AK130" s="1" t="s">
        <v>60</v>
      </c>
      <c r="AL130" s="1" t="s">
        <v>60</v>
      </c>
      <c r="AW130" s="1" t="s">
        <v>388</v>
      </c>
      <c r="AY130" s="1">
        <v>1.0</v>
      </c>
      <c r="AZ130" s="1">
        <v>94.99</v>
      </c>
      <c r="BB130" s="1">
        <v>94.99</v>
      </c>
    </row>
    <row r="131">
      <c r="A131" s="1" t="s">
        <v>153</v>
      </c>
      <c r="C131" s="1" t="s">
        <v>56</v>
      </c>
      <c r="D131" s="1" t="s">
        <v>389</v>
      </c>
      <c r="Y131" s="2">
        <v>45522.0</v>
      </c>
      <c r="AE131" s="1">
        <v>47.18</v>
      </c>
      <c r="AG131" s="3" t="str">
        <f>"2000006192933675"</f>
        <v>2000006192933675</v>
      </c>
      <c r="AH131" s="1" t="s">
        <v>58</v>
      </c>
      <c r="AI131" s="1" t="s">
        <v>59</v>
      </c>
      <c r="AJ131" s="1" t="s">
        <v>59</v>
      </c>
      <c r="AK131" s="1" t="s">
        <v>60</v>
      </c>
      <c r="AL131" s="1" t="s">
        <v>60</v>
      </c>
      <c r="AW131" s="1" t="s">
        <v>155</v>
      </c>
      <c r="AY131" s="1">
        <v>1.0</v>
      </c>
      <c r="AZ131" s="1">
        <v>47.18</v>
      </c>
      <c r="BB131" s="1">
        <v>47.18</v>
      </c>
    </row>
    <row r="132">
      <c r="A132" s="1" t="s">
        <v>390</v>
      </c>
      <c r="C132" s="1" t="s">
        <v>56</v>
      </c>
      <c r="D132" s="1" t="s">
        <v>391</v>
      </c>
      <c r="Y132" s="2">
        <v>45522.0</v>
      </c>
      <c r="AE132" s="1">
        <v>79.99</v>
      </c>
      <c r="AG132" s="3" t="str">
        <f>"2000006192921007"</f>
        <v>2000006192921007</v>
      </c>
      <c r="AH132" s="1" t="s">
        <v>58</v>
      </c>
      <c r="AI132" s="1" t="s">
        <v>59</v>
      </c>
      <c r="AJ132" s="1" t="s">
        <v>59</v>
      </c>
      <c r="AK132" s="1" t="s">
        <v>60</v>
      </c>
      <c r="AL132" s="1" t="s">
        <v>60</v>
      </c>
      <c r="AW132" s="1" t="s">
        <v>392</v>
      </c>
      <c r="AY132" s="1">
        <v>1.0</v>
      </c>
      <c r="AZ132" s="1">
        <v>79.99</v>
      </c>
      <c r="BB132" s="1">
        <v>79.99</v>
      </c>
    </row>
    <row r="133">
      <c r="A133" s="1" t="s">
        <v>393</v>
      </c>
      <c r="C133" s="1" t="s">
        <v>56</v>
      </c>
      <c r="D133" s="1" t="s">
        <v>394</v>
      </c>
      <c r="Y133" s="2">
        <v>45522.0</v>
      </c>
      <c r="AE133" s="1">
        <v>54.99</v>
      </c>
      <c r="AG133" s="3" t="str">
        <f>"2000006192869211"</f>
        <v>2000006192869211</v>
      </c>
      <c r="AH133" s="1" t="s">
        <v>58</v>
      </c>
      <c r="AI133" s="1" t="s">
        <v>59</v>
      </c>
      <c r="AJ133" s="1" t="s">
        <v>59</v>
      </c>
      <c r="AK133" s="1" t="s">
        <v>60</v>
      </c>
      <c r="AL133" s="1" t="s">
        <v>60</v>
      </c>
      <c r="AW133" s="1" t="s">
        <v>395</v>
      </c>
      <c r="AY133" s="1">
        <v>1.0</v>
      </c>
      <c r="AZ133" s="1">
        <v>54.99</v>
      </c>
      <c r="BB133" s="1">
        <v>54.99</v>
      </c>
    </row>
    <row r="134">
      <c r="A134" s="1" t="s">
        <v>396</v>
      </c>
      <c r="C134" s="1" t="s">
        <v>56</v>
      </c>
      <c r="D134" s="1" t="s">
        <v>397</v>
      </c>
      <c r="Y134" s="2">
        <v>45522.0</v>
      </c>
      <c r="AE134" s="1">
        <v>259.99</v>
      </c>
      <c r="AG134" s="3" t="str">
        <f>"2000006192828251"</f>
        <v>2000006192828251</v>
      </c>
      <c r="AH134" s="1" t="s">
        <v>58</v>
      </c>
      <c r="AI134" s="1" t="s">
        <v>59</v>
      </c>
      <c r="AJ134" s="1" t="s">
        <v>59</v>
      </c>
      <c r="AK134" s="1" t="s">
        <v>60</v>
      </c>
      <c r="AL134" s="1" t="s">
        <v>60</v>
      </c>
      <c r="AW134" s="1" t="s">
        <v>398</v>
      </c>
      <c r="AY134" s="1">
        <v>1.0</v>
      </c>
      <c r="AZ134" s="1">
        <v>259.99</v>
      </c>
      <c r="BB134" s="1">
        <v>259.99</v>
      </c>
    </row>
    <row r="135">
      <c r="A135" s="1" t="s">
        <v>68</v>
      </c>
      <c r="C135" s="1" t="s">
        <v>56</v>
      </c>
      <c r="D135" s="1" t="s">
        <v>399</v>
      </c>
      <c r="Y135" s="2">
        <v>45522.0</v>
      </c>
      <c r="AE135" s="1">
        <v>49.99</v>
      </c>
      <c r="AG135" s="3" t="str">
        <f>"2000006191740739"</f>
        <v>2000006191740739</v>
      </c>
      <c r="AH135" s="1" t="s">
        <v>58</v>
      </c>
      <c r="AI135" s="1" t="s">
        <v>59</v>
      </c>
      <c r="AJ135" s="1" t="s">
        <v>59</v>
      </c>
      <c r="AK135" s="1" t="s">
        <v>60</v>
      </c>
      <c r="AL135" s="1" t="s">
        <v>60</v>
      </c>
      <c r="AW135" s="1" t="s">
        <v>70</v>
      </c>
      <c r="AY135" s="1">
        <v>1.0</v>
      </c>
      <c r="AZ135" s="1">
        <v>49.99</v>
      </c>
      <c r="BB135" s="1">
        <v>49.99</v>
      </c>
    </row>
    <row r="136">
      <c r="A136" s="1" t="s">
        <v>400</v>
      </c>
      <c r="C136" s="1" t="s">
        <v>56</v>
      </c>
      <c r="D136" s="1" t="s">
        <v>401</v>
      </c>
      <c r="Y136" s="2">
        <v>45522.0</v>
      </c>
      <c r="AE136" s="1">
        <v>109.99</v>
      </c>
      <c r="AG136" s="3" t="str">
        <f>"2000009068111020"</f>
        <v>2000009068111020</v>
      </c>
      <c r="AH136" s="1" t="s">
        <v>58</v>
      </c>
      <c r="AI136" s="1" t="s">
        <v>59</v>
      </c>
      <c r="AJ136" s="1" t="s">
        <v>59</v>
      </c>
      <c r="AK136" s="1" t="s">
        <v>60</v>
      </c>
      <c r="AL136" s="1" t="s">
        <v>60</v>
      </c>
      <c r="AW136" s="1" t="s">
        <v>402</v>
      </c>
      <c r="AY136" s="1">
        <v>1.0</v>
      </c>
      <c r="AZ136" s="1">
        <v>109.99</v>
      </c>
      <c r="BB136" s="1">
        <v>109.99</v>
      </c>
    </row>
    <row r="137">
      <c r="A137" s="1" t="s">
        <v>403</v>
      </c>
      <c r="C137" s="1" t="s">
        <v>56</v>
      </c>
      <c r="D137" s="1" t="s">
        <v>404</v>
      </c>
      <c r="Y137" s="2">
        <v>45522.0</v>
      </c>
      <c r="AE137" s="1">
        <v>76.99</v>
      </c>
      <c r="AG137" s="3" t="str">
        <f>"2000009068348740"</f>
        <v>2000009068348740</v>
      </c>
      <c r="AH137" s="1" t="s">
        <v>58</v>
      </c>
      <c r="AI137" s="1" t="s">
        <v>59</v>
      </c>
      <c r="AJ137" s="1" t="s">
        <v>59</v>
      </c>
      <c r="AK137" s="1" t="s">
        <v>60</v>
      </c>
      <c r="AL137" s="1" t="s">
        <v>60</v>
      </c>
      <c r="AW137" s="1" t="s">
        <v>405</v>
      </c>
      <c r="AY137" s="1">
        <v>1.0</v>
      </c>
      <c r="AZ137" s="1">
        <v>76.99</v>
      </c>
      <c r="BB137" s="1">
        <v>76.99</v>
      </c>
    </row>
    <row r="138">
      <c r="A138" s="1" t="s">
        <v>125</v>
      </c>
      <c r="C138" s="1" t="s">
        <v>56</v>
      </c>
      <c r="D138" s="1" t="s">
        <v>406</v>
      </c>
      <c r="Y138" s="2">
        <v>45522.0</v>
      </c>
      <c r="AE138" s="1">
        <v>49.99</v>
      </c>
      <c r="AG138" s="3" t="str">
        <f>"2000006192801569"</f>
        <v>2000006192801569</v>
      </c>
      <c r="AH138" s="1" t="s">
        <v>58</v>
      </c>
      <c r="AI138" s="1" t="s">
        <v>59</v>
      </c>
      <c r="AJ138" s="1" t="s">
        <v>59</v>
      </c>
      <c r="AK138" s="1" t="s">
        <v>60</v>
      </c>
      <c r="AL138" s="1" t="s">
        <v>60</v>
      </c>
      <c r="AW138" s="1" t="s">
        <v>127</v>
      </c>
      <c r="AY138" s="1">
        <v>1.0</v>
      </c>
      <c r="AZ138" s="1">
        <v>49.99</v>
      </c>
      <c r="BB138" s="1">
        <v>49.99</v>
      </c>
    </row>
    <row r="139">
      <c r="A139" s="1" t="s">
        <v>407</v>
      </c>
      <c r="C139" s="1" t="s">
        <v>56</v>
      </c>
      <c r="D139" s="1" t="s">
        <v>408</v>
      </c>
      <c r="Y139" s="2">
        <v>45522.0</v>
      </c>
      <c r="AE139" s="1">
        <v>94.99</v>
      </c>
      <c r="AG139" s="3" t="str">
        <f>"2000006192764849"</f>
        <v>2000006192764849</v>
      </c>
      <c r="AH139" s="1" t="s">
        <v>58</v>
      </c>
      <c r="AI139" s="1" t="s">
        <v>59</v>
      </c>
      <c r="AJ139" s="1" t="s">
        <v>59</v>
      </c>
      <c r="AK139" s="1" t="s">
        <v>60</v>
      </c>
      <c r="AL139" s="1" t="s">
        <v>60</v>
      </c>
      <c r="AW139" s="1" t="s">
        <v>409</v>
      </c>
      <c r="AY139" s="1">
        <v>1.0</v>
      </c>
      <c r="AZ139" s="1">
        <v>94.99</v>
      </c>
      <c r="BB139" s="1">
        <v>94.99</v>
      </c>
    </row>
    <row r="140">
      <c r="A140" s="1" t="s">
        <v>410</v>
      </c>
      <c r="C140" s="1" t="s">
        <v>56</v>
      </c>
      <c r="D140" s="1" t="s">
        <v>411</v>
      </c>
      <c r="Y140" s="2">
        <v>45522.0</v>
      </c>
      <c r="AE140" s="1">
        <v>62.99</v>
      </c>
      <c r="AG140" s="3" t="str">
        <f>"2000006192748911"</f>
        <v>2000006192748911</v>
      </c>
      <c r="AH140" s="1" t="s">
        <v>58</v>
      </c>
      <c r="AI140" s="1" t="s">
        <v>59</v>
      </c>
      <c r="AJ140" s="1" t="s">
        <v>59</v>
      </c>
      <c r="AK140" s="1" t="s">
        <v>60</v>
      </c>
      <c r="AL140" s="1" t="s">
        <v>60</v>
      </c>
      <c r="AW140" s="1" t="s">
        <v>412</v>
      </c>
      <c r="AY140" s="1">
        <v>1.0</v>
      </c>
      <c r="AZ140" s="1">
        <v>62.99</v>
      </c>
      <c r="BB140" s="1">
        <v>62.99</v>
      </c>
    </row>
    <row r="141">
      <c r="A141" s="1" t="s">
        <v>413</v>
      </c>
      <c r="C141" s="1" t="s">
        <v>56</v>
      </c>
      <c r="D141" s="1" t="s">
        <v>414</v>
      </c>
      <c r="Y141" s="2">
        <v>45522.0</v>
      </c>
      <c r="AE141" s="1">
        <v>499.98</v>
      </c>
      <c r="AG141" s="3" t="str">
        <f>"2000006192752197"</f>
        <v>2000006192752197</v>
      </c>
      <c r="AH141" s="1" t="s">
        <v>58</v>
      </c>
      <c r="AI141" s="1" t="s">
        <v>59</v>
      </c>
      <c r="AJ141" s="1" t="s">
        <v>59</v>
      </c>
      <c r="AK141" s="1" t="s">
        <v>60</v>
      </c>
      <c r="AL141" s="1" t="s">
        <v>60</v>
      </c>
      <c r="AW141" s="1" t="s">
        <v>415</v>
      </c>
      <c r="AY141" s="1">
        <v>2.0</v>
      </c>
      <c r="AZ141" s="1">
        <v>249.99</v>
      </c>
      <c r="BB141" s="1">
        <v>499.98</v>
      </c>
    </row>
    <row r="142">
      <c r="A142" s="1" t="s">
        <v>68</v>
      </c>
      <c r="C142" s="1" t="s">
        <v>56</v>
      </c>
      <c r="D142" s="1" t="s">
        <v>416</v>
      </c>
      <c r="Y142" s="2">
        <v>45522.0</v>
      </c>
      <c r="AE142" s="1">
        <v>49.99</v>
      </c>
      <c r="AG142" s="3" t="str">
        <f>"2000006192717679"</f>
        <v>2000006192717679</v>
      </c>
      <c r="AH142" s="1" t="s">
        <v>58</v>
      </c>
      <c r="AI142" s="1" t="s">
        <v>59</v>
      </c>
      <c r="AJ142" s="1" t="s">
        <v>59</v>
      </c>
      <c r="AK142" s="1" t="s">
        <v>60</v>
      </c>
      <c r="AL142" s="1" t="s">
        <v>60</v>
      </c>
      <c r="AW142" s="1" t="s">
        <v>70</v>
      </c>
      <c r="AY142" s="1">
        <v>1.0</v>
      </c>
      <c r="AZ142" s="1">
        <v>49.99</v>
      </c>
      <c r="BB142" s="1">
        <v>49.99</v>
      </c>
    </row>
    <row r="143">
      <c r="A143" s="1" t="s">
        <v>417</v>
      </c>
      <c r="C143" s="1" t="s">
        <v>56</v>
      </c>
      <c r="D143" s="1" t="s">
        <v>418</v>
      </c>
      <c r="Y143" s="2">
        <v>45522.0</v>
      </c>
      <c r="AE143" s="1">
        <v>99.99</v>
      </c>
      <c r="AG143" s="3" t="str">
        <f>"2000006192737243"</f>
        <v>2000006192737243</v>
      </c>
      <c r="AH143" s="1" t="s">
        <v>58</v>
      </c>
      <c r="AI143" s="1" t="s">
        <v>59</v>
      </c>
      <c r="AJ143" s="1" t="s">
        <v>59</v>
      </c>
      <c r="AK143" s="1" t="s">
        <v>60</v>
      </c>
      <c r="AL143" s="1" t="s">
        <v>60</v>
      </c>
      <c r="AW143" s="1" t="s">
        <v>419</v>
      </c>
      <c r="AY143" s="1">
        <v>1.0</v>
      </c>
      <c r="AZ143" s="1">
        <v>99.99</v>
      </c>
      <c r="BB143" s="1">
        <v>99.99</v>
      </c>
    </row>
    <row r="144">
      <c r="A144" s="1" t="s">
        <v>420</v>
      </c>
      <c r="C144" s="1" t="s">
        <v>56</v>
      </c>
      <c r="D144" s="1" t="s">
        <v>421</v>
      </c>
      <c r="Y144" s="2">
        <v>45522.0</v>
      </c>
      <c r="AE144" s="1">
        <v>579.99</v>
      </c>
      <c r="AG144" s="3" t="str">
        <f>"2000009067997708"</f>
        <v>2000009067997708</v>
      </c>
      <c r="AH144" s="1" t="s">
        <v>58</v>
      </c>
      <c r="AI144" s="1" t="s">
        <v>59</v>
      </c>
      <c r="AJ144" s="1" t="s">
        <v>59</v>
      </c>
      <c r="AK144" s="1" t="s">
        <v>60</v>
      </c>
      <c r="AL144" s="1" t="s">
        <v>60</v>
      </c>
      <c r="AW144" s="1" t="s">
        <v>422</v>
      </c>
      <c r="AY144" s="1">
        <v>1.0</v>
      </c>
      <c r="AZ144" s="1">
        <v>579.99</v>
      </c>
      <c r="BB144" s="1">
        <v>579.99</v>
      </c>
    </row>
    <row r="145">
      <c r="A145" s="1" t="s">
        <v>423</v>
      </c>
      <c r="C145" s="1" t="s">
        <v>56</v>
      </c>
      <c r="D145" s="1" t="s">
        <v>424</v>
      </c>
      <c r="Y145" s="2">
        <v>45522.0</v>
      </c>
      <c r="AE145" s="1">
        <v>199.99</v>
      </c>
      <c r="AG145" s="3" t="str">
        <f>"2000006192657227"</f>
        <v>2000006192657227</v>
      </c>
      <c r="AH145" s="1" t="s">
        <v>58</v>
      </c>
      <c r="AI145" s="1" t="s">
        <v>59</v>
      </c>
      <c r="AJ145" s="1" t="s">
        <v>59</v>
      </c>
      <c r="AK145" s="1" t="s">
        <v>60</v>
      </c>
      <c r="AL145" s="1" t="s">
        <v>60</v>
      </c>
      <c r="AW145" s="1" t="s">
        <v>425</v>
      </c>
      <c r="AY145" s="1">
        <v>1.0</v>
      </c>
      <c r="AZ145" s="1">
        <v>199.99</v>
      </c>
      <c r="BB145" s="1">
        <v>199.99</v>
      </c>
    </row>
    <row r="146">
      <c r="A146" s="1" t="s">
        <v>426</v>
      </c>
      <c r="C146" s="1" t="s">
        <v>56</v>
      </c>
      <c r="D146" s="1" t="s">
        <v>427</v>
      </c>
      <c r="Y146" s="2">
        <v>45522.0</v>
      </c>
      <c r="AE146" s="1">
        <v>54.99</v>
      </c>
      <c r="AG146" s="3" t="str">
        <f>"2000006192669655"</f>
        <v>2000006192669655</v>
      </c>
      <c r="AH146" s="1" t="s">
        <v>58</v>
      </c>
      <c r="AI146" s="1" t="s">
        <v>59</v>
      </c>
      <c r="AJ146" s="1" t="s">
        <v>59</v>
      </c>
      <c r="AK146" s="1" t="s">
        <v>60</v>
      </c>
      <c r="AL146" s="1" t="s">
        <v>60</v>
      </c>
      <c r="AW146" s="1" t="s">
        <v>85</v>
      </c>
      <c r="AY146" s="1">
        <v>1.0</v>
      </c>
      <c r="AZ146" s="1">
        <v>54.99</v>
      </c>
      <c r="BB146" s="1">
        <v>54.99</v>
      </c>
    </row>
    <row r="147">
      <c r="A147" s="1" t="s">
        <v>428</v>
      </c>
      <c r="C147" s="1" t="s">
        <v>56</v>
      </c>
      <c r="D147" s="1" t="s">
        <v>429</v>
      </c>
      <c r="Y147" s="2">
        <v>45522.0</v>
      </c>
      <c r="AE147" s="1">
        <v>279.99</v>
      </c>
      <c r="AG147" s="3" t="str">
        <f>"2000006192596397"</f>
        <v>2000006192596397</v>
      </c>
      <c r="AH147" s="1" t="s">
        <v>58</v>
      </c>
      <c r="AI147" s="1" t="s">
        <v>59</v>
      </c>
      <c r="AJ147" s="1" t="s">
        <v>59</v>
      </c>
      <c r="AK147" s="1" t="s">
        <v>60</v>
      </c>
      <c r="AL147" s="1" t="s">
        <v>60</v>
      </c>
      <c r="AW147" s="1" t="s">
        <v>430</v>
      </c>
      <c r="AY147" s="1">
        <v>1.0</v>
      </c>
      <c r="AZ147" s="1">
        <v>279.99</v>
      </c>
      <c r="BB147" s="1">
        <v>279.99</v>
      </c>
    </row>
    <row r="148">
      <c r="A148" s="1" t="s">
        <v>431</v>
      </c>
      <c r="C148" s="1" t="s">
        <v>56</v>
      </c>
      <c r="D148" s="1" t="s">
        <v>432</v>
      </c>
      <c r="Y148" s="2">
        <v>45522.0</v>
      </c>
      <c r="AE148" s="1">
        <v>119.99</v>
      </c>
      <c r="AG148" s="3" t="str">
        <f>"2000006192440213"</f>
        <v>2000006192440213</v>
      </c>
      <c r="AH148" s="1" t="s">
        <v>58</v>
      </c>
      <c r="AI148" s="1" t="s">
        <v>59</v>
      </c>
      <c r="AJ148" s="1" t="s">
        <v>59</v>
      </c>
      <c r="AK148" s="1" t="s">
        <v>60</v>
      </c>
      <c r="AL148" s="1" t="s">
        <v>60</v>
      </c>
      <c r="AW148" s="1" t="s">
        <v>433</v>
      </c>
      <c r="AY148" s="1">
        <v>1.0</v>
      </c>
      <c r="AZ148" s="1">
        <v>119.99</v>
      </c>
      <c r="BB148" s="1">
        <v>119.99</v>
      </c>
    </row>
    <row r="149">
      <c r="A149" s="1" t="s">
        <v>95</v>
      </c>
      <c r="C149" s="1" t="s">
        <v>56</v>
      </c>
      <c r="D149" s="1" t="s">
        <v>434</v>
      </c>
      <c r="Y149" s="2">
        <v>45522.0</v>
      </c>
      <c r="AE149" s="1">
        <v>49.99</v>
      </c>
      <c r="AG149" s="3" t="str">
        <f>"2000006192478951"</f>
        <v>2000006192478951</v>
      </c>
      <c r="AH149" s="1" t="s">
        <v>58</v>
      </c>
      <c r="AI149" s="1" t="s">
        <v>59</v>
      </c>
      <c r="AJ149" s="1" t="s">
        <v>59</v>
      </c>
      <c r="AK149" s="1" t="s">
        <v>60</v>
      </c>
      <c r="AL149" s="1" t="s">
        <v>60</v>
      </c>
      <c r="AW149" s="1" t="s">
        <v>97</v>
      </c>
      <c r="AY149" s="1">
        <v>1.0</v>
      </c>
      <c r="AZ149" s="1">
        <v>49.99</v>
      </c>
      <c r="BB149" s="1">
        <v>49.99</v>
      </c>
    </row>
    <row r="150">
      <c r="A150" s="1" t="s">
        <v>435</v>
      </c>
      <c r="C150" s="1" t="s">
        <v>56</v>
      </c>
      <c r="D150" s="1" t="s">
        <v>436</v>
      </c>
      <c r="Y150" s="2">
        <v>45522.0</v>
      </c>
      <c r="AE150" s="1">
        <v>64.99</v>
      </c>
      <c r="AG150" s="3" t="str">
        <f>"2000009067639526"</f>
        <v>2000009067639526</v>
      </c>
      <c r="AH150" s="1" t="s">
        <v>58</v>
      </c>
      <c r="AI150" s="1" t="s">
        <v>59</v>
      </c>
      <c r="AJ150" s="1" t="s">
        <v>59</v>
      </c>
      <c r="AK150" s="1" t="s">
        <v>60</v>
      </c>
      <c r="AL150" s="1" t="s">
        <v>60</v>
      </c>
      <c r="AW150" s="1" t="s">
        <v>437</v>
      </c>
      <c r="AY150" s="1">
        <v>1.0</v>
      </c>
      <c r="AZ150" s="1">
        <v>64.99</v>
      </c>
      <c r="BB150" s="1">
        <v>64.99</v>
      </c>
    </row>
    <row r="151">
      <c r="A151" s="1" t="s">
        <v>438</v>
      </c>
      <c r="C151" s="1" t="s">
        <v>56</v>
      </c>
      <c r="D151" s="1" t="s">
        <v>439</v>
      </c>
      <c r="Y151" s="2">
        <v>45522.0</v>
      </c>
      <c r="AE151" s="1">
        <v>64.99</v>
      </c>
      <c r="AG151" s="3" t="str">
        <f>"2000006192406379"</f>
        <v>2000006192406379</v>
      </c>
      <c r="AH151" s="1" t="s">
        <v>58</v>
      </c>
      <c r="AI151" s="1" t="s">
        <v>59</v>
      </c>
      <c r="AJ151" s="1" t="s">
        <v>59</v>
      </c>
      <c r="AK151" s="1" t="s">
        <v>60</v>
      </c>
      <c r="AL151" s="1" t="s">
        <v>60</v>
      </c>
      <c r="AW151" s="1" t="s">
        <v>440</v>
      </c>
      <c r="AY151" s="1">
        <v>1.0</v>
      </c>
      <c r="AZ151" s="1">
        <v>64.99</v>
      </c>
      <c r="BB151" s="1">
        <v>64.99</v>
      </c>
    </row>
    <row r="152">
      <c r="A152" s="1" t="s">
        <v>108</v>
      </c>
      <c r="C152" s="1" t="s">
        <v>56</v>
      </c>
      <c r="D152" s="1" t="s">
        <v>441</v>
      </c>
      <c r="Y152" s="2">
        <v>45522.0</v>
      </c>
      <c r="AE152" s="1">
        <v>117.98</v>
      </c>
      <c r="AG152" s="3" t="str">
        <f>"2000006192416045"</f>
        <v>2000006192416045</v>
      </c>
      <c r="AH152" s="1" t="s">
        <v>58</v>
      </c>
      <c r="AI152" s="1" t="s">
        <v>59</v>
      </c>
      <c r="AJ152" s="1" t="s">
        <v>59</v>
      </c>
      <c r="AK152" s="1" t="s">
        <v>60</v>
      </c>
      <c r="AL152" s="1" t="s">
        <v>60</v>
      </c>
      <c r="AW152" s="1" t="s">
        <v>110</v>
      </c>
      <c r="AY152" s="1">
        <v>2.0</v>
      </c>
      <c r="AZ152" s="1">
        <v>58.99</v>
      </c>
      <c r="BB152" s="1">
        <v>117.98</v>
      </c>
    </row>
    <row r="153">
      <c r="A153" s="1" t="s">
        <v>86</v>
      </c>
      <c r="C153" s="1" t="s">
        <v>56</v>
      </c>
      <c r="D153" s="1" t="s">
        <v>442</v>
      </c>
      <c r="Y153" s="2">
        <v>45522.0</v>
      </c>
      <c r="AE153" s="1">
        <v>64.99</v>
      </c>
      <c r="AG153" s="3" t="str">
        <f>"2000006192400307"</f>
        <v>2000006192400307</v>
      </c>
      <c r="AH153" s="1" t="s">
        <v>58</v>
      </c>
      <c r="AI153" s="1" t="s">
        <v>59</v>
      </c>
      <c r="AJ153" s="1" t="s">
        <v>59</v>
      </c>
      <c r="AK153" s="1" t="s">
        <v>60</v>
      </c>
      <c r="AL153" s="1" t="s">
        <v>60</v>
      </c>
      <c r="AW153" s="1" t="s">
        <v>88</v>
      </c>
      <c r="AY153" s="1">
        <v>1.0</v>
      </c>
      <c r="AZ153" s="1">
        <v>64.99</v>
      </c>
      <c r="BB153" s="1">
        <v>64.99</v>
      </c>
    </row>
    <row r="154">
      <c r="A154" s="1" t="s">
        <v>443</v>
      </c>
      <c r="C154" s="1" t="s">
        <v>56</v>
      </c>
      <c r="D154" s="1" t="s">
        <v>444</v>
      </c>
      <c r="Y154" s="2">
        <v>45522.0</v>
      </c>
      <c r="AE154" s="1">
        <v>57.99</v>
      </c>
      <c r="AG154" s="3" t="str">
        <f>"2000006192357065"</f>
        <v>2000006192357065</v>
      </c>
      <c r="AH154" s="1" t="s">
        <v>58</v>
      </c>
      <c r="AI154" s="1" t="s">
        <v>59</v>
      </c>
      <c r="AJ154" s="1" t="s">
        <v>59</v>
      </c>
      <c r="AK154" s="1" t="s">
        <v>60</v>
      </c>
      <c r="AL154" s="1" t="s">
        <v>60</v>
      </c>
      <c r="AW154" s="1" t="s">
        <v>445</v>
      </c>
      <c r="AY154" s="1">
        <v>1.0</v>
      </c>
      <c r="AZ154" s="1">
        <v>57.99</v>
      </c>
      <c r="BB154" s="1">
        <v>57.99</v>
      </c>
    </row>
    <row r="155">
      <c r="A155" s="1" t="s">
        <v>446</v>
      </c>
      <c r="C155" s="1" t="s">
        <v>56</v>
      </c>
      <c r="D155" s="1" t="s">
        <v>447</v>
      </c>
      <c r="Y155" s="2">
        <v>45522.0</v>
      </c>
      <c r="AE155" s="1">
        <v>39.99</v>
      </c>
      <c r="AG155" s="3" t="str">
        <f>"2000006192340159"</f>
        <v>2000006192340159</v>
      </c>
      <c r="AH155" s="1" t="s">
        <v>58</v>
      </c>
      <c r="AI155" s="1" t="s">
        <v>59</v>
      </c>
      <c r="AJ155" s="1" t="s">
        <v>59</v>
      </c>
      <c r="AK155" s="1" t="s">
        <v>60</v>
      </c>
      <c r="AL155" s="1" t="s">
        <v>60</v>
      </c>
      <c r="AW155" s="1" t="s">
        <v>448</v>
      </c>
      <c r="AY155" s="1">
        <v>1.0</v>
      </c>
      <c r="AZ155" s="1">
        <v>39.99</v>
      </c>
      <c r="BB155" s="1">
        <v>39.99</v>
      </c>
    </row>
    <row r="156">
      <c r="A156" s="1" t="s">
        <v>449</v>
      </c>
      <c r="C156" s="1" t="s">
        <v>56</v>
      </c>
      <c r="D156" s="1" t="s">
        <v>450</v>
      </c>
      <c r="Y156" s="2">
        <v>45522.0</v>
      </c>
      <c r="AE156" s="1">
        <v>69.99</v>
      </c>
      <c r="AG156" s="3" t="str">
        <f>"2000006192328231"</f>
        <v>2000006192328231</v>
      </c>
      <c r="AH156" s="1" t="s">
        <v>58</v>
      </c>
      <c r="AI156" s="1" t="s">
        <v>59</v>
      </c>
      <c r="AJ156" s="1" t="s">
        <v>59</v>
      </c>
      <c r="AK156" s="1" t="s">
        <v>60</v>
      </c>
      <c r="AL156" s="1" t="s">
        <v>60</v>
      </c>
      <c r="AW156" s="1" t="s">
        <v>451</v>
      </c>
      <c r="AY156" s="1">
        <v>1.0</v>
      </c>
      <c r="AZ156" s="1">
        <v>69.99</v>
      </c>
      <c r="BB156" s="1">
        <v>69.99</v>
      </c>
    </row>
    <row r="157">
      <c r="A157" s="1" t="s">
        <v>111</v>
      </c>
      <c r="C157" s="1" t="s">
        <v>56</v>
      </c>
      <c r="D157" s="1" t="s">
        <v>452</v>
      </c>
      <c r="Y157" s="2">
        <v>45522.0</v>
      </c>
      <c r="AE157" s="1">
        <v>79.99</v>
      </c>
      <c r="AG157" s="3" t="str">
        <f>"2000006192304561"</f>
        <v>2000006192304561</v>
      </c>
      <c r="AH157" s="1" t="s">
        <v>58</v>
      </c>
      <c r="AI157" s="1" t="s">
        <v>59</v>
      </c>
      <c r="AJ157" s="1" t="s">
        <v>59</v>
      </c>
      <c r="AK157" s="1" t="s">
        <v>60</v>
      </c>
      <c r="AL157" s="1" t="s">
        <v>60</v>
      </c>
      <c r="AW157" s="1" t="s">
        <v>113</v>
      </c>
      <c r="AY157" s="1">
        <v>1.0</v>
      </c>
      <c r="AZ157" s="1">
        <v>79.99</v>
      </c>
      <c r="BB157" s="1">
        <v>79.99</v>
      </c>
    </row>
    <row r="158">
      <c r="A158" s="1" t="s">
        <v>286</v>
      </c>
      <c r="C158" s="1" t="s">
        <v>56</v>
      </c>
      <c r="D158" s="1" t="s">
        <v>453</v>
      </c>
      <c r="Y158" s="2">
        <v>45522.0</v>
      </c>
      <c r="AE158" s="1">
        <v>87.99</v>
      </c>
      <c r="AG158" s="3" t="str">
        <f>"2000006192293743"</f>
        <v>2000006192293743</v>
      </c>
      <c r="AH158" s="1" t="s">
        <v>58</v>
      </c>
      <c r="AI158" s="1" t="s">
        <v>59</v>
      </c>
      <c r="AJ158" s="1" t="s">
        <v>59</v>
      </c>
      <c r="AK158" s="1" t="s">
        <v>60</v>
      </c>
      <c r="AL158" s="1" t="s">
        <v>60</v>
      </c>
      <c r="AW158" s="1" t="s">
        <v>288</v>
      </c>
      <c r="AY158" s="1">
        <v>1.0</v>
      </c>
      <c r="AZ158" s="1">
        <v>87.99</v>
      </c>
      <c r="BB158" s="1">
        <v>87.99</v>
      </c>
    </row>
    <row r="159">
      <c r="A159" s="1" t="s">
        <v>454</v>
      </c>
      <c r="C159" s="1" t="s">
        <v>56</v>
      </c>
      <c r="D159" s="1" t="s">
        <v>455</v>
      </c>
      <c r="Y159" s="2">
        <v>45522.0</v>
      </c>
      <c r="AE159" s="1">
        <v>196.96</v>
      </c>
      <c r="AG159" s="3" t="str">
        <f>"2000006192254955"</f>
        <v>2000006192254955</v>
      </c>
      <c r="AH159" s="1" t="s">
        <v>58</v>
      </c>
      <c r="AI159" s="1" t="s">
        <v>59</v>
      </c>
      <c r="AJ159" s="1" t="s">
        <v>59</v>
      </c>
      <c r="AK159" s="1" t="s">
        <v>60</v>
      </c>
      <c r="AL159" s="1" t="s">
        <v>60</v>
      </c>
      <c r="AW159" s="1" t="s">
        <v>456</v>
      </c>
      <c r="AY159" s="1">
        <v>2.0</v>
      </c>
      <c r="AZ159" s="1">
        <v>98.48</v>
      </c>
      <c r="BB159" s="1">
        <v>196.96</v>
      </c>
    </row>
    <row r="160">
      <c r="A160" s="1" t="s">
        <v>457</v>
      </c>
      <c r="C160" s="1" t="s">
        <v>56</v>
      </c>
      <c r="D160" s="1" t="s">
        <v>458</v>
      </c>
      <c r="Y160" s="2">
        <v>45522.0</v>
      </c>
      <c r="AE160" s="1">
        <v>139.99</v>
      </c>
      <c r="AG160" s="3" t="str">
        <f>"2000006192187417"</f>
        <v>2000006192187417</v>
      </c>
      <c r="AH160" s="1" t="s">
        <v>58</v>
      </c>
      <c r="AI160" s="1" t="s">
        <v>59</v>
      </c>
      <c r="AJ160" s="1" t="s">
        <v>59</v>
      </c>
      <c r="AK160" s="1" t="s">
        <v>60</v>
      </c>
      <c r="AL160" s="1" t="s">
        <v>60</v>
      </c>
      <c r="AW160" s="1" t="s">
        <v>279</v>
      </c>
      <c r="AY160" s="1">
        <v>1.0</v>
      </c>
      <c r="AZ160" s="1">
        <v>139.99</v>
      </c>
      <c r="BB160" s="1">
        <v>139.99</v>
      </c>
    </row>
    <row r="161">
      <c r="A161" s="1" t="s">
        <v>459</v>
      </c>
      <c r="C161" s="1" t="s">
        <v>235</v>
      </c>
      <c r="D161" s="1" t="s">
        <v>460</v>
      </c>
      <c r="Y161" s="2">
        <v>45522.0</v>
      </c>
      <c r="AE161" s="1">
        <v>39.99</v>
      </c>
      <c r="AG161" s="3" t="str">
        <f>"2000006192899265"</f>
        <v>2000006192899265</v>
      </c>
      <c r="AH161" s="1" t="s">
        <v>58</v>
      </c>
      <c r="AI161" s="1" t="s">
        <v>59</v>
      </c>
      <c r="AJ161" s="1" t="s">
        <v>59</v>
      </c>
      <c r="AK161" s="1" t="s">
        <v>60</v>
      </c>
      <c r="AL161" s="1" t="s">
        <v>60</v>
      </c>
      <c r="AW161" s="1" t="s">
        <v>461</v>
      </c>
      <c r="AY161" s="1">
        <v>1.0</v>
      </c>
      <c r="AZ161" s="1">
        <v>39.99</v>
      </c>
      <c r="BB161" s="1">
        <v>39.99</v>
      </c>
    </row>
    <row r="162">
      <c r="A162" s="1" t="s">
        <v>462</v>
      </c>
      <c r="C162" s="1" t="s">
        <v>56</v>
      </c>
      <c r="D162" s="1" t="s">
        <v>463</v>
      </c>
      <c r="Y162" s="2">
        <v>45522.0</v>
      </c>
      <c r="AE162" s="1">
        <v>89.99</v>
      </c>
      <c r="AG162" s="3" t="str">
        <f>"2000009067084472"</f>
        <v>2000009067084472</v>
      </c>
      <c r="AH162" s="1" t="s">
        <v>58</v>
      </c>
      <c r="AI162" s="1" t="s">
        <v>59</v>
      </c>
      <c r="AJ162" s="1" t="s">
        <v>59</v>
      </c>
      <c r="AK162" s="1" t="s">
        <v>60</v>
      </c>
      <c r="AL162" s="1" t="s">
        <v>60</v>
      </c>
      <c r="AW162" s="1" t="s">
        <v>464</v>
      </c>
      <c r="AY162" s="1">
        <v>1.0</v>
      </c>
      <c r="AZ162" s="1">
        <v>89.99</v>
      </c>
      <c r="BB162" s="1">
        <v>89.99</v>
      </c>
    </row>
    <row r="163">
      <c r="A163" s="1" t="s">
        <v>98</v>
      </c>
      <c r="C163" s="1" t="s">
        <v>56</v>
      </c>
      <c r="D163" s="1" t="s">
        <v>465</v>
      </c>
      <c r="Y163" s="2">
        <v>45522.0</v>
      </c>
      <c r="AE163" s="1">
        <v>45.99</v>
      </c>
      <c r="AG163" s="3" t="str">
        <f>"2000006192085017"</f>
        <v>2000006192085017</v>
      </c>
      <c r="AH163" s="1" t="s">
        <v>58</v>
      </c>
      <c r="AI163" s="1" t="s">
        <v>59</v>
      </c>
      <c r="AJ163" s="1" t="s">
        <v>59</v>
      </c>
      <c r="AK163" s="1" t="s">
        <v>60</v>
      </c>
      <c r="AL163" s="1" t="s">
        <v>60</v>
      </c>
      <c r="AW163" s="1" t="s">
        <v>100</v>
      </c>
      <c r="AY163" s="1">
        <v>1.0</v>
      </c>
      <c r="AZ163" s="1">
        <v>45.99</v>
      </c>
      <c r="BB163" s="1">
        <v>45.99</v>
      </c>
    </row>
    <row r="164">
      <c r="A164" s="1" t="s">
        <v>466</v>
      </c>
      <c r="C164" s="1" t="s">
        <v>56</v>
      </c>
      <c r="D164" s="1" t="s">
        <v>467</v>
      </c>
      <c r="Y164" s="2">
        <v>45522.0</v>
      </c>
      <c r="AE164" s="1">
        <v>94.99</v>
      </c>
      <c r="AG164" s="3" t="str">
        <f>"2000006192067299"</f>
        <v>2000006192067299</v>
      </c>
      <c r="AH164" s="1" t="s">
        <v>58</v>
      </c>
      <c r="AI164" s="1" t="s">
        <v>59</v>
      </c>
      <c r="AJ164" s="1" t="s">
        <v>59</v>
      </c>
      <c r="AK164" s="1" t="s">
        <v>60</v>
      </c>
      <c r="AL164" s="1" t="s">
        <v>60</v>
      </c>
      <c r="AW164" s="1" t="s">
        <v>468</v>
      </c>
      <c r="AY164" s="1">
        <v>1.0</v>
      </c>
      <c r="AZ164" s="1">
        <v>94.99</v>
      </c>
      <c r="BB164" s="1">
        <v>94.99</v>
      </c>
    </row>
    <row r="165">
      <c r="A165" s="1" t="s">
        <v>290</v>
      </c>
      <c r="C165" s="1" t="s">
        <v>56</v>
      </c>
      <c r="D165" s="1" t="s">
        <v>469</v>
      </c>
      <c r="Y165" s="2">
        <v>45522.0</v>
      </c>
      <c r="AE165" s="1">
        <v>139.99</v>
      </c>
      <c r="AG165" s="3" t="str">
        <f>"2000006192054033"</f>
        <v>2000006192054033</v>
      </c>
      <c r="AH165" s="1" t="s">
        <v>58</v>
      </c>
      <c r="AI165" s="1" t="s">
        <v>59</v>
      </c>
      <c r="AJ165" s="1" t="s">
        <v>59</v>
      </c>
      <c r="AK165" s="1" t="s">
        <v>60</v>
      </c>
      <c r="AL165" s="1" t="s">
        <v>60</v>
      </c>
      <c r="AW165" s="1" t="s">
        <v>292</v>
      </c>
      <c r="AY165" s="1">
        <v>1.0</v>
      </c>
      <c r="AZ165" s="1">
        <v>139.99</v>
      </c>
      <c r="BB165" s="1">
        <v>139.99</v>
      </c>
    </row>
    <row r="166">
      <c r="A166" s="1" t="s">
        <v>371</v>
      </c>
      <c r="C166" s="1" t="s">
        <v>56</v>
      </c>
      <c r="D166" s="1" t="s">
        <v>470</v>
      </c>
      <c r="Y166" s="2">
        <v>45522.0</v>
      </c>
      <c r="AE166" s="1">
        <v>42.49</v>
      </c>
      <c r="AG166" s="3" t="str">
        <f>"2000006192005861"</f>
        <v>2000006192005861</v>
      </c>
      <c r="AH166" s="1" t="s">
        <v>58</v>
      </c>
      <c r="AI166" s="1" t="s">
        <v>59</v>
      </c>
      <c r="AJ166" s="1" t="s">
        <v>59</v>
      </c>
      <c r="AK166" s="1" t="s">
        <v>60</v>
      </c>
      <c r="AL166" s="1" t="s">
        <v>60</v>
      </c>
      <c r="AW166" s="1" t="s">
        <v>373</v>
      </c>
      <c r="AY166" s="1">
        <v>1.0</v>
      </c>
      <c r="AZ166" s="1">
        <v>42.49</v>
      </c>
      <c r="BB166" s="1">
        <v>42.49</v>
      </c>
    </row>
    <row r="167">
      <c r="A167" s="1" t="s">
        <v>471</v>
      </c>
      <c r="C167" s="1" t="s">
        <v>56</v>
      </c>
      <c r="D167" s="1" t="s">
        <v>472</v>
      </c>
      <c r="Y167" s="2">
        <v>45522.0</v>
      </c>
      <c r="AE167" s="1">
        <v>74.99</v>
      </c>
      <c r="AG167" s="3" t="str">
        <f>"2000006192005915"</f>
        <v>2000006192005915</v>
      </c>
      <c r="AH167" s="1" t="s">
        <v>58</v>
      </c>
      <c r="AI167" s="1" t="s">
        <v>59</v>
      </c>
      <c r="AJ167" s="1" t="s">
        <v>59</v>
      </c>
      <c r="AK167" s="1" t="s">
        <v>60</v>
      </c>
      <c r="AL167" s="1" t="s">
        <v>60</v>
      </c>
      <c r="AW167" s="1" t="s">
        <v>473</v>
      </c>
      <c r="AY167" s="1">
        <v>1.0</v>
      </c>
      <c r="AZ167" s="1">
        <v>74.99</v>
      </c>
      <c r="BB167" s="1">
        <v>74.99</v>
      </c>
    </row>
    <row r="168">
      <c r="A168" s="1" t="s">
        <v>474</v>
      </c>
      <c r="C168" s="1" t="s">
        <v>56</v>
      </c>
      <c r="D168" s="1" t="s">
        <v>475</v>
      </c>
      <c r="Y168" s="2">
        <v>45522.0</v>
      </c>
      <c r="AE168" s="1">
        <v>164.99</v>
      </c>
      <c r="AG168" s="3" t="str">
        <f>"2000006191960903"</f>
        <v>2000006191960903</v>
      </c>
      <c r="AH168" s="1" t="s">
        <v>58</v>
      </c>
      <c r="AI168" s="1" t="s">
        <v>59</v>
      </c>
      <c r="AJ168" s="1" t="s">
        <v>59</v>
      </c>
      <c r="AK168" s="1" t="s">
        <v>60</v>
      </c>
      <c r="AL168" s="1" t="s">
        <v>60</v>
      </c>
      <c r="AW168" s="1" t="s">
        <v>476</v>
      </c>
      <c r="AY168" s="1">
        <v>1.0</v>
      </c>
      <c r="AZ168" s="1">
        <v>164.99</v>
      </c>
      <c r="BB168" s="1">
        <v>164.99</v>
      </c>
    </row>
    <row r="169">
      <c r="A169" s="1" t="s">
        <v>477</v>
      </c>
      <c r="C169" s="1" t="s">
        <v>56</v>
      </c>
      <c r="D169" s="1" t="s">
        <v>478</v>
      </c>
      <c r="Y169" s="2">
        <v>45522.0</v>
      </c>
      <c r="AE169" s="1">
        <v>89.99</v>
      </c>
      <c r="AG169" s="3" t="str">
        <f>"2000006191900379"</f>
        <v>2000006191900379</v>
      </c>
      <c r="AH169" s="1" t="s">
        <v>58</v>
      </c>
      <c r="AI169" s="1" t="s">
        <v>59</v>
      </c>
      <c r="AJ169" s="1" t="s">
        <v>59</v>
      </c>
      <c r="AK169" s="1" t="s">
        <v>60</v>
      </c>
      <c r="AL169" s="1" t="s">
        <v>60</v>
      </c>
      <c r="AW169" s="1" t="s">
        <v>479</v>
      </c>
      <c r="AY169" s="1">
        <v>1.0</v>
      </c>
      <c r="AZ169" s="1">
        <v>89.99</v>
      </c>
      <c r="BB169" s="1">
        <v>89.99</v>
      </c>
    </row>
    <row r="170">
      <c r="A170" s="1" t="s">
        <v>480</v>
      </c>
      <c r="C170" s="1" t="s">
        <v>56</v>
      </c>
      <c r="D170" s="1" t="s">
        <v>481</v>
      </c>
      <c r="Y170" s="2">
        <v>45522.0</v>
      </c>
      <c r="AE170" s="1">
        <v>64.99</v>
      </c>
      <c r="AG170" s="3" t="str">
        <f>"2000006191815359"</f>
        <v>2000006191815359</v>
      </c>
      <c r="AH170" s="1" t="s">
        <v>58</v>
      </c>
      <c r="AI170" s="1" t="s">
        <v>59</v>
      </c>
      <c r="AJ170" s="1" t="s">
        <v>59</v>
      </c>
      <c r="AK170" s="1" t="s">
        <v>60</v>
      </c>
      <c r="AL170" s="1" t="s">
        <v>60</v>
      </c>
      <c r="AW170" s="1" t="s">
        <v>482</v>
      </c>
      <c r="AY170" s="1">
        <v>1.0</v>
      </c>
      <c r="AZ170" s="1">
        <v>64.99</v>
      </c>
      <c r="BB170" s="1">
        <v>64.99</v>
      </c>
    </row>
    <row r="171">
      <c r="A171" s="1" t="s">
        <v>195</v>
      </c>
      <c r="C171" s="1" t="s">
        <v>56</v>
      </c>
      <c r="D171" s="1" t="s">
        <v>483</v>
      </c>
      <c r="Y171" s="2">
        <v>45522.0</v>
      </c>
      <c r="AE171" s="1">
        <v>95.98</v>
      </c>
      <c r="AG171" s="3" t="str">
        <f>"2000006191802437"</f>
        <v>2000006191802437</v>
      </c>
      <c r="AH171" s="1" t="s">
        <v>58</v>
      </c>
      <c r="AI171" s="1" t="s">
        <v>59</v>
      </c>
      <c r="AJ171" s="1" t="s">
        <v>59</v>
      </c>
      <c r="AK171" s="1" t="s">
        <v>60</v>
      </c>
      <c r="AL171" s="1" t="s">
        <v>60</v>
      </c>
      <c r="AW171" s="1" t="s">
        <v>197</v>
      </c>
      <c r="AY171" s="1">
        <v>2.0</v>
      </c>
      <c r="AZ171" s="1">
        <v>47.99</v>
      </c>
      <c r="BB171" s="1">
        <v>95.98</v>
      </c>
    </row>
    <row r="172">
      <c r="A172" s="1" t="s">
        <v>484</v>
      </c>
      <c r="C172" s="1" t="s">
        <v>56</v>
      </c>
      <c r="D172" s="1" t="s">
        <v>485</v>
      </c>
      <c r="Y172" s="2">
        <v>45522.0</v>
      </c>
      <c r="AE172" s="1">
        <v>74.99</v>
      </c>
      <c r="AG172" s="3" t="str">
        <f>"2000006191725445"</f>
        <v>2000006191725445</v>
      </c>
      <c r="AH172" s="1" t="s">
        <v>58</v>
      </c>
      <c r="AI172" s="1" t="s">
        <v>59</v>
      </c>
      <c r="AJ172" s="1" t="s">
        <v>59</v>
      </c>
      <c r="AK172" s="1" t="s">
        <v>60</v>
      </c>
      <c r="AL172" s="1" t="s">
        <v>60</v>
      </c>
      <c r="AW172" s="1" t="s">
        <v>486</v>
      </c>
      <c r="AY172" s="1">
        <v>1.0</v>
      </c>
      <c r="AZ172" s="1">
        <v>74.99</v>
      </c>
      <c r="BB172" s="1">
        <v>74.99</v>
      </c>
    </row>
    <row r="173">
      <c r="A173" s="1" t="s">
        <v>487</v>
      </c>
      <c r="C173" s="1" t="s">
        <v>56</v>
      </c>
      <c r="D173" s="1" t="s">
        <v>488</v>
      </c>
      <c r="Y173" s="2">
        <v>45522.0</v>
      </c>
      <c r="AE173" s="1">
        <v>159.99</v>
      </c>
      <c r="AG173" s="3" t="str">
        <f>"2000009066356654"</f>
        <v>2000009066356654</v>
      </c>
      <c r="AH173" s="1" t="s">
        <v>58</v>
      </c>
      <c r="AI173" s="1" t="s">
        <v>59</v>
      </c>
      <c r="AJ173" s="1" t="s">
        <v>59</v>
      </c>
      <c r="AK173" s="1" t="s">
        <v>60</v>
      </c>
      <c r="AL173" s="1" t="s">
        <v>60</v>
      </c>
      <c r="AW173" s="1" t="s">
        <v>489</v>
      </c>
      <c r="AY173" s="1">
        <v>1.0</v>
      </c>
      <c r="AZ173" s="1">
        <v>159.99</v>
      </c>
      <c r="BB173" s="1">
        <v>159.99</v>
      </c>
    </row>
    <row r="174">
      <c r="A174" s="1" t="s">
        <v>62</v>
      </c>
      <c r="C174" s="1" t="s">
        <v>56</v>
      </c>
      <c r="D174" s="1" t="s">
        <v>490</v>
      </c>
      <c r="Y174" s="2">
        <v>45522.0</v>
      </c>
      <c r="AE174" s="1">
        <v>249.49</v>
      </c>
      <c r="AG174" s="3" t="str">
        <f>"2000006191763897"</f>
        <v>2000006191763897</v>
      </c>
      <c r="AH174" s="1" t="s">
        <v>58</v>
      </c>
      <c r="AI174" s="1" t="s">
        <v>59</v>
      </c>
      <c r="AJ174" s="1" t="s">
        <v>59</v>
      </c>
      <c r="AK174" s="1" t="s">
        <v>60</v>
      </c>
      <c r="AL174" s="1" t="s">
        <v>60</v>
      </c>
      <c r="AW174" s="1" t="s">
        <v>64</v>
      </c>
      <c r="AY174" s="1">
        <v>1.0</v>
      </c>
      <c r="AZ174" s="1">
        <v>249.49</v>
      </c>
      <c r="BB174" s="1">
        <v>249.49</v>
      </c>
    </row>
    <row r="175">
      <c r="A175" s="1" t="s">
        <v>329</v>
      </c>
      <c r="C175" s="1" t="s">
        <v>56</v>
      </c>
      <c r="D175" s="1" t="s">
        <v>491</v>
      </c>
      <c r="Y175" s="2">
        <v>45522.0</v>
      </c>
      <c r="AE175" s="1">
        <v>429.99</v>
      </c>
      <c r="AG175" s="3" t="str">
        <f>"2000009066267664"</f>
        <v>2000009066267664</v>
      </c>
      <c r="AH175" s="1" t="s">
        <v>58</v>
      </c>
      <c r="AI175" s="1" t="s">
        <v>59</v>
      </c>
      <c r="AJ175" s="1" t="s">
        <v>59</v>
      </c>
      <c r="AK175" s="1" t="s">
        <v>60</v>
      </c>
      <c r="AL175" s="1" t="s">
        <v>60</v>
      </c>
      <c r="AW175" s="1" t="s">
        <v>331</v>
      </c>
      <c r="AY175" s="1">
        <v>1.0</v>
      </c>
      <c r="AZ175" s="1">
        <v>429.99</v>
      </c>
      <c r="BB175" s="1">
        <v>429.99</v>
      </c>
    </row>
    <row r="176">
      <c r="A176" s="1" t="s">
        <v>492</v>
      </c>
      <c r="C176" s="1" t="s">
        <v>56</v>
      </c>
      <c r="D176" s="1" t="s">
        <v>493</v>
      </c>
      <c r="Y176" s="2">
        <v>45522.0</v>
      </c>
      <c r="AE176" s="1">
        <v>139.99</v>
      </c>
      <c r="AG176" s="3" t="str">
        <f>"2000006191644897"</f>
        <v>2000006191644897</v>
      </c>
      <c r="AH176" s="1" t="s">
        <v>58</v>
      </c>
      <c r="AI176" s="1" t="s">
        <v>59</v>
      </c>
      <c r="AJ176" s="1" t="s">
        <v>59</v>
      </c>
      <c r="AK176" s="1" t="s">
        <v>60</v>
      </c>
      <c r="AL176" s="1" t="s">
        <v>60</v>
      </c>
      <c r="AW176" s="1" t="s">
        <v>494</v>
      </c>
      <c r="AY176" s="1">
        <v>1.0</v>
      </c>
      <c r="AZ176" s="1">
        <v>139.99</v>
      </c>
      <c r="BB176" s="1">
        <v>139.99</v>
      </c>
    </row>
    <row r="177">
      <c r="A177" s="1" t="s">
        <v>131</v>
      </c>
      <c r="C177" s="1" t="s">
        <v>56</v>
      </c>
      <c r="D177" s="1" t="s">
        <v>495</v>
      </c>
      <c r="Y177" s="2">
        <v>45522.0</v>
      </c>
      <c r="AE177" s="1">
        <v>164.97</v>
      </c>
      <c r="AG177" s="3" t="str">
        <f t="shared" ref="AG177:AG178" si="5">"2000006191645431"</f>
        <v>2000006191645431</v>
      </c>
      <c r="AH177" s="1" t="s">
        <v>58</v>
      </c>
      <c r="AI177" s="1" t="s">
        <v>59</v>
      </c>
      <c r="AJ177" s="1" t="s">
        <v>59</v>
      </c>
      <c r="AK177" s="1" t="s">
        <v>60</v>
      </c>
      <c r="AL177" s="1" t="s">
        <v>60</v>
      </c>
      <c r="AW177" s="1" t="s">
        <v>133</v>
      </c>
      <c r="AY177" s="1">
        <v>3.0</v>
      </c>
      <c r="AZ177" s="1">
        <v>54.99</v>
      </c>
      <c r="BB177" s="1">
        <v>164.97</v>
      </c>
    </row>
    <row r="178">
      <c r="A178" s="1" t="s">
        <v>496</v>
      </c>
      <c r="C178" s="1" t="s">
        <v>56</v>
      </c>
      <c r="D178" s="1" t="s">
        <v>495</v>
      </c>
      <c r="Y178" s="2">
        <v>45522.0</v>
      </c>
      <c r="AE178" s="1">
        <v>164.97</v>
      </c>
      <c r="AG178" s="3" t="str">
        <f t="shared" si="5"/>
        <v>2000006191645431</v>
      </c>
      <c r="AH178" s="1" t="s">
        <v>58</v>
      </c>
      <c r="AI178" s="1" t="s">
        <v>59</v>
      </c>
      <c r="AJ178" s="1" t="s">
        <v>59</v>
      </c>
      <c r="AK178" s="1" t="s">
        <v>60</v>
      </c>
      <c r="AL178" s="1" t="s">
        <v>60</v>
      </c>
      <c r="AW178" s="1" t="s">
        <v>497</v>
      </c>
      <c r="AY178" s="1">
        <v>3.0</v>
      </c>
      <c r="AZ178" s="1">
        <v>54.99</v>
      </c>
      <c r="BB178" s="1">
        <v>164.97</v>
      </c>
    </row>
    <row r="179">
      <c r="A179" s="1" t="s">
        <v>498</v>
      </c>
      <c r="C179" s="1" t="s">
        <v>56</v>
      </c>
      <c r="D179" s="1" t="s">
        <v>499</v>
      </c>
      <c r="Y179" s="2">
        <v>45522.0</v>
      </c>
      <c r="AE179" s="1">
        <v>119.98</v>
      </c>
      <c r="AG179" s="3" t="str">
        <f>"2000006191481271"</f>
        <v>2000006191481271</v>
      </c>
      <c r="AH179" s="1" t="s">
        <v>58</v>
      </c>
      <c r="AI179" s="1" t="s">
        <v>59</v>
      </c>
      <c r="AJ179" s="1" t="s">
        <v>59</v>
      </c>
      <c r="AK179" s="1" t="s">
        <v>60</v>
      </c>
      <c r="AL179" s="1" t="s">
        <v>60</v>
      </c>
      <c r="AW179" s="1" t="s">
        <v>500</v>
      </c>
      <c r="AY179" s="1">
        <v>2.0</v>
      </c>
      <c r="AZ179" s="1">
        <v>59.99</v>
      </c>
      <c r="BB179" s="1">
        <v>119.98</v>
      </c>
    </row>
    <row r="180">
      <c r="A180" s="1" t="s">
        <v>457</v>
      </c>
      <c r="C180" s="1" t="s">
        <v>56</v>
      </c>
      <c r="D180" s="1" t="s">
        <v>501</v>
      </c>
      <c r="Y180" s="2">
        <v>45522.0</v>
      </c>
      <c r="AE180" s="1">
        <v>139.99</v>
      </c>
      <c r="AG180" s="3" t="str">
        <f>"2000006191424677"</f>
        <v>2000006191424677</v>
      </c>
      <c r="AH180" s="1" t="s">
        <v>58</v>
      </c>
      <c r="AI180" s="1" t="s">
        <v>59</v>
      </c>
      <c r="AJ180" s="1" t="s">
        <v>59</v>
      </c>
      <c r="AK180" s="1" t="s">
        <v>60</v>
      </c>
      <c r="AL180" s="1" t="s">
        <v>60</v>
      </c>
      <c r="AW180" s="1" t="s">
        <v>279</v>
      </c>
      <c r="AY180" s="1">
        <v>1.0</v>
      </c>
      <c r="AZ180" s="1">
        <v>139.99</v>
      </c>
      <c r="BB180" s="1">
        <v>139.99</v>
      </c>
    </row>
    <row r="181">
      <c r="A181" s="1" t="s">
        <v>502</v>
      </c>
      <c r="C181" s="1" t="s">
        <v>56</v>
      </c>
      <c r="D181" s="1" t="s">
        <v>503</v>
      </c>
      <c r="Y181" s="2">
        <v>45522.0</v>
      </c>
      <c r="AE181" s="1">
        <v>99.99</v>
      </c>
      <c r="AG181" s="3" t="str">
        <f>"2000006191412253"</f>
        <v>2000006191412253</v>
      </c>
      <c r="AH181" s="1" t="s">
        <v>58</v>
      </c>
      <c r="AI181" s="1" t="s">
        <v>59</v>
      </c>
      <c r="AJ181" s="1" t="s">
        <v>59</v>
      </c>
      <c r="AK181" s="1" t="s">
        <v>60</v>
      </c>
      <c r="AL181" s="1" t="s">
        <v>60</v>
      </c>
      <c r="AW181" s="1" t="s">
        <v>504</v>
      </c>
      <c r="AY181" s="1">
        <v>1.0</v>
      </c>
      <c r="AZ181" s="1">
        <v>99.99</v>
      </c>
      <c r="BB181" s="1">
        <v>99.99</v>
      </c>
    </row>
    <row r="182">
      <c r="A182" s="1" t="s">
        <v>505</v>
      </c>
      <c r="C182" s="1" t="s">
        <v>56</v>
      </c>
      <c r="D182" s="1" t="s">
        <v>506</v>
      </c>
      <c r="Y182" s="2">
        <v>45522.0</v>
      </c>
      <c r="AE182" s="1">
        <v>589.98</v>
      </c>
      <c r="AG182" s="3" t="str">
        <f>"2000006191398143"</f>
        <v>2000006191398143</v>
      </c>
      <c r="AH182" s="1" t="s">
        <v>58</v>
      </c>
      <c r="AI182" s="1" t="s">
        <v>59</v>
      </c>
      <c r="AJ182" s="1" t="s">
        <v>59</v>
      </c>
      <c r="AK182" s="1" t="s">
        <v>60</v>
      </c>
      <c r="AL182" s="1" t="s">
        <v>60</v>
      </c>
      <c r="AW182" s="1" t="s">
        <v>507</v>
      </c>
      <c r="AY182" s="1">
        <v>2.0</v>
      </c>
      <c r="AZ182" s="1">
        <v>294.99</v>
      </c>
      <c r="BB182" s="1">
        <v>589.98</v>
      </c>
    </row>
    <row r="183">
      <c r="A183" s="1" t="s">
        <v>508</v>
      </c>
      <c r="C183" s="1" t="s">
        <v>56</v>
      </c>
      <c r="D183" s="1" t="s">
        <v>509</v>
      </c>
      <c r="Y183" s="2">
        <v>45522.0</v>
      </c>
      <c r="AE183" s="1">
        <v>184.99</v>
      </c>
      <c r="AG183" s="3" t="str">
        <f>"2000009065579234"</f>
        <v>2000009065579234</v>
      </c>
      <c r="AH183" s="1" t="s">
        <v>58</v>
      </c>
      <c r="AI183" s="1" t="s">
        <v>59</v>
      </c>
      <c r="AJ183" s="1" t="s">
        <v>59</v>
      </c>
      <c r="AK183" s="1" t="s">
        <v>60</v>
      </c>
      <c r="AL183" s="1" t="s">
        <v>60</v>
      </c>
      <c r="AW183" s="1" t="s">
        <v>510</v>
      </c>
      <c r="AY183" s="1">
        <v>1.0</v>
      </c>
      <c r="AZ183" s="1">
        <v>184.99</v>
      </c>
      <c r="BB183" s="1">
        <v>184.99</v>
      </c>
    </row>
    <row r="184">
      <c r="A184" s="1" t="s">
        <v>511</v>
      </c>
      <c r="C184" s="1" t="s">
        <v>56</v>
      </c>
      <c r="D184" s="1" t="s">
        <v>512</v>
      </c>
      <c r="Y184" s="2">
        <v>45522.0</v>
      </c>
      <c r="AE184" s="1">
        <v>79.99</v>
      </c>
      <c r="AG184" s="3" t="str">
        <f>"2000006191368667"</f>
        <v>2000006191368667</v>
      </c>
      <c r="AH184" s="1" t="s">
        <v>58</v>
      </c>
      <c r="AI184" s="1" t="s">
        <v>59</v>
      </c>
      <c r="AJ184" s="1" t="s">
        <v>59</v>
      </c>
      <c r="AK184" s="1" t="s">
        <v>60</v>
      </c>
      <c r="AL184" s="1" t="s">
        <v>60</v>
      </c>
      <c r="AW184" s="1" t="s">
        <v>513</v>
      </c>
      <c r="AY184" s="1">
        <v>1.0</v>
      </c>
      <c r="AZ184" s="1">
        <v>79.99</v>
      </c>
      <c r="BB184" s="1">
        <v>79.99</v>
      </c>
    </row>
    <row r="185">
      <c r="A185" s="1" t="s">
        <v>514</v>
      </c>
      <c r="C185" s="1" t="s">
        <v>56</v>
      </c>
      <c r="D185" s="1" t="s">
        <v>515</v>
      </c>
      <c r="Y185" s="2">
        <v>45522.0</v>
      </c>
      <c r="AE185" s="1">
        <v>59.99</v>
      </c>
      <c r="AG185" s="3" t="str">
        <f>"2000006191357873"</f>
        <v>2000006191357873</v>
      </c>
      <c r="AH185" s="1" t="s">
        <v>58</v>
      </c>
      <c r="AI185" s="1" t="s">
        <v>59</v>
      </c>
      <c r="AJ185" s="1" t="s">
        <v>59</v>
      </c>
      <c r="AK185" s="1" t="s">
        <v>60</v>
      </c>
      <c r="AL185" s="1" t="s">
        <v>60</v>
      </c>
      <c r="AW185" s="1" t="s">
        <v>516</v>
      </c>
      <c r="AY185" s="1">
        <v>1.0</v>
      </c>
      <c r="AZ185" s="1">
        <v>59.99</v>
      </c>
      <c r="BB185" s="1">
        <v>59.99</v>
      </c>
    </row>
    <row r="186">
      <c r="A186" s="1" t="s">
        <v>517</v>
      </c>
      <c r="C186" s="1" t="s">
        <v>56</v>
      </c>
      <c r="D186" s="1" t="s">
        <v>518</v>
      </c>
      <c r="Y186" s="2">
        <v>45522.0</v>
      </c>
      <c r="AE186" s="1">
        <v>49.99</v>
      </c>
      <c r="AG186" s="3" t="str">
        <f>"2000006191318181"</f>
        <v>2000006191318181</v>
      </c>
      <c r="AH186" s="1" t="s">
        <v>58</v>
      </c>
      <c r="AI186" s="1" t="s">
        <v>59</v>
      </c>
      <c r="AJ186" s="1" t="s">
        <v>59</v>
      </c>
      <c r="AK186" s="1" t="s">
        <v>60</v>
      </c>
      <c r="AL186" s="1" t="s">
        <v>60</v>
      </c>
      <c r="AW186" s="1" t="s">
        <v>70</v>
      </c>
      <c r="AY186" s="1">
        <v>1.0</v>
      </c>
      <c r="AZ186" s="1">
        <v>49.99</v>
      </c>
      <c r="BB186" s="1">
        <v>49.99</v>
      </c>
    </row>
    <row r="187">
      <c r="A187" s="1" t="s">
        <v>519</v>
      </c>
      <c r="C187" s="1" t="s">
        <v>56</v>
      </c>
      <c r="D187" s="1" t="s">
        <v>520</v>
      </c>
      <c r="Y187" s="2">
        <v>45522.0</v>
      </c>
      <c r="AE187" s="1">
        <v>49.99</v>
      </c>
      <c r="AG187" s="3" t="str">
        <f>"2000006191312775"</f>
        <v>2000006191312775</v>
      </c>
      <c r="AH187" s="1" t="s">
        <v>58</v>
      </c>
      <c r="AI187" s="1" t="s">
        <v>59</v>
      </c>
      <c r="AJ187" s="1" t="s">
        <v>59</v>
      </c>
      <c r="AK187" s="1" t="s">
        <v>60</v>
      </c>
      <c r="AL187" s="1" t="s">
        <v>60</v>
      </c>
      <c r="AW187" s="1" t="s">
        <v>521</v>
      </c>
      <c r="AY187" s="1">
        <v>1.0</v>
      </c>
      <c r="AZ187" s="1">
        <v>49.99</v>
      </c>
      <c r="BB187" s="1">
        <v>49.99</v>
      </c>
    </row>
    <row r="188">
      <c r="A188" s="1" t="s">
        <v>522</v>
      </c>
      <c r="C188" s="1" t="s">
        <v>235</v>
      </c>
      <c r="D188" s="1" t="s">
        <v>509</v>
      </c>
      <c r="Y188" s="2">
        <v>45522.0</v>
      </c>
      <c r="AE188" s="1">
        <v>184.99</v>
      </c>
      <c r="AG188" s="3" t="str">
        <f>"2000009065465804"</f>
        <v>2000009065465804</v>
      </c>
      <c r="AH188" s="1" t="s">
        <v>58</v>
      </c>
      <c r="AI188" s="1" t="s">
        <v>59</v>
      </c>
      <c r="AJ188" s="1" t="s">
        <v>59</v>
      </c>
      <c r="AK188" s="1" t="s">
        <v>60</v>
      </c>
      <c r="AL188" s="1" t="s">
        <v>60</v>
      </c>
      <c r="AW188" s="1" t="s">
        <v>523</v>
      </c>
      <c r="AY188" s="1">
        <v>1.0</v>
      </c>
      <c r="AZ188" s="1">
        <v>184.99</v>
      </c>
      <c r="BB188" s="1">
        <v>184.99</v>
      </c>
    </row>
    <row r="189">
      <c r="A189" s="1" t="s">
        <v>377</v>
      </c>
      <c r="C189" s="1" t="s">
        <v>56</v>
      </c>
      <c r="D189" s="1" t="s">
        <v>524</v>
      </c>
      <c r="Y189" s="2">
        <v>45522.0</v>
      </c>
      <c r="AE189" s="1">
        <v>64.99</v>
      </c>
      <c r="AG189" s="3" t="str">
        <f>"2000006191292675"</f>
        <v>2000006191292675</v>
      </c>
      <c r="AH189" s="1" t="s">
        <v>58</v>
      </c>
      <c r="AI189" s="1" t="s">
        <v>59</v>
      </c>
      <c r="AJ189" s="1" t="s">
        <v>59</v>
      </c>
      <c r="AK189" s="1" t="s">
        <v>60</v>
      </c>
      <c r="AL189" s="1" t="s">
        <v>60</v>
      </c>
      <c r="AW189" s="1" t="s">
        <v>79</v>
      </c>
      <c r="AY189" s="1">
        <v>1.0</v>
      </c>
      <c r="AZ189" s="1">
        <v>64.99</v>
      </c>
      <c r="BB189" s="1">
        <v>64.99</v>
      </c>
    </row>
    <row r="190">
      <c r="A190" s="1" t="s">
        <v>525</v>
      </c>
      <c r="C190" s="1" t="s">
        <v>56</v>
      </c>
      <c r="D190" s="1" t="s">
        <v>526</v>
      </c>
      <c r="Y190" s="2">
        <v>45522.0</v>
      </c>
      <c r="AE190" s="1">
        <v>54.99</v>
      </c>
      <c r="AG190" s="3" t="str">
        <f>"2000006191286641"</f>
        <v>2000006191286641</v>
      </c>
      <c r="AH190" s="1" t="s">
        <v>58</v>
      </c>
      <c r="AI190" s="1" t="s">
        <v>59</v>
      </c>
      <c r="AJ190" s="1" t="s">
        <v>59</v>
      </c>
      <c r="AK190" s="1" t="s">
        <v>60</v>
      </c>
      <c r="AL190" s="1" t="s">
        <v>60</v>
      </c>
      <c r="AW190" s="1" t="s">
        <v>497</v>
      </c>
      <c r="AY190" s="1">
        <v>1.0</v>
      </c>
      <c r="AZ190" s="1">
        <v>54.99</v>
      </c>
      <c r="BB190" s="1">
        <v>54.99</v>
      </c>
    </row>
    <row r="191">
      <c r="A191" s="1" t="s">
        <v>377</v>
      </c>
      <c r="C191" s="1" t="s">
        <v>56</v>
      </c>
      <c r="D191" s="1" t="s">
        <v>527</v>
      </c>
      <c r="Y191" s="2">
        <v>45522.0</v>
      </c>
      <c r="AE191" s="1">
        <v>64.99</v>
      </c>
      <c r="AG191" s="3" t="str">
        <f>"2000009065415908"</f>
        <v>2000009065415908</v>
      </c>
      <c r="AH191" s="1" t="s">
        <v>58</v>
      </c>
      <c r="AI191" s="1" t="s">
        <v>59</v>
      </c>
      <c r="AJ191" s="1" t="s">
        <v>59</v>
      </c>
      <c r="AK191" s="1" t="s">
        <v>60</v>
      </c>
      <c r="AL191" s="1" t="s">
        <v>60</v>
      </c>
      <c r="AW191" s="1" t="s">
        <v>528</v>
      </c>
      <c r="AY191" s="1">
        <v>1.0</v>
      </c>
      <c r="AZ191" s="1">
        <v>64.99</v>
      </c>
      <c r="BB191" s="1">
        <v>64.99</v>
      </c>
    </row>
    <row r="192">
      <c r="A192" s="1" t="s">
        <v>529</v>
      </c>
      <c r="C192" s="1" t="s">
        <v>56</v>
      </c>
      <c r="D192" s="1" t="s">
        <v>530</v>
      </c>
      <c r="Y192" s="2">
        <v>45522.0</v>
      </c>
      <c r="AE192" s="1">
        <v>58.99</v>
      </c>
      <c r="AG192" s="3" t="str">
        <f>"2000006191268995"</f>
        <v>2000006191268995</v>
      </c>
      <c r="AH192" s="1" t="s">
        <v>58</v>
      </c>
      <c r="AI192" s="1" t="s">
        <v>59</v>
      </c>
      <c r="AJ192" s="1" t="s">
        <v>59</v>
      </c>
      <c r="AK192" s="1" t="s">
        <v>60</v>
      </c>
      <c r="AL192" s="1" t="s">
        <v>60</v>
      </c>
      <c r="AW192" s="1" t="s">
        <v>110</v>
      </c>
      <c r="AY192" s="1">
        <v>1.0</v>
      </c>
      <c r="AZ192" s="1">
        <v>58.99</v>
      </c>
      <c r="BB192" s="1">
        <v>58.99</v>
      </c>
    </row>
    <row r="193">
      <c r="A193" s="1" t="s">
        <v>446</v>
      </c>
      <c r="C193" s="1" t="s">
        <v>56</v>
      </c>
      <c r="D193" s="1" t="s">
        <v>531</v>
      </c>
      <c r="Y193" s="2">
        <v>45522.0</v>
      </c>
      <c r="AE193" s="1">
        <v>39.99</v>
      </c>
      <c r="AG193" s="3" t="str">
        <f>"2000006191261543"</f>
        <v>2000006191261543</v>
      </c>
      <c r="AH193" s="1" t="s">
        <v>58</v>
      </c>
      <c r="AI193" s="1" t="s">
        <v>59</v>
      </c>
      <c r="AJ193" s="1" t="s">
        <v>59</v>
      </c>
      <c r="AK193" s="1" t="s">
        <v>60</v>
      </c>
      <c r="AL193" s="1" t="s">
        <v>60</v>
      </c>
      <c r="AW193" s="1" t="s">
        <v>448</v>
      </c>
      <c r="AY193" s="1">
        <v>1.0</v>
      </c>
      <c r="AZ193" s="1">
        <v>39.99</v>
      </c>
      <c r="BB193" s="1">
        <v>39.99</v>
      </c>
    </row>
    <row r="194">
      <c r="A194" s="1" t="s">
        <v>435</v>
      </c>
      <c r="C194" s="1" t="s">
        <v>56</v>
      </c>
      <c r="D194" s="1" t="s">
        <v>532</v>
      </c>
      <c r="Y194" s="2">
        <v>45522.0</v>
      </c>
      <c r="AE194" s="1">
        <v>64.99</v>
      </c>
      <c r="AG194" s="3" t="str">
        <f>"2000006191252663"</f>
        <v>2000006191252663</v>
      </c>
      <c r="AH194" s="1" t="s">
        <v>58</v>
      </c>
      <c r="AI194" s="1" t="s">
        <v>59</v>
      </c>
      <c r="AJ194" s="1" t="s">
        <v>59</v>
      </c>
      <c r="AK194" s="1" t="s">
        <v>60</v>
      </c>
      <c r="AL194" s="1" t="s">
        <v>60</v>
      </c>
      <c r="AW194" s="1" t="s">
        <v>437</v>
      </c>
      <c r="AY194" s="1">
        <v>1.0</v>
      </c>
      <c r="AZ194" s="1">
        <v>64.99</v>
      </c>
      <c r="BB194" s="1">
        <v>64.99</v>
      </c>
    </row>
    <row r="195">
      <c r="A195" s="1" t="s">
        <v>533</v>
      </c>
      <c r="C195" s="1" t="s">
        <v>56</v>
      </c>
      <c r="D195" s="1" t="s">
        <v>534</v>
      </c>
      <c r="Y195" s="2">
        <v>45522.0</v>
      </c>
      <c r="AE195" s="1">
        <v>89.99</v>
      </c>
      <c r="AG195" s="3" t="str">
        <f>"2000006191184373"</f>
        <v>2000006191184373</v>
      </c>
      <c r="AH195" s="1" t="s">
        <v>58</v>
      </c>
      <c r="AI195" s="1" t="s">
        <v>59</v>
      </c>
      <c r="AJ195" s="1" t="s">
        <v>59</v>
      </c>
      <c r="AK195" s="1" t="s">
        <v>60</v>
      </c>
      <c r="AL195" s="1" t="s">
        <v>60</v>
      </c>
      <c r="AW195" s="1" t="s">
        <v>535</v>
      </c>
      <c r="AY195" s="1">
        <v>1.0</v>
      </c>
      <c r="AZ195" s="1">
        <v>89.99</v>
      </c>
      <c r="BB195" s="1">
        <v>89.99</v>
      </c>
    </row>
    <row r="196">
      <c r="A196" s="1" t="s">
        <v>533</v>
      </c>
      <c r="C196" s="1" t="s">
        <v>56</v>
      </c>
      <c r="D196" s="1" t="s">
        <v>534</v>
      </c>
      <c r="Y196" s="2">
        <v>45522.0</v>
      </c>
      <c r="AE196" s="1">
        <v>89.99</v>
      </c>
      <c r="AG196" s="3" t="str">
        <f>"2000006191184371"</f>
        <v>2000006191184371</v>
      </c>
      <c r="AH196" s="1" t="s">
        <v>58</v>
      </c>
      <c r="AI196" s="1" t="s">
        <v>59</v>
      </c>
      <c r="AJ196" s="1" t="s">
        <v>59</v>
      </c>
      <c r="AK196" s="1" t="s">
        <v>60</v>
      </c>
      <c r="AL196" s="1" t="s">
        <v>60</v>
      </c>
      <c r="AW196" s="1" t="s">
        <v>535</v>
      </c>
      <c r="AY196" s="1">
        <v>1.0</v>
      </c>
      <c r="AZ196" s="1">
        <v>89.99</v>
      </c>
      <c r="BB196" s="1">
        <v>89.99</v>
      </c>
    </row>
    <row r="197">
      <c r="A197" s="1" t="s">
        <v>536</v>
      </c>
      <c r="C197" s="1" t="s">
        <v>56</v>
      </c>
      <c r="D197" s="1" t="s">
        <v>537</v>
      </c>
      <c r="Y197" s="2">
        <v>45522.0</v>
      </c>
      <c r="AE197" s="1">
        <v>179.98</v>
      </c>
      <c r="AG197" s="3" t="str">
        <f>"2000006191175481"</f>
        <v>2000006191175481</v>
      </c>
      <c r="AH197" s="1" t="s">
        <v>58</v>
      </c>
      <c r="AI197" s="1" t="s">
        <v>59</v>
      </c>
      <c r="AJ197" s="1" t="s">
        <v>59</v>
      </c>
      <c r="AK197" s="1" t="s">
        <v>60</v>
      </c>
      <c r="AL197" s="1" t="s">
        <v>60</v>
      </c>
      <c r="AW197" s="1" t="s">
        <v>538</v>
      </c>
      <c r="AY197" s="1">
        <v>2.0</v>
      </c>
      <c r="AZ197" s="1">
        <v>89.99</v>
      </c>
      <c r="BB197" s="1">
        <v>179.98</v>
      </c>
    </row>
    <row r="198">
      <c r="A198" s="1" t="s">
        <v>539</v>
      </c>
      <c r="C198" s="1" t="s">
        <v>56</v>
      </c>
      <c r="D198" s="1" t="s">
        <v>540</v>
      </c>
      <c r="Y198" s="2">
        <v>45522.0</v>
      </c>
      <c r="AE198" s="1">
        <v>73.99</v>
      </c>
      <c r="AG198" s="3" t="str">
        <f>"2000006191156153"</f>
        <v>2000006191156153</v>
      </c>
      <c r="AH198" s="1" t="s">
        <v>58</v>
      </c>
      <c r="AI198" s="1" t="s">
        <v>59</v>
      </c>
      <c r="AJ198" s="1" t="s">
        <v>59</v>
      </c>
      <c r="AK198" s="1" t="s">
        <v>60</v>
      </c>
      <c r="AL198" s="1" t="s">
        <v>60</v>
      </c>
      <c r="AW198" s="1" t="s">
        <v>541</v>
      </c>
      <c r="AY198" s="1">
        <v>1.0</v>
      </c>
      <c r="AZ198" s="1">
        <v>73.99</v>
      </c>
      <c r="BB198" s="1">
        <v>73.99</v>
      </c>
    </row>
    <row r="199">
      <c r="A199" s="1" t="s">
        <v>153</v>
      </c>
      <c r="C199" s="1" t="s">
        <v>56</v>
      </c>
      <c r="D199" s="1" t="s">
        <v>542</v>
      </c>
      <c r="Y199" s="2">
        <v>45522.0</v>
      </c>
      <c r="AE199" s="1">
        <v>47.18</v>
      </c>
      <c r="AG199" s="3" t="str">
        <f>"2000006191148371"</f>
        <v>2000006191148371</v>
      </c>
      <c r="AH199" s="1" t="s">
        <v>58</v>
      </c>
      <c r="AI199" s="1" t="s">
        <v>59</v>
      </c>
      <c r="AJ199" s="1" t="s">
        <v>59</v>
      </c>
      <c r="AK199" s="1" t="s">
        <v>60</v>
      </c>
      <c r="AL199" s="1" t="s">
        <v>60</v>
      </c>
      <c r="AW199" s="1" t="s">
        <v>155</v>
      </c>
      <c r="AY199" s="1">
        <v>1.0</v>
      </c>
      <c r="AZ199" s="1">
        <v>47.18</v>
      </c>
      <c r="BB199" s="1">
        <v>47.18</v>
      </c>
    </row>
    <row r="200">
      <c r="A200" s="1" t="s">
        <v>195</v>
      </c>
      <c r="C200" s="1" t="s">
        <v>56</v>
      </c>
      <c r="D200" s="1" t="s">
        <v>543</v>
      </c>
      <c r="Y200" s="2">
        <v>45522.0</v>
      </c>
      <c r="AE200" s="1">
        <v>47.99</v>
      </c>
      <c r="AG200" s="3" t="str">
        <f>"2000006191138591"</f>
        <v>2000006191138591</v>
      </c>
      <c r="AH200" s="1" t="s">
        <v>58</v>
      </c>
      <c r="AI200" s="1" t="s">
        <v>59</v>
      </c>
      <c r="AJ200" s="1" t="s">
        <v>59</v>
      </c>
      <c r="AK200" s="1" t="s">
        <v>60</v>
      </c>
      <c r="AL200" s="1" t="s">
        <v>60</v>
      </c>
      <c r="AW200" s="1" t="s">
        <v>197</v>
      </c>
      <c r="AY200" s="1">
        <v>1.0</v>
      </c>
      <c r="AZ200" s="1">
        <v>47.99</v>
      </c>
      <c r="BB200" s="1">
        <v>47.99</v>
      </c>
    </row>
    <row r="201">
      <c r="A201" s="1" t="s">
        <v>544</v>
      </c>
      <c r="C201" s="1" t="s">
        <v>56</v>
      </c>
      <c r="D201" s="1" t="s">
        <v>545</v>
      </c>
      <c r="Y201" s="2">
        <v>45521.0</v>
      </c>
      <c r="AE201" s="1">
        <v>54.99</v>
      </c>
      <c r="AG201" s="3" t="str">
        <f>"2000006191119079"</f>
        <v>2000006191119079</v>
      </c>
      <c r="AH201" s="1" t="s">
        <v>58</v>
      </c>
      <c r="AI201" s="1" t="s">
        <v>59</v>
      </c>
      <c r="AJ201" s="1" t="s">
        <v>59</v>
      </c>
      <c r="AK201" s="1" t="s">
        <v>60</v>
      </c>
      <c r="AL201" s="1" t="s">
        <v>60</v>
      </c>
      <c r="AW201" s="1" t="s">
        <v>133</v>
      </c>
      <c r="AY201" s="1">
        <v>1.0</v>
      </c>
      <c r="AZ201" s="1">
        <v>54.99</v>
      </c>
      <c r="BB201" s="1">
        <v>54.99</v>
      </c>
    </row>
    <row r="202">
      <c r="A202" s="1" t="s">
        <v>332</v>
      </c>
      <c r="C202" s="1" t="s">
        <v>56</v>
      </c>
      <c r="D202" s="1" t="s">
        <v>546</v>
      </c>
      <c r="Y202" s="2">
        <v>45521.0</v>
      </c>
      <c r="AE202" s="1">
        <v>84.99</v>
      </c>
      <c r="AG202" s="3" t="str">
        <f>"2000006191101541"</f>
        <v>2000006191101541</v>
      </c>
      <c r="AH202" s="1" t="s">
        <v>58</v>
      </c>
      <c r="AI202" s="1" t="s">
        <v>59</v>
      </c>
      <c r="AJ202" s="1" t="s">
        <v>59</v>
      </c>
      <c r="AK202" s="1" t="s">
        <v>60</v>
      </c>
      <c r="AL202" s="1" t="s">
        <v>60</v>
      </c>
      <c r="AW202" s="1" t="s">
        <v>334</v>
      </c>
      <c r="AY202" s="1">
        <v>1.0</v>
      </c>
      <c r="AZ202" s="1">
        <v>84.99</v>
      </c>
      <c r="BB202" s="1">
        <v>84.99</v>
      </c>
    </row>
    <row r="203">
      <c r="A203" s="1" t="s">
        <v>457</v>
      </c>
      <c r="C203" s="1" t="s">
        <v>56</v>
      </c>
      <c r="D203" s="1" t="s">
        <v>547</v>
      </c>
      <c r="Y203" s="2">
        <v>45521.0</v>
      </c>
      <c r="AE203" s="1">
        <v>139.99</v>
      </c>
      <c r="AG203" s="3" t="str">
        <f>"2000006191000305"</f>
        <v>2000006191000305</v>
      </c>
      <c r="AH203" s="1" t="s">
        <v>58</v>
      </c>
      <c r="AI203" s="1" t="s">
        <v>59</v>
      </c>
      <c r="AJ203" s="1" t="s">
        <v>59</v>
      </c>
      <c r="AK203" s="1" t="s">
        <v>60</v>
      </c>
      <c r="AL203" s="1" t="s">
        <v>60</v>
      </c>
      <c r="AW203" s="1" t="s">
        <v>279</v>
      </c>
      <c r="AY203" s="1">
        <v>1.0</v>
      </c>
      <c r="AZ203" s="1">
        <v>139.99</v>
      </c>
      <c r="BB203" s="1">
        <v>139.99</v>
      </c>
    </row>
    <row r="204">
      <c r="A204" s="1" t="s">
        <v>396</v>
      </c>
      <c r="C204" s="1" t="s">
        <v>56</v>
      </c>
      <c r="D204" s="1" t="s">
        <v>548</v>
      </c>
      <c r="Y204" s="2">
        <v>45521.0</v>
      </c>
      <c r="AE204" s="1">
        <v>259.99</v>
      </c>
      <c r="AG204" s="3" t="str">
        <f>"2000006191023931"</f>
        <v>2000006191023931</v>
      </c>
      <c r="AH204" s="1" t="s">
        <v>58</v>
      </c>
      <c r="AI204" s="1" t="s">
        <v>59</v>
      </c>
      <c r="AJ204" s="1" t="s">
        <v>59</v>
      </c>
      <c r="AK204" s="1" t="s">
        <v>60</v>
      </c>
      <c r="AL204" s="1" t="s">
        <v>60</v>
      </c>
      <c r="AW204" s="1" t="s">
        <v>398</v>
      </c>
      <c r="AY204" s="1">
        <v>1.0</v>
      </c>
      <c r="AZ204" s="1">
        <v>259.99</v>
      </c>
      <c r="BB204" s="1">
        <v>259.99</v>
      </c>
    </row>
    <row r="205">
      <c r="A205" s="1" t="s">
        <v>549</v>
      </c>
      <c r="C205" s="1" t="s">
        <v>56</v>
      </c>
      <c r="D205" s="1" t="s">
        <v>550</v>
      </c>
      <c r="Y205" s="2">
        <v>45521.0</v>
      </c>
      <c r="AE205" s="1">
        <v>79.99</v>
      </c>
      <c r="AG205" s="3" t="str">
        <f>"2000006191050051"</f>
        <v>2000006191050051</v>
      </c>
      <c r="AH205" s="1" t="s">
        <v>58</v>
      </c>
      <c r="AI205" s="1" t="s">
        <v>59</v>
      </c>
      <c r="AJ205" s="1" t="s">
        <v>59</v>
      </c>
      <c r="AK205" s="1" t="s">
        <v>60</v>
      </c>
      <c r="AL205" s="1" t="s">
        <v>60</v>
      </c>
      <c r="AW205" s="1" t="s">
        <v>551</v>
      </c>
      <c r="AY205" s="1">
        <v>1.0</v>
      </c>
      <c r="AZ205" s="1">
        <v>79.99</v>
      </c>
      <c r="BB205" s="1">
        <v>79.99</v>
      </c>
    </row>
    <row r="206">
      <c r="A206" s="1" t="s">
        <v>536</v>
      </c>
      <c r="C206" s="1" t="s">
        <v>56</v>
      </c>
      <c r="D206" s="1" t="s">
        <v>552</v>
      </c>
      <c r="Y206" s="2">
        <v>45521.0</v>
      </c>
      <c r="AE206" s="1">
        <v>89.99</v>
      </c>
      <c r="AG206" s="3" t="str">
        <f>"2000006191047249"</f>
        <v>2000006191047249</v>
      </c>
      <c r="AH206" s="1" t="s">
        <v>58</v>
      </c>
      <c r="AI206" s="1" t="s">
        <v>59</v>
      </c>
      <c r="AJ206" s="1" t="s">
        <v>59</v>
      </c>
      <c r="AK206" s="1" t="s">
        <v>60</v>
      </c>
      <c r="AL206" s="1" t="s">
        <v>60</v>
      </c>
      <c r="AW206" s="1" t="s">
        <v>538</v>
      </c>
      <c r="AY206" s="1">
        <v>1.0</v>
      </c>
      <c r="AZ206" s="1">
        <v>89.99</v>
      </c>
      <c r="BB206" s="1">
        <v>89.99</v>
      </c>
    </row>
    <row r="207">
      <c r="A207" s="1" t="s">
        <v>553</v>
      </c>
      <c r="C207" s="1" t="s">
        <v>56</v>
      </c>
      <c r="D207" s="1" t="s">
        <v>554</v>
      </c>
      <c r="Y207" s="2">
        <v>45521.0</v>
      </c>
      <c r="AE207" s="1">
        <v>169.99</v>
      </c>
      <c r="AG207" s="3" t="str">
        <f>"2000006183700713"</f>
        <v>2000006183700713</v>
      </c>
      <c r="AH207" s="1" t="s">
        <v>58</v>
      </c>
      <c r="AI207" s="1" t="s">
        <v>59</v>
      </c>
      <c r="AJ207" s="1" t="s">
        <v>59</v>
      </c>
      <c r="AK207" s="1" t="s">
        <v>60</v>
      </c>
      <c r="AL207" s="1" t="s">
        <v>60</v>
      </c>
      <c r="AW207" s="1" t="s">
        <v>555</v>
      </c>
      <c r="AY207" s="1">
        <v>1.0</v>
      </c>
      <c r="AZ207" s="1">
        <v>169.99</v>
      </c>
      <c r="BB207" s="1">
        <v>169.99</v>
      </c>
    </row>
    <row r="208">
      <c r="A208" s="1" t="s">
        <v>556</v>
      </c>
      <c r="C208" s="1" t="s">
        <v>56</v>
      </c>
      <c r="D208" s="1" t="s">
        <v>557</v>
      </c>
      <c r="Y208" s="2">
        <v>45521.0</v>
      </c>
      <c r="AE208" s="1">
        <v>59.99</v>
      </c>
      <c r="AG208" s="3" t="str">
        <f t="shared" ref="AG208:AG209" si="6">"2000006191030073"</f>
        <v>2000006191030073</v>
      </c>
      <c r="AH208" s="1" t="s">
        <v>58</v>
      </c>
      <c r="AI208" s="1" t="s">
        <v>59</v>
      </c>
      <c r="AJ208" s="1" t="s">
        <v>59</v>
      </c>
      <c r="AK208" s="1" t="s">
        <v>60</v>
      </c>
      <c r="AL208" s="1" t="s">
        <v>60</v>
      </c>
      <c r="AW208" s="1" t="s">
        <v>558</v>
      </c>
      <c r="AY208" s="1">
        <v>1.0</v>
      </c>
      <c r="AZ208" s="1">
        <v>59.99</v>
      </c>
      <c r="BB208" s="1">
        <v>59.99</v>
      </c>
    </row>
    <row r="209">
      <c r="A209" s="1" t="s">
        <v>559</v>
      </c>
      <c r="C209" s="1" t="s">
        <v>56</v>
      </c>
      <c r="D209" s="1" t="s">
        <v>557</v>
      </c>
      <c r="Y209" s="2">
        <v>45521.0</v>
      </c>
      <c r="AE209" s="1">
        <v>59.99</v>
      </c>
      <c r="AG209" s="3" t="str">
        <f t="shared" si="6"/>
        <v>2000006191030073</v>
      </c>
      <c r="AH209" s="1" t="s">
        <v>58</v>
      </c>
      <c r="AI209" s="1" t="s">
        <v>59</v>
      </c>
      <c r="AJ209" s="1" t="s">
        <v>59</v>
      </c>
      <c r="AK209" s="1" t="s">
        <v>60</v>
      </c>
      <c r="AL209" s="1" t="s">
        <v>60</v>
      </c>
      <c r="AW209" s="1" t="s">
        <v>558</v>
      </c>
      <c r="AY209" s="1">
        <v>1.0</v>
      </c>
      <c r="AZ209" s="1">
        <v>59.99</v>
      </c>
      <c r="BB209" s="1">
        <v>59.99</v>
      </c>
    </row>
    <row r="210">
      <c r="A210" s="1" t="s">
        <v>560</v>
      </c>
      <c r="C210" s="1" t="s">
        <v>56</v>
      </c>
      <c r="D210" s="1" t="s">
        <v>561</v>
      </c>
      <c r="Y210" s="2">
        <v>45521.0</v>
      </c>
      <c r="AE210" s="1">
        <v>179.98</v>
      </c>
      <c r="AG210" s="3" t="str">
        <f>"2000006191031835"</f>
        <v>2000006191031835</v>
      </c>
      <c r="AH210" s="1" t="s">
        <v>58</v>
      </c>
      <c r="AI210" s="1" t="s">
        <v>59</v>
      </c>
      <c r="AJ210" s="1" t="s">
        <v>59</v>
      </c>
      <c r="AK210" s="1" t="s">
        <v>60</v>
      </c>
      <c r="AL210" s="1" t="s">
        <v>60</v>
      </c>
      <c r="AW210" s="1" t="s">
        <v>562</v>
      </c>
      <c r="AY210" s="1">
        <v>2.0</v>
      </c>
      <c r="AZ210" s="1">
        <v>89.99</v>
      </c>
      <c r="BB210" s="1">
        <v>179.98</v>
      </c>
    </row>
    <row r="211">
      <c r="A211" s="1" t="s">
        <v>457</v>
      </c>
      <c r="C211" s="1" t="s">
        <v>56</v>
      </c>
      <c r="D211" s="1" t="s">
        <v>563</v>
      </c>
      <c r="Y211" s="2">
        <v>45521.0</v>
      </c>
      <c r="AE211" s="1">
        <v>139.99</v>
      </c>
      <c r="AG211" s="3" t="str">
        <f>"2000006191029351"</f>
        <v>2000006191029351</v>
      </c>
      <c r="AH211" s="1" t="s">
        <v>58</v>
      </c>
      <c r="AI211" s="1" t="s">
        <v>59</v>
      </c>
      <c r="AJ211" s="1" t="s">
        <v>59</v>
      </c>
      <c r="AK211" s="1" t="s">
        <v>60</v>
      </c>
      <c r="AL211" s="1" t="s">
        <v>60</v>
      </c>
      <c r="AW211" s="1" t="s">
        <v>279</v>
      </c>
      <c r="AY211" s="1">
        <v>1.0</v>
      </c>
      <c r="AZ211" s="1">
        <v>139.99</v>
      </c>
      <c r="BB211" s="1">
        <v>139.99</v>
      </c>
    </row>
    <row r="212">
      <c r="A212" s="1" t="s">
        <v>564</v>
      </c>
      <c r="C212" s="1" t="s">
        <v>56</v>
      </c>
      <c r="D212" s="1" t="s">
        <v>565</v>
      </c>
      <c r="Y212" s="2">
        <v>45521.0</v>
      </c>
      <c r="AE212" s="1">
        <v>204.99</v>
      </c>
      <c r="AG212" s="3" t="str">
        <f>"2000006190973295"</f>
        <v>2000006190973295</v>
      </c>
      <c r="AH212" s="1" t="s">
        <v>58</v>
      </c>
      <c r="AI212" s="1" t="s">
        <v>59</v>
      </c>
      <c r="AJ212" s="1" t="s">
        <v>59</v>
      </c>
      <c r="AK212" s="1" t="s">
        <v>60</v>
      </c>
      <c r="AL212" s="1" t="s">
        <v>60</v>
      </c>
      <c r="AW212" s="1" t="s">
        <v>566</v>
      </c>
      <c r="AY212" s="1">
        <v>1.0</v>
      </c>
      <c r="AZ212" s="1">
        <v>204.99</v>
      </c>
      <c r="BB212" s="1">
        <v>204.99</v>
      </c>
    </row>
    <row r="213">
      <c r="A213" s="1" t="s">
        <v>567</v>
      </c>
      <c r="C213" s="1" t="s">
        <v>56</v>
      </c>
      <c r="D213" s="1" t="s">
        <v>568</v>
      </c>
      <c r="Y213" s="2">
        <v>45521.0</v>
      </c>
      <c r="AE213" s="1">
        <v>44.99</v>
      </c>
      <c r="AG213" s="3" t="str">
        <f>"2000006191007909"</f>
        <v>2000006191007909</v>
      </c>
      <c r="AH213" s="1" t="s">
        <v>58</v>
      </c>
      <c r="AI213" s="1" t="s">
        <v>59</v>
      </c>
      <c r="AJ213" s="1" t="s">
        <v>59</v>
      </c>
      <c r="AK213" s="1" t="s">
        <v>60</v>
      </c>
      <c r="AL213" s="1" t="s">
        <v>60</v>
      </c>
      <c r="AW213" s="1" t="s">
        <v>569</v>
      </c>
      <c r="AY213" s="1">
        <v>1.0</v>
      </c>
      <c r="AZ213" s="1">
        <v>44.99</v>
      </c>
      <c r="BB213" s="1">
        <v>44.99</v>
      </c>
    </row>
    <row r="214">
      <c r="A214" s="1" t="s">
        <v>77</v>
      </c>
      <c r="C214" s="1" t="s">
        <v>56</v>
      </c>
      <c r="D214" s="1" t="s">
        <v>570</v>
      </c>
      <c r="Y214" s="2">
        <v>45521.0</v>
      </c>
      <c r="AE214" s="1">
        <v>64.99</v>
      </c>
      <c r="AG214" s="3" t="str">
        <f>"2000006191009143"</f>
        <v>2000006191009143</v>
      </c>
      <c r="AH214" s="1" t="s">
        <v>58</v>
      </c>
      <c r="AI214" s="1" t="s">
        <v>59</v>
      </c>
      <c r="AJ214" s="1" t="s">
        <v>59</v>
      </c>
      <c r="AK214" s="1" t="s">
        <v>60</v>
      </c>
      <c r="AL214" s="1" t="s">
        <v>60</v>
      </c>
      <c r="AW214" s="1" t="s">
        <v>79</v>
      </c>
      <c r="AY214" s="1">
        <v>1.0</v>
      </c>
      <c r="AZ214" s="1">
        <v>64.99</v>
      </c>
      <c r="BB214" s="1">
        <v>64.99</v>
      </c>
    </row>
    <row r="215">
      <c r="A215" s="1" t="s">
        <v>178</v>
      </c>
      <c r="C215" s="1" t="s">
        <v>56</v>
      </c>
      <c r="D215" s="1" t="s">
        <v>571</v>
      </c>
      <c r="Y215" s="2">
        <v>45521.0</v>
      </c>
      <c r="AE215" s="1">
        <v>134.99</v>
      </c>
      <c r="AG215" s="3" t="str">
        <f>"2000006190988843"</f>
        <v>2000006190988843</v>
      </c>
      <c r="AH215" s="1" t="s">
        <v>58</v>
      </c>
      <c r="AI215" s="1" t="s">
        <v>59</v>
      </c>
      <c r="AJ215" s="1" t="s">
        <v>59</v>
      </c>
      <c r="AK215" s="1" t="s">
        <v>60</v>
      </c>
      <c r="AL215" s="1" t="s">
        <v>60</v>
      </c>
      <c r="AW215" s="1" t="s">
        <v>180</v>
      </c>
      <c r="AY215" s="1">
        <v>1.0</v>
      </c>
      <c r="AZ215" s="1">
        <v>134.99</v>
      </c>
      <c r="BB215" s="1">
        <v>134.99</v>
      </c>
    </row>
    <row r="216">
      <c r="A216" s="1" t="s">
        <v>572</v>
      </c>
      <c r="C216" s="1" t="s">
        <v>56</v>
      </c>
      <c r="D216" s="1" t="s">
        <v>573</v>
      </c>
      <c r="Y216" s="2">
        <v>45521.0</v>
      </c>
      <c r="AE216" s="1">
        <v>84.99</v>
      </c>
      <c r="AG216" s="3" t="str">
        <f>"2000006190979769"</f>
        <v>2000006190979769</v>
      </c>
      <c r="AH216" s="1" t="s">
        <v>58</v>
      </c>
      <c r="AI216" s="1" t="s">
        <v>59</v>
      </c>
      <c r="AJ216" s="1" t="s">
        <v>59</v>
      </c>
      <c r="AK216" s="1" t="s">
        <v>60</v>
      </c>
      <c r="AL216" s="1" t="s">
        <v>60</v>
      </c>
      <c r="AW216" s="1" t="s">
        <v>574</v>
      </c>
      <c r="AY216" s="1">
        <v>1.0</v>
      </c>
      <c r="AZ216" s="1">
        <v>84.99</v>
      </c>
      <c r="BB216" s="1">
        <v>84.99</v>
      </c>
    </row>
    <row r="217">
      <c r="A217" s="1" t="s">
        <v>575</v>
      </c>
      <c r="C217" s="1" t="s">
        <v>56</v>
      </c>
      <c r="D217" s="1" t="s">
        <v>576</v>
      </c>
      <c r="Y217" s="2">
        <v>45521.0</v>
      </c>
      <c r="AE217" s="1">
        <v>49.99</v>
      </c>
      <c r="AG217" s="3" t="str">
        <f t="shared" ref="AG217:AG219" si="7">"2000006190979103"</f>
        <v>2000006190979103</v>
      </c>
      <c r="AH217" s="1" t="s">
        <v>58</v>
      </c>
      <c r="AI217" s="1" t="s">
        <v>59</v>
      </c>
      <c r="AJ217" s="1" t="s">
        <v>59</v>
      </c>
      <c r="AK217" s="1" t="s">
        <v>60</v>
      </c>
      <c r="AL217" s="1" t="s">
        <v>60</v>
      </c>
      <c r="AW217" s="1" t="s">
        <v>97</v>
      </c>
      <c r="AY217" s="1">
        <v>1.0</v>
      </c>
      <c r="AZ217" s="1">
        <v>49.99</v>
      </c>
      <c r="BB217" s="1">
        <v>49.99</v>
      </c>
    </row>
    <row r="218">
      <c r="A218" s="1" t="s">
        <v>536</v>
      </c>
      <c r="C218" s="1" t="s">
        <v>56</v>
      </c>
      <c r="D218" s="1" t="s">
        <v>576</v>
      </c>
      <c r="Y218" s="2">
        <v>45521.0</v>
      </c>
      <c r="AE218" s="1">
        <v>89.99</v>
      </c>
      <c r="AG218" s="3" t="str">
        <f t="shared" si="7"/>
        <v>2000006190979103</v>
      </c>
      <c r="AH218" s="1" t="s">
        <v>58</v>
      </c>
      <c r="AI218" s="1" t="s">
        <v>59</v>
      </c>
      <c r="AJ218" s="1" t="s">
        <v>59</v>
      </c>
      <c r="AK218" s="1" t="s">
        <v>60</v>
      </c>
      <c r="AL218" s="1" t="s">
        <v>60</v>
      </c>
      <c r="AW218" s="1" t="s">
        <v>538</v>
      </c>
      <c r="AY218" s="1">
        <v>1.0</v>
      </c>
      <c r="AZ218" s="1">
        <v>89.99</v>
      </c>
      <c r="BB218" s="1">
        <v>89.99</v>
      </c>
    </row>
    <row r="219">
      <c r="A219" s="1" t="s">
        <v>345</v>
      </c>
      <c r="C219" s="1" t="s">
        <v>56</v>
      </c>
      <c r="D219" s="1" t="s">
        <v>576</v>
      </c>
      <c r="Y219" s="2">
        <v>45521.0</v>
      </c>
      <c r="AE219" s="1">
        <v>164.99</v>
      </c>
      <c r="AG219" s="3" t="str">
        <f t="shared" si="7"/>
        <v>2000006190979103</v>
      </c>
      <c r="AH219" s="1" t="s">
        <v>58</v>
      </c>
      <c r="AI219" s="1" t="s">
        <v>59</v>
      </c>
      <c r="AJ219" s="1" t="s">
        <v>59</v>
      </c>
      <c r="AK219" s="1" t="s">
        <v>60</v>
      </c>
      <c r="AL219" s="1" t="s">
        <v>60</v>
      </c>
      <c r="AW219" s="1" t="s">
        <v>347</v>
      </c>
      <c r="AY219" s="1">
        <v>1.0</v>
      </c>
      <c r="AZ219" s="1">
        <v>164.99</v>
      </c>
      <c r="BB219" s="1">
        <v>164.99</v>
      </c>
    </row>
    <row r="220">
      <c r="A220" s="1" t="s">
        <v>577</v>
      </c>
      <c r="C220" s="1" t="s">
        <v>56</v>
      </c>
      <c r="D220" s="1" t="s">
        <v>578</v>
      </c>
      <c r="Y220" s="2">
        <v>45521.0</v>
      </c>
      <c r="AE220" s="1">
        <v>52.99</v>
      </c>
      <c r="AG220" s="3" t="str">
        <f>"2000006190964091"</f>
        <v>2000006190964091</v>
      </c>
      <c r="AH220" s="1" t="s">
        <v>58</v>
      </c>
      <c r="AI220" s="1" t="s">
        <v>59</v>
      </c>
      <c r="AJ220" s="1" t="s">
        <v>59</v>
      </c>
      <c r="AK220" s="1" t="s">
        <v>60</v>
      </c>
      <c r="AL220" s="1" t="s">
        <v>60</v>
      </c>
      <c r="AW220" s="1" t="s">
        <v>579</v>
      </c>
      <c r="AY220" s="1">
        <v>1.0</v>
      </c>
      <c r="AZ220" s="1">
        <v>52.99</v>
      </c>
      <c r="BB220" s="1">
        <v>52.99</v>
      </c>
    </row>
    <row r="221">
      <c r="A221" s="1" t="s">
        <v>514</v>
      </c>
      <c r="C221" s="1" t="s">
        <v>56</v>
      </c>
      <c r="D221" s="1" t="s">
        <v>580</v>
      </c>
      <c r="Y221" s="2">
        <v>45521.0</v>
      </c>
      <c r="AE221" s="1">
        <v>119.98</v>
      </c>
      <c r="AG221" s="3" t="str">
        <f>"2000006190919681"</f>
        <v>2000006190919681</v>
      </c>
      <c r="AH221" s="1" t="s">
        <v>58</v>
      </c>
      <c r="AI221" s="1" t="s">
        <v>59</v>
      </c>
      <c r="AJ221" s="1" t="s">
        <v>59</v>
      </c>
      <c r="AK221" s="1" t="s">
        <v>60</v>
      </c>
      <c r="AL221" s="1" t="s">
        <v>60</v>
      </c>
      <c r="AW221" s="1" t="s">
        <v>516</v>
      </c>
      <c r="AY221" s="1">
        <v>2.0</v>
      </c>
      <c r="AZ221" s="1">
        <v>59.99</v>
      </c>
      <c r="BB221" s="1">
        <v>119.98</v>
      </c>
    </row>
    <row r="222">
      <c r="A222" s="1" t="s">
        <v>299</v>
      </c>
      <c r="C222" s="1" t="s">
        <v>56</v>
      </c>
      <c r="D222" s="1" t="s">
        <v>581</v>
      </c>
      <c r="Y222" s="2">
        <v>45521.0</v>
      </c>
      <c r="AE222" s="1">
        <v>59.99</v>
      </c>
      <c r="AG222" s="3" t="str">
        <f>"2000006190831627"</f>
        <v>2000006190831627</v>
      </c>
      <c r="AH222" s="1" t="s">
        <v>58</v>
      </c>
      <c r="AI222" s="1" t="s">
        <v>59</v>
      </c>
      <c r="AJ222" s="1" t="s">
        <v>59</v>
      </c>
      <c r="AK222" s="1" t="s">
        <v>60</v>
      </c>
      <c r="AL222" s="1" t="s">
        <v>60</v>
      </c>
      <c r="AW222" s="1" t="s">
        <v>301</v>
      </c>
      <c r="AY222" s="1">
        <v>1.0</v>
      </c>
      <c r="AZ222" s="1">
        <v>59.99</v>
      </c>
      <c r="BB222" s="1">
        <v>59.99</v>
      </c>
    </row>
    <row r="223">
      <c r="A223" s="1" t="s">
        <v>156</v>
      </c>
      <c r="C223" s="1" t="s">
        <v>56</v>
      </c>
      <c r="D223" s="1" t="s">
        <v>582</v>
      </c>
      <c r="Y223" s="2">
        <v>45521.0</v>
      </c>
      <c r="AE223" s="1">
        <v>59.99</v>
      </c>
      <c r="AG223" s="3" t="str">
        <f>"2000006190913233"</f>
        <v>2000006190913233</v>
      </c>
      <c r="AH223" s="1" t="s">
        <v>58</v>
      </c>
      <c r="AI223" s="1" t="s">
        <v>59</v>
      </c>
      <c r="AJ223" s="1" t="s">
        <v>59</v>
      </c>
      <c r="AK223" s="1" t="s">
        <v>60</v>
      </c>
      <c r="AL223" s="1" t="s">
        <v>60</v>
      </c>
      <c r="AW223" s="1" t="s">
        <v>158</v>
      </c>
      <c r="AY223" s="1">
        <v>1.0</v>
      </c>
      <c r="AZ223" s="1">
        <v>59.99</v>
      </c>
      <c r="BB223" s="1">
        <v>59.99</v>
      </c>
    </row>
    <row r="224">
      <c r="A224" s="1" t="s">
        <v>583</v>
      </c>
      <c r="C224" s="1" t="s">
        <v>56</v>
      </c>
      <c r="D224" s="1" t="s">
        <v>584</v>
      </c>
      <c r="Y224" s="2">
        <v>45521.0</v>
      </c>
      <c r="AE224" s="1">
        <v>269.99</v>
      </c>
      <c r="AG224" s="3" t="str">
        <f>"2000009064823564"</f>
        <v>2000009064823564</v>
      </c>
      <c r="AH224" s="1" t="s">
        <v>58</v>
      </c>
      <c r="AI224" s="1" t="s">
        <v>59</v>
      </c>
      <c r="AJ224" s="1" t="s">
        <v>59</v>
      </c>
      <c r="AK224" s="1" t="s">
        <v>60</v>
      </c>
      <c r="AL224" s="1" t="s">
        <v>60</v>
      </c>
      <c r="AW224" s="1" t="s">
        <v>585</v>
      </c>
      <c r="AY224" s="1">
        <v>1.0</v>
      </c>
      <c r="AZ224" s="1">
        <v>269.99</v>
      </c>
      <c r="BB224" s="1">
        <v>269.99</v>
      </c>
    </row>
    <row r="225">
      <c r="A225" s="1" t="s">
        <v>586</v>
      </c>
      <c r="C225" s="1" t="s">
        <v>56</v>
      </c>
      <c r="D225" s="1" t="s">
        <v>587</v>
      </c>
      <c r="Y225" s="2">
        <v>45521.0</v>
      </c>
      <c r="AE225" s="1">
        <v>97.99</v>
      </c>
      <c r="AG225" s="3" t="str">
        <f>"2000006190830751"</f>
        <v>2000006190830751</v>
      </c>
      <c r="AH225" s="1" t="s">
        <v>58</v>
      </c>
      <c r="AI225" s="1" t="s">
        <v>59</v>
      </c>
      <c r="AJ225" s="1" t="s">
        <v>59</v>
      </c>
      <c r="AK225" s="1" t="s">
        <v>60</v>
      </c>
      <c r="AL225" s="1" t="s">
        <v>60</v>
      </c>
      <c r="AW225" s="1" t="s">
        <v>588</v>
      </c>
      <c r="AY225" s="1">
        <v>1.0</v>
      </c>
      <c r="AZ225" s="1">
        <v>97.99</v>
      </c>
      <c r="BB225" s="1">
        <v>97.99</v>
      </c>
    </row>
    <row r="226">
      <c r="A226" s="1" t="s">
        <v>201</v>
      </c>
      <c r="C226" s="1" t="s">
        <v>56</v>
      </c>
      <c r="D226" s="1" t="s">
        <v>589</v>
      </c>
      <c r="Y226" s="2">
        <v>45521.0</v>
      </c>
      <c r="AE226" s="1">
        <v>49.99</v>
      </c>
      <c r="AG226" s="3" t="str">
        <f>"2000006190866115"</f>
        <v>2000006190866115</v>
      </c>
      <c r="AH226" s="1" t="s">
        <v>58</v>
      </c>
      <c r="AI226" s="1" t="s">
        <v>59</v>
      </c>
      <c r="AJ226" s="1" t="s">
        <v>59</v>
      </c>
      <c r="AK226" s="1" t="s">
        <v>60</v>
      </c>
      <c r="AL226" s="1" t="s">
        <v>60</v>
      </c>
      <c r="AW226" s="1" t="s">
        <v>203</v>
      </c>
      <c r="AY226" s="1">
        <v>1.0</v>
      </c>
      <c r="AZ226" s="1">
        <v>49.99</v>
      </c>
      <c r="BB226" s="1">
        <v>49.99</v>
      </c>
    </row>
    <row r="227">
      <c r="A227" s="1" t="s">
        <v>195</v>
      </c>
      <c r="C227" s="1" t="s">
        <v>56</v>
      </c>
      <c r="D227" s="1" t="s">
        <v>590</v>
      </c>
      <c r="Y227" s="2">
        <v>45521.0</v>
      </c>
      <c r="AE227" s="1">
        <v>47.99</v>
      </c>
      <c r="AG227" s="3" t="str">
        <f>"2000006190855567"</f>
        <v>2000006190855567</v>
      </c>
      <c r="AH227" s="1" t="s">
        <v>58</v>
      </c>
      <c r="AI227" s="1" t="s">
        <v>59</v>
      </c>
      <c r="AJ227" s="1" t="s">
        <v>59</v>
      </c>
      <c r="AK227" s="1" t="s">
        <v>60</v>
      </c>
      <c r="AL227" s="1" t="s">
        <v>60</v>
      </c>
      <c r="AW227" s="1" t="s">
        <v>197</v>
      </c>
      <c r="AY227" s="1">
        <v>1.0</v>
      </c>
      <c r="AZ227" s="1">
        <v>47.99</v>
      </c>
      <c r="BB227" s="1">
        <v>47.99</v>
      </c>
    </row>
    <row r="228">
      <c r="A228" s="1" t="s">
        <v>564</v>
      </c>
      <c r="C228" s="1" t="s">
        <v>56</v>
      </c>
      <c r="D228" s="1" t="s">
        <v>591</v>
      </c>
      <c r="Y228" s="2">
        <v>45521.0</v>
      </c>
      <c r="AE228" s="1">
        <v>204.99</v>
      </c>
      <c r="AG228" s="3" t="str">
        <f>"2000006190797033"</f>
        <v>2000006190797033</v>
      </c>
      <c r="AH228" s="1" t="s">
        <v>58</v>
      </c>
      <c r="AI228" s="1" t="s">
        <v>59</v>
      </c>
      <c r="AJ228" s="1" t="s">
        <v>59</v>
      </c>
      <c r="AK228" s="1" t="s">
        <v>60</v>
      </c>
      <c r="AL228" s="1" t="s">
        <v>60</v>
      </c>
      <c r="AW228" s="1" t="s">
        <v>566</v>
      </c>
      <c r="AY228" s="1">
        <v>1.0</v>
      </c>
      <c r="AZ228" s="1">
        <v>204.99</v>
      </c>
      <c r="BB228" s="1">
        <v>204.99</v>
      </c>
    </row>
    <row r="229">
      <c r="A229" s="1" t="s">
        <v>135</v>
      </c>
      <c r="C229" s="1" t="s">
        <v>235</v>
      </c>
      <c r="D229" s="1" t="s">
        <v>592</v>
      </c>
      <c r="Y229" s="2">
        <v>45521.0</v>
      </c>
      <c r="AE229" s="1">
        <v>89.99</v>
      </c>
      <c r="AG229" s="3" t="str">
        <f>"2000006190778289"</f>
        <v>2000006190778289</v>
      </c>
      <c r="AH229" s="1" t="s">
        <v>58</v>
      </c>
      <c r="AI229" s="1" t="s">
        <v>59</v>
      </c>
      <c r="AJ229" s="1" t="s">
        <v>59</v>
      </c>
      <c r="AK229" s="1" t="s">
        <v>60</v>
      </c>
      <c r="AL229" s="1" t="s">
        <v>60</v>
      </c>
      <c r="AW229" s="1" t="s">
        <v>137</v>
      </c>
      <c r="AY229" s="1">
        <v>1.0</v>
      </c>
      <c r="AZ229" s="1">
        <v>89.99</v>
      </c>
      <c r="BB229" s="1">
        <v>89.99</v>
      </c>
    </row>
    <row r="230">
      <c r="A230" s="1" t="s">
        <v>593</v>
      </c>
      <c r="C230" s="1" t="s">
        <v>56</v>
      </c>
      <c r="D230" s="1" t="s">
        <v>594</v>
      </c>
      <c r="Y230" s="2">
        <v>45521.0</v>
      </c>
      <c r="AE230" s="1">
        <v>64.99</v>
      </c>
      <c r="AG230" s="3" t="str">
        <f>"2000006190766995"</f>
        <v>2000006190766995</v>
      </c>
      <c r="AH230" s="1" t="s">
        <v>58</v>
      </c>
      <c r="AI230" s="1" t="s">
        <v>59</v>
      </c>
      <c r="AJ230" s="1" t="s">
        <v>59</v>
      </c>
      <c r="AK230" s="1" t="s">
        <v>60</v>
      </c>
      <c r="AL230" s="1" t="s">
        <v>60</v>
      </c>
      <c r="AW230" s="1" t="s">
        <v>595</v>
      </c>
      <c r="AY230" s="1">
        <v>1.0</v>
      </c>
      <c r="AZ230" s="1">
        <v>64.99</v>
      </c>
      <c r="BB230" s="1">
        <v>64.99</v>
      </c>
    </row>
    <row r="231">
      <c r="A231" s="1" t="s">
        <v>502</v>
      </c>
      <c r="C231" s="1" t="s">
        <v>56</v>
      </c>
      <c r="D231" s="1" t="s">
        <v>596</v>
      </c>
      <c r="Y231" s="2">
        <v>45521.0</v>
      </c>
      <c r="AE231" s="1">
        <v>99.99</v>
      </c>
      <c r="AG231" s="3" t="str">
        <f>"2000006190766681"</f>
        <v>2000006190766681</v>
      </c>
      <c r="AH231" s="1" t="s">
        <v>58</v>
      </c>
      <c r="AI231" s="1" t="s">
        <v>59</v>
      </c>
      <c r="AJ231" s="1" t="s">
        <v>59</v>
      </c>
      <c r="AK231" s="1" t="s">
        <v>60</v>
      </c>
      <c r="AL231" s="1" t="s">
        <v>60</v>
      </c>
      <c r="AW231" s="1" t="s">
        <v>504</v>
      </c>
      <c r="AY231" s="1">
        <v>1.0</v>
      </c>
      <c r="AZ231" s="1">
        <v>99.99</v>
      </c>
      <c r="BB231" s="1">
        <v>99.99</v>
      </c>
    </row>
    <row r="232">
      <c r="A232" s="1" t="s">
        <v>120</v>
      </c>
      <c r="C232" s="1" t="s">
        <v>56</v>
      </c>
      <c r="D232" s="1" t="s">
        <v>597</v>
      </c>
      <c r="Y232" s="2">
        <v>45521.0</v>
      </c>
      <c r="AE232" s="1">
        <v>58.99</v>
      </c>
      <c r="AG232" s="3" t="str">
        <f>"2000006190762359"</f>
        <v>2000006190762359</v>
      </c>
      <c r="AH232" s="1" t="s">
        <v>58</v>
      </c>
      <c r="AI232" s="1" t="s">
        <v>59</v>
      </c>
      <c r="AJ232" s="1" t="s">
        <v>59</v>
      </c>
      <c r="AK232" s="1" t="s">
        <v>60</v>
      </c>
      <c r="AL232" s="1" t="s">
        <v>60</v>
      </c>
      <c r="AW232" s="1" t="s">
        <v>110</v>
      </c>
      <c r="AY232" s="1">
        <v>1.0</v>
      </c>
      <c r="AZ232" s="1">
        <v>58.99</v>
      </c>
      <c r="BB232" s="1">
        <v>58.99</v>
      </c>
    </row>
    <row r="233">
      <c r="A233" s="1" t="s">
        <v>195</v>
      </c>
      <c r="C233" s="1" t="s">
        <v>56</v>
      </c>
      <c r="D233" s="1" t="s">
        <v>598</v>
      </c>
      <c r="Y233" s="2">
        <v>45521.0</v>
      </c>
      <c r="AE233" s="1">
        <v>47.99</v>
      </c>
      <c r="AG233" s="3" t="str">
        <f>"2000006190752595"</f>
        <v>2000006190752595</v>
      </c>
      <c r="AH233" s="1" t="s">
        <v>58</v>
      </c>
      <c r="AI233" s="1" t="s">
        <v>59</v>
      </c>
      <c r="AJ233" s="1" t="s">
        <v>59</v>
      </c>
      <c r="AK233" s="1" t="s">
        <v>60</v>
      </c>
      <c r="AL233" s="1" t="s">
        <v>60</v>
      </c>
      <c r="AW233" s="1" t="s">
        <v>197</v>
      </c>
      <c r="AY233" s="1">
        <v>1.0</v>
      </c>
      <c r="AZ233" s="1">
        <v>47.99</v>
      </c>
      <c r="BB233" s="1">
        <v>47.99</v>
      </c>
    </row>
    <row r="234">
      <c r="A234" s="1" t="s">
        <v>599</v>
      </c>
      <c r="C234" s="1" t="s">
        <v>56</v>
      </c>
      <c r="D234" s="1" t="s">
        <v>600</v>
      </c>
      <c r="Y234" s="2">
        <v>45521.0</v>
      </c>
      <c r="AE234" s="1">
        <v>164.99</v>
      </c>
      <c r="AG234" s="3" t="str">
        <f>"2000006190733537"</f>
        <v>2000006190733537</v>
      </c>
      <c r="AH234" s="1" t="s">
        <v>58</v>
      </c>
      <c r="AI234" s="1" t="s">
        <v>59</v>
      </c>
      <c r="AJ234" s="1" t="s">
        <v>59</v>
      </c>
      <c r="AK234" s="1" t="s">
        <v>60</v>
      </c>
      <c r="AL234" s="1" t="s">
        <v>60</v>
      </c>
      <c r="AW234" s="1" t="s">
        <v>601</v>
      </c>
      <c r="AY234" s="1">
        <v>1.0</v>
      </c>
      <c r="AZ234" s="1">
        <v>164.99</v>
      </c>
      <c r="BB234" s="1">
        <v>164.99</v>
      </c>
    </row>
    <row r="235">
      <c r="A235" s="1" t="s">
        <v>602</v>
      </c>
      <c r="C235" s="1" t="s">
        <v>56</v>
      </c>
      <c r="D235" s="1" t="s">
        <v>603</v>
      </c>
      <c r="Y235" s="2">
        <v>45521.0</v>
      </c>
      <c r="AE235" s="1">
        <v>84.99</v>
      </c>
      <c r="AG235" s="3" t="str">
        <f>"2000006190673727"</f>
        <v>2000006190673727</v>
      </c>
      <c r="AH235" s="1" t="s">
        <v>58</v>
      </c>
      <c r="AI235" s="1" t="s">
        <v>59</v>
      </c>
      <c r="AJ235" s="1" t="s">
        <v>59</v>
      </c>
      <c r="AK235" s="1" t="s">
        <v>60</v>
      </c>
      <c r="AL235" s="1" t="s">
        <v>60</v>
      </c>
      <c r="AW235" s="1" t="s">
        <v>604</v>
      </c>
      <c r="AY235" s="1">
        <v>1.0</v>
      </c>
      <c r="AZ235" s="1">
        <v>84.99</v>
      </c>
      <c r="BB235" s="1">
        <v>84.99</v>
      </c>
    </row>
    <row r="236">
      <c r="A236" s="1" t="s">
        <v>605</v>
      </c>
      <c r="C236" s="1" t="s">
        <v>56</v>
      </c>
      <c r="D236" s="1" t="s">
        <v>606</v>
      </c>
      <c r="Y236" s="2">
        <v>45521.0</v>
      </c>
      <c r="AE236" s="1">
        <v>89.99</v>
      </c>
      <c r="AG236" s="3" t="str">
        <f>"2000006190692219"</f>
        <v>2000006190692219</v>
      </c>
      <c r="AH236" s="1" t="s">
        <v>58</v>
      </c>
      <c r="AI236" s="1" t="s">
        <v>59</v>
      </c>
      <c r="AJ236" s="1" t="s">
        <v>59</v>
      </c>
      <c r="AK236" s="1" t="s">
        <v>60</v>
      </c>
      <c r="AL236" s="1" t="s">
        <v>60</v>
      </c>
      <c r="AW236" s="1" t="s">
        <v>607</v>
      </c>
      <c r="AY236" s="1">
        <v>1.0</v>
      </c>
      <c r="AZ236" s="1">
        <v>89.99</v>
      </c>
      <c r="BB236" s="1">
        <v>89.99</v>
      </c>
    </row>
    <row r="237">
      <c r="A237" s="1" t="s">
        <v>198</v>
      </c>
      <c r="C237" s="1" t="s">
        <v>56</v>
      </c>
      <c r="D237" s="1" t="s">
        <v>608</v>
      </c>
      <c r="Y237" s="2">
        <v>45521.0</v>
      </c>
      <c r="AE237" s="1">
        <v>49.99</v>
      </c>
      <c r="AG237" s="3" t="str">
        <f>"2000009064439796"</f>
        <v>2000009064439796</v>
      </c>
      <c r="AH237" s="1" t="s">
        <v>58</v>
      </c>
      <c r="AI237" s="1" t="s">
        <v>59</v>
      </c>
      <c r="AJ237" s="1" t="s">
        <v>59</v>
      </c>
      <c r="AK237" s="1" t="s">
        <v>60</v>
      </c>
      <c r="AL237" s="1" t="s">
        <v>60</v>
      </c>
      <c r="AW237" s="1" t="s">
        <v>200</v>
      </c>
      <c r="AY237" s="1">
        <v>1.0</v>
      </c>
      <c r="AZ237" s="1">
        <v>49.99</v>
      </c>
      <c r="BB237" s="1">
        <v>49.99</v>
      </c>
    </row>
    <row r="238">
      <c r="A238" s="1" t="s">
        <v>466</v>
      </c>
      <c r="C238" s="1" t="s">
        <v>235</v>
      </c>
      <c r="D238" s="1" t="s">
        <v>467</v>
      </c>
      <c r="Y238" s="2">
        <v>45521.0</v>
      </c>
      <c r="AE238" s="1">
        <v>94.99</v>
      </c>
      <c r="AG238" s="3" t="str">
        <f>"2000006190474111"</f>
        <v>2000006190474111</v>
      </c>
      <c r="AH238" s="1" t="s">
        <v>58</v>
      </c>
      <c r="AI238" s="1" t="s">
        <v>59</v>
      </c>
      <c r="AJ238" s="1" t="s">
        <v>59</v>
      </c>
      <c r="AK238" s="1" t="s">
        <v>60</v>
      </c>
      <c r="AL238" s="1" t="s">
        <v>60</v>
      </c>
      <c r="AW238" s="1" t="s">
        <v>468</v>
      </c>
      <c r="AY238" s="1">
        <v>1.0</v>
      </c>
      <c r="AZ238" s="1">
        <v>94.99</v>
      </c>
      <c r="BB238" s="1">
        <v>94.99</v>
      </c>
    </row>
    <row r="239">
      <c r="A239" s="1" t="s">
        <v>609</v>
      </c>
      <c r="C239" s="1" t="s">
        <v>56</v>
      </c>
      <c r="D239" s="1" t="s">
        <v>610</v>
      </c>
      <c r="Y239" s="2">
        <v>45521.0</v>
      </c>
      <c r="AE239" s="1">
        <v>119.99</v>
      </c>
      <c r="AG239" s="3" t="str">
        <f>"2000006190507339"</f>
        <v>2000006190507339</v>
      </c>
      <c r="AH239" s="1" t="s">
        <v>58</v>
      </c>
      <c r="AI239" s="1" t="s">
        <v>59</v>
      </c>
      <c r="AJ239" s="1" t="s">
        <v>59</v>
      </c>
      <c r="AK239" s="1" t="s">
        <v>60</v>
      </c>
      <c r="AL239" s="1" t="s">
        <v>60</v>
      </c>
      <c r="AW239" s="1" t="s">
        <v>611</v>
      </c>
      <c r="AY239" s="1">
        <v>1.0</v>
      </c>
      <c r="AZ239" s="1">
        <v>119.99</v>
      </c>
      <c r="BB239" s="1">
        <v>119.99</v>
      </c>
    </row>
    <row r="240">
      <c r="A240" s="1" t="s">
        <v>125</v>
      </c>
      <c r="C240" s="1" t="s">
        <v>56</v>
      </c>
      <c r="D240" s="1" t="s">
        <v>612</v>
      </c>
      <c r="Y240" s="2">
        <v>45521.0</v>
      </c>
      <c r="AE240" s="1">
        <v>49.99</v>
      </c>
      <c r="AG240" s="3" t="str">
        <f>"2000006190556719"</f>
        <v>2000006190556719</v>
      </c>
      <c r="AH240" s="1" t="s">
        <v>58</v>
      </c>
      <c r="AI240" s="1" t="s">
        <v>59</v>
      </c>
      <c r="AJ240" s="1" t="s">
        <v>59</v>
      </c>
      <c r="AK240" s="1" t="s">
        <v>60</v>
      </c>
      <c r="AL240" s="1" t="s">
        <v>60</v>
      </c>
      <c r="AW240" s="1" t="s">
        <v>127</v>
      </c>
      <c r="AY240" s="1">
        <v>1.0</v>
      </c>
      <c r="AZ240" s="1">
        <v>49.99</v>
      </c>
      <c r="BB240" s="1">
        <v>49.99</v>
      </c>
    </row>
    <row r="241">
      <c r="A241" s="1" t="s">
        <v>131</v>
      </c>
      <c r="C241" s="1" t="s">
        <v>56</v>
      </c>
      <c r="D241" s="1" t="s">
        <v>613</v>
      </c>
      <c r="Y241" s="2">
        <v>45521.0</v>
      </c>
      <c r="AE241" s="1">
        <v>54.99</v>
      </c>
      <c r="AG241" s="3" t="str">
        <f>"2000006190556151"</f>
        <v>2000006190556151</v>
      </c>
      <c r="AH241" s="1" t="s">
        <v>58</v>
      </c>
      <c r="AI241" s="1" t="s">
        <v>59</v>
      </c>
      <c r="AJ241" s="1" t="s">
        <v>59</v>
      </c>
      <c r="AK241" s="1" t="s">
        <v>60</v>
      </c>
      <c r="AL241" s="1" t="s">
        <v>60</v>
      </c>
      <c r="AW241" s="1" t="s">
        <v>133</v>
      </c>
      <c r="AY241" s="1">
        <v>1.0</v>
      </c>
      <c r="AZ241" s="1">
        <v>54.99</v>
      </c>
      <c r="BB241" s="1">
        <v>54.99</v>
      </c>
    </row>
    <row r="242">
      <c r="A242" s="1" t="s">
        <v>345</v>
      </c>
      <c r="C242" s="1" t="s">
        <v>56</v>
      </c>
      <c r="D242" s="1" t="s">
        <v>614</v>
      </c>
      <c r="Y242" s="2">
        <v>45521.0</v>
      </c>
      <c r="AE242" s="1">
        <v>164.99</v>
      </c>
      <c r="AG242" s="3" t="str">
        <f>"2000006190548631"</f>
        <v>2000006190548631</v>
      </c>
      <c r="AH242" s="1" t="s">
        <v>58</v>
      </c>
      <c r="AI242" s="1" t="s">
        <v>59</v>
      </c>
      <c r="AJ242" s="1" t="s">
        <v>59</v>
      </c>
      <c r="AK242" s="1" t="s">
        <v>60</v>
      </c>
      <c r="AL242" s="1" t="s">
        <v>60</v>
      </c>
      <c r="AW242" s="1" t="s">
        <v>347</v>
      </c>
      <c r="AY242" s="1">
        <v>1.0</v>
      </c>
      <c r="AZ242" s="1">
        <v>164.99</v>
      </c>
      <c r="BB242" s="1">
        <v>164.99</v>
      </c>
    </row>
    <row r="243">
      <c r="A243" s="1" t="s">
        <v>615</v>
      </c>
      <c r="C243" s="1" t="s">
        <v>56</v>
      </c>
      <c r="D243" s="1" t="s">
        <v>616</v>
      </c>
      <c r="Y243" s="2">
        <v>45521.0</v>
      </c>
      <c r="AE243" s="1">
        <v>99.99</v>
      </c>
      <c r="AG243" s="3" t="str">
        <f>"2000009064191920"</f>
        <v>2000009064191920</v>
      </c>
      <c r="AH243" s="1" t="s">
        <v>58</v>
      </c>
      <c r="AI243" s="1" t="s">
        <v>59</v>
      </c>
      <c r="AJ243" s="1" t="s">
        <v>59</v>
      </c>
      <c r="AK243" s="1" t="s">
        <v>60</v>
      </c>
      <c r="AL243" s="1" t="s">
        <v>60</v>
      </c>
      <c r="AW243" s="1" t="s">
        <v>617</v>
      </c>
      <c r="AY243" s="1">
        <v>1.0</v>
      </c>
      <c r="AZ243" s="1">
        <v>99.99</v>
      </c>
      <c r="BB243" s="1">
        <v>99.99</v>
      </c>
    </row>
    <row r="244">
      <c r="A244" s="1" t="s">
        <v>221</v>
      </c>
      <c r="C244" s="1" t="s">
        <v>56</v>
      </c>
      <c r="D244" s="1" t="s">
        <v>618</v>
      </c>
      <c r="Y244" s="2">
        <v>45521.0</v>
      </c>
      <c r="AE244" s="1">
        <v>99.99</v>
      </c>
      <c r="AG244" s="3" t="str">
        <f>"2000006190532411"</f>
        <v>2000006190532411</v>
      </c>
      <c r="AH244" s="1" t="s">
        <v>58</v>
      </c>
      <c r="AI244" s="1" t="s">
        <v>59</v>
      </c>
      <c r="AJ244" s="1" t="s">
        <v>59</v>
      </c>
      <c r="AK244" s="1" t="s">
        <v>60</v>
      </c>
      <c r="AL244" s="1" t="s">
        <v>60</v>
      </c>
      <c r="AW244" s="1" t="s">
        <v>223</v>
      </c>
      <c r="AY244" s="1">
        <v>1.0</v>
      </c>
      <c r="AZ244" s="1">
        <v>99.99</v>
      </c>
      <c r="BB244" s="1">
        <v>99.99</v>
      </c>
    </row>
    <row r="245">
      <c r="A245" s="1" t="s">
        <v>619</v>
      </c>
      <c r="C245" s="1" t="s">
        <v>56</v>
      </c>
      <c r="D245" s="1" t="s">
        <v>620</v>
      </c>
      <c r="Y245" s="2">
        <v>45521.0</v>
      </c>
      <c r="AE245" s="1">
        <v>139.99</v>
      </c>
      <c r="AG245" s="3" t="str">
        <f>"2000006190531237"</f>
        <v>2000006190531237</v>
      </c>
      <c r="AH245" s="1" t="s">
        <v>58</v>
      </c>
      <c r="AI245" s="1" t="s">
        <v>59</v>
      </c>
      <c r="AJ245" s="1" t="s">
        <v>59</v>
      </c>
      <c r="AK245" s="1" t="s">
        <v>60</v>
      </c>
      <c r="AL245" s="1" t="s">
        <v>60</v>
      </c>
      <c r="AW245" s="1" t="s">
        <v>621</v>
      </c>
      <c r="AY245" s="1">
        <v>1.0</v>
      </c>
      <c r="AZ245" s="1">
        <v>139.99</v>
      </c>
      <c r="BB245" s="1">
        <v>139.99</v>
      </c>
    </row>
    <row r="246">
      <c r="A246" s="1" t="s">
        <v>622</v>
      </c>
      <c r="C246" s="1" t="s">
        <v>56</v>
      </c>
      <c r="D246" s="1" t="s">
        <v>623</v>
      </c>
      <c r="Y246" s="2">
        <v>45521.0</v>
      </c>
      <c r="AE246" s="1">
        <v>649.99</v>
      </c>
      <c r="AG246" s="3" t="str">
        <f>"2000009064050822"</f>
        <v>2000009064050822</v>
      </c>
      <c r="AH246" s="1" t="s">
        <v>58</v>
      </c>
      <c r="AI246" s="1" t="s">
        <v>59</v>
      </c>
      <c r="AJ246" s="1" t="s">
        <v>59</v>
      </c>
      <c r="AK246" s="1" t="s">
        <v>60</v>
      </c>
      <c r="AL246" s="1" t="s">
        <v>60</v>
      </c>
      <c r="AW246" s="1" t="s">
        <v>624</v>
      </c>
      <c r="AY246" s="1">
        <v>1.0</v>
      </c>
      <c r="AZ246" s="1">
        <v>649.99</v>
      </c>
      <c r="BB246" s="1">
        <v>649.99</v>
      </c>
    </row>
    <row r="247">
      <c r="A247" s="1" t="s">
        <v>625</v>
      </c>
      <c r="C247" s="1" t="s">
        <v>56</v>
      </c>
      <c r="D247" s="1" t="s">
        <v>626</v>
      </c>
      <c r="Y247" s="2">
        <v>45521.0</v>
      </c>
      <c r="AE247" s="1">
        <v>89.99</v>
      </c>
      <c r="AG247" s="3" t="str">
        <f>"2000006190404461"</f>
        <v>2000006190404461</v>
      </c>
      <c r="AH247" s="1" t="s">
        <v>58</v>
      </c>
      <c r="AI247" s="1" t="s">
        <v>59</v>
      </c>
      <c r="AJ247" s="1" t="s">
        <v>59</v>
      </c>
      <c r="AK247" s="1" t="s">
        <v>60</v>
      </c>
      <c r="AL247" s="1" t="s">
        <v>60</v>
      </c>
      <c r="AW247" s="1" t="s">
        <v>627</v>
      </c>
      <c r="AY247" s="1">
        <v>1.0</v>
      </c>
      <c r="AZ247" s="1">
        <v>89.99</v>
      </c>
      <c r="BB247" s="1">
        <v>89.99</v>
      </c>
    </row>
    <row r="248">
      <c r="A248" s="1" t="s">
        <v>86</v>
      </c>
      <c r="C248" s="1" t="s">
        <v>56</v>
      </c>
      <c r="D248" s="1" t="s">
        <v>628</v>
      </c>
      <c r="Y248" s="2">
        <v>45521.0</v>
      </c>
      <c r="AE248" s="1">
        <v>64.99</v>
      </c>
      <c r="AG248" s="3" t="str">
        <f t="shared" ref="AG248:AG249" si="8">"2000006190393547"</f>
        <v>2000006190393547</v>
      </c>
      <c r="AH248" s="1" t="s">
        <v>58</v>
      </c>
      <c r="AI248" s="1" t="s">
        <v>59</v>
      </c>
      <c r="AJ248" s="1" t="s">
        <v>59</v>
      </c>
      <c r="AK248" s="1" t="s">
        <v>60</v>
      </c>
      <c r="AL248" s="1" t="s">
        <v>60</v>
      </c>
      <c r="AW248" s="1" t="s">
        <v>88</v>
      </c>
      <c r="AY248" s="1">
        <v>1.0</v>
      </c>
      <c r="AZ248" s="1">
        <v>64.99</v>
      </c>
      <c r="BB248" s="1">
        <v>64.99</v>
      </c>
    </row>
    <row r="249">
      <c r="A249" s="1" t="s">
        <v>505</v>
      </c>
      <c r="C249" s="1" t="s">
        <v>56</v>
      </c>
      <c r="D249" s="1" t="s">
        <v>628</v>
      </c>
      <c r="Y249" s="2">
        <v>45521.0</v>
      </c>
      <c r="AE249" s="1">
        <v>294.99</v>
      </c>
      <c r="AG249" s="3" t="str">
        <f t="shared" si="8"/>
        <v>2000006190393547</v>
      </c>
      <c r="AH249" s="1" t="s">
        <v>58</v>
      </c>
      <c r="AI249" s="1" t="s">
        <v>59</v>
      </c>
      <c r="AJ249" s="1" t="s">
        <v>59</v>
      </c>
      <c r="AK249" s="1" t="s">
        <v>60</v>
      </c>
      <c r="AL249" s="1" t="s">
        <v>60</v>
      </c>
      <c r="AW249" s="1" t="s">
        <v>507</v>
      </c>
      <c r="AY249" s="1">
        <v>1.0</v>
      </c>
      <c r="AZ249" s="1">
        <v>294.99</v>
      </c>
      <c r="BB249" s="1">
        <v>294.99</v>
      </c>
    </row>
    <row r="250">
      <c r="A250" s="1" t="s">
        <v>539</v>
      </c>
      <c r="C250" s="1" t="s">
        <v>56</v>
      </c>
      <c r="D250" s="1" t="s">
        <v>629</v>
      </c>
      <c r="Y250" s="2">
        <v>45521.0</v>
      </c>
      <c r="AE250" s="1">
        <v>73.99</v>
      </c>
      <c r="AG250" s="3" t="str">
        <f>"2000009063887972"</f>
        <v>2000009063887972</v>
      </c>
      <c r="AH250" s="1" t="s">
        <v>58</v>
      </c>
      <c r="AI250" s="1" t="s">
        <v>59</v>
      </c>
      <c r="AJ250" s="1" t="s">
        <v>59</v>
      </c>
      <c r="AK250" s="1" t="s">
        <v>60</v>
      </c>
      <c r="AL250" s="1" t="s">
        <v>60</v>
      </c>
      <c r="AW250" s="1" t="s">
        <v>541</v>
      </c>
      <c r="AY250" s="1">
        <v>1.0</v>
      </c>
      <c r="AZ250" s="1">
        <v>73.99</v>
      </c>
      <c r="BB250" s="1">
        <v>73.99</v>
      </c>
    </row>
    <row r="251">
      <c r="A251" s="1" t="s">
        <v>630</v>
      </c>
      <c r="C251" s="1" t="s">
        <v>56</v>
      </c>
      <c r="D251" s="1" t="s">
        <v>631</v>
      </c>
      <c r="Y251" s="2">
        <v>45521.0</v>
      </c>
      <c r="AE251" s="1">
        <v>189.99</v>
      </c>
      <c r="AG251" s="3" t="str">
        <f>"2000006190356229"</f>
        <v>2000006190356229</v>
      </c>
      <c r="AH251" s="1" t="s">
        <v>58</v>
      </c>
      <c r="AI251" s="1" t="s">
        <v>59</v>
      </c>
      <c r="AJ251" s="1" t="s">
        <v>59</v>
      </c>
      <c r="AK251" s="1" t="s">
        <v>60</v>
      </c>
      <c r="AL251" s="1" t="s">
        <v>60</v>
      </c>
      <c r="AW251" s="1" t="s">
        <v>632</v>
      </c>
      <c r="AY251" s="1">
        <v>1.0</v>
      </c>
      <c r="AZ251" s="1">
        <v>189.99</v>
      </c>
      <c r="BB251" s="1">
        <v>189.99</v>
      </c>
    </row>
    <row r="252">
      <c r="A252" s="1" t="s">
        <v>633</v>
      </c>
      <c r="C252" s="1" t="s">
        <v>56</v>
      </c>
      <c r="D252" s="1" t="s">
        <v>634</v>
      </c>
      <c r="Y252" s="2">
        <v>45521.0</v>
      </c>
      <c r="AE252" s="1">
        <v>69.99</v>
      </c>
      <c r="AG252" s="3" t="str">
        <f>"2000006190353911"</f>
        <v>2000006190353911</v>
      </c>
      <c r="AH252" s="1" t="s">
        <v>58</v>
      </c>
      <c r="AI252" s="1" t="s">
        <v>59</v>
      </c>
      <c r="AJ252" s="1" t="s">
        <v>59</v>
      </c>
      <c r="AK252" s="1" t="s">
        <v>60</v>
      </c>
      <c r="AL252" s="1" t="s">
        <v>60</v>
      </c>
      <c r="AW252" s="1" t="s">
        <v>635</v>
      </c>
      <c r="AY252" s="1">
        <v>1.0</v>
      </c>
      <c r="AZ252" s="1">
        <v>69.99</v>
      </c>
      <c r="BB252" s="1">
        <v>69.99</v>
      </c>
    </row>
    <row r="253">
      <c r="A253" s="1" t="s">
        <v>636</v>
      </c>
      <c r="C253" s="1" t="s">
        <v>56</v>
      </c>
      <c r="D253" s="1" t="s">
        <v>637</v>
      </c>
      <c r="Y253" s="2">
        <v>45521.0</v>
      </c>
      <c r="AE253" s="1">
        <v>109.99</v>
      </c>
      <c r="AG253" s="3" t="str">
        <f>"2000006190357821"</f>
        <v>2000006190357821</v>
      </c>
      <c r="AH253" s="1" t="s">
        <v>58</v>
      </c>
      <c r="AI253" s="1" t="s">
        <v>59</v>
      </c>
      <c r="AJ253" s="1" t="s">
        <v>59</v>
      </c>
      <c r="AK253" s="1" t="s">
        <v>60</v>
      </c>
      <c r="AL253" s="1" t="s">
        <v>60</v>
      </c>
      <c r="AW253" s="1" t="s">
        <v>638</v>
      </c>
      <c r="AY253" s="1">
        <v>1.0</v>
      </c>
      <c r="AZ253" s="1">
        <v>109.99</v>
      </c>
      <c r="BB253" s="1">
        <v>109.99</v>
      </c>
    </row>
    <row r="254">
      <c r="A254" s="1" t="s">
        <v>639</v>
      </c>
      <c r="C254" s="1" t="s">
        <v>56</v>
      </c>
      <c r="D254" s="1" t="s">
        <v>640</v>
      </c>
      <c r="Y254" s="2">
        <v>45521.0</v>
      </c>
      <c r="AE254" s="1">
        <v>289.99</v>
      </c>
      <c r="AG254" s="3" t="str">
        <f>"2000006190321385"</f>
        <v>2000006190321385</v>
      </c>
      <c r="AH254" s="1" t="s">
        <v>58</v>
      </c>
      <c r="AI254" s="1" t="s">
        <v>59</v>
      </c>
      <c r="AJ254" s="1" t="s">
        <v>59</v>
      </c>
      <c r="AK254" s="1" t="s">
        <v>60</v>
      </c>
      <c r="AL254" s="1" t="s">
        <v>60</v>
      </c>
      <c r="AW254" s="1" t="s">
        <v>641</v>
      </c>
      <c r="AY254" s="1">
        <v>1.0</v>
      </c>
      <c r="AZ254" s="1">
        <v>289.99</v>
      </c>
      <c r="BB254" s="1">
        <v>289.99</v>
      </c>
    </row>
    <row r="255">
      <c r="A255" s="1" t="s">
        <v>642</v>
      </c>
      <c r="C255" s="1" t="s">
        <v>56</v>
      </c>
      <c r="D255" s="1" t="s">
        <v>643</v>
      </c>
      <c r="Y255" s="2">
        <v>45521.0</v>
      </c>
      <c r="AE255" s="1">
        <v>249.99</v>
      </c>
      <c r="AG255" s="3" t="str">
        <f>"2000006190298939"</f>
        <v>2000006190298939</v>
      </c>
      <c r="AH255" s="1" t="s">
        <v>58</v>
      </c>
      <c r="AI255" s="1" t="s">
        <v>59</v>
      </c>
      <c r="AJ255" s="1" t="s">
        <v>59</v>
      </c>
      <c r="AK255" s="1" t="s">
        <v>60</v>
      </c>
      <c r="AL255" s="1" t="s">
        <v>60</v>
      </c>
      <c r="AW255" s="1" t="s">
        <v>644</v>
      </c>
      <c r="AY255" s="1">
        <v>1.0</v>
      </c>
      <c r="AZ255" s="1">
        <v>249.99</v>
      </c>
      <c r="BB255" s="1">
        <v>249.99</v>
      </c>
    </row>
    <row r="256">
      <c r="A256" s="1" t="s">
        <v>553</v>
      </c>
      <c r="C256" s="1" t="s">
        <v>56</v>
      </c>
      <c r="D256" s="1" t="s">
        <v>645</v>
      </c>
      <c r="Y256" s="2">
        <v>45521.0</v>
      </c>
      <c r="AE256" s="1">
        <v>169.99</v>
      </c>
      <c r="AG256" s="3" t="str">
        <f>"2000006190244429"</f>
        <v>2000006190244429</v>
      </c>
      <c r="AH256" s="1" t="s">
        <v>58</v>
      </c>
      <c r="AI256" s="1" t="s">
        <v>59</v>
      </c>
      <c r="AJ256" s="1" t="s">
        <v>59</v>
      </c>
      <c r="AK256" s="1" t="s">
        <v>60</v>
      </c>
      <c r="AL256" s="1" t="s">
        <v>60</v>
      </c>
      <c r="AW256" s="1" t="s">
        <v>555</v>
      </c>
      <c r="AY256" s="1">
        <v>1.0</v>
      </c>
      <c r="AZ256" s="1">
        <v>169.99</v>
      </c>
      <c r="BB256" s="1">
        <v>169.99</v>
      </c>
    </row>
    <row r="257">
      <c r="A257" s="1" t="s">
        <v>646</v>
      </c>
      <c r="C257" s="1" t="s">
        <v>56</v>
      </c>
      <c r="D257" s="1" t="s">
        <v>647</v>
      </c>
      <c r="Y257" s="2">
        <v>45521.0</v>
      </c>
      <c r="AE257" s="1">
        <v>59.99</v>
      </c>
      <c r="AG257" s="3" t="str">
        <f>"2000006190221855"</f>
        <v>2000006190221855</v>
      </c>
      <c r="AH257" s="1" t="s">
        <v>58</v>
      </c>
      <c r="AI257" s="1" t="s">
        <v>59</v>
      </c>
      <c r="AJ257" s="1" t="s">
        <v>59</v>
      </c>
      <c r="AK257" s="1" t="s">
        <v>60</v>
      </c>
      <c r="AL257" s="1" t="s">
        <v>60</v>
      </c>
      <c r="AW257" s="1" t="s">
        <v>648</v>
      </c>
      <c r="AY257" s="1">
        <v>1.0</v>
      </c>
      <c r="AZ257" s="1">
        <v>59.99</v>
      </c>
      <c r="BB257" s="1">
        <v>59.99</v>
      </c>
    </row>
    <row r="258">
      <c r="A258" s="1" t="s">
        <v>649</v>
      </c>
      <c r="C258" s="1" t="s">
        <v>56</v>
      </c>
      <c r="D258" s="1" t="s">
        <v>650</v>
      </c>
      <c r="Y258" s="2">
        <v>45521.0</v>
      </c>
      <c r="AE258" s="1">
        <v>69.99</v>
      </c>
      <c r="AG258" s="3" t="str">
        <f>"2000006190165631"</f>
        <v>2000006190165631</v>
      </c>
      <c r="AH258" s="1" t="s">
        <v>58</v>
      </c>
      <c r="AI258" s="1" t="s">
        <v>59</v>
      </c>
      <c r="AJ258" s="1" t="s">
        <v>59</v>
      </c>
      <c r="AK258" s="1" t="s">
        <v>60</v>
      </c>
      <c r="AL258" s="1" t="s">
        <v>60</v>
      </c>
      <c r="AW258" s="1" t="s">
        <v>651</v>
      </c>
      <c r="AY258" s="1">
        <v>1.0</v>
      </c>
      <c r="AZ258" s="1">
        <v>69.99</v>
      </c>
      <c r="BB258" s="1">
        <v>69.99</v>
      </c>
    </row>
    <row r="259">
      <c r="A259" s="1" t="s">
        <v>652</v>
      </c>
      <c r="C259" s="1" t="s">
        <v>56</v>
      </c>
      <c r="D259" s="1" t="s">
        <v>653</v>
      </c>
      <c r="Y259" s="2">
        <v>45521.0</v>
      </c>
      <c r="AE259" s="1">
        <v>64.99</v>
      </c>
      <c r="AG259" s="3" t="str">
        <f>"2000006190148607"</f>
        <v>2000006190148607</v>
      </c>
      <c r="AH259" s="1" t="s">
        <v>58</v>
      </c>
      <c r="AI259" s="1" t="s">
        <v>59</v>
      </c>
      <c r="AJ259" s="1" t="s">
        <v>59</v>
      </c>
      <c r="AK259" s="1" t="s">
        <v>60</v>
      </c>
      <c r="AL259" s="1" t="s">
        <v>60</v>
      </c>
      <c r="AW259" s="1" t="s">
        <v>654</v>
      </c>
      <c r="AY259" s="1">
        <v>1.0</v>
      </c>
      <c r="AZ259" s="1">
        <v>64.99</v>
      </c>
      <c r="BB259" s="1">
        <v>64.99</v>
      </c>
    </row>
    <row r="260">
      <c r="A260" s="1" t="s">
        <v>655</v>
      </c>
      <c r="C260" s="1" t="s">
        <v>56</v>
      </c>
      <c r="D260" s="1" t="s">
        <v>656</v>
      </c>
      <c r="Y260" s="2">
        <v>45521.0</v>
      </c>
      <c r="AE260" s="1">
        <v>74.99</v>
      </c>
      <c r="AG260" s="3" t="str">
        <f>"2000009063460194"</f>
        <v>2000009063460194</v>
      </c>
      <c r="AH260" s="1" t="s">
        <v>58</v>
      </c>
      <c r="AI260" s="1" t="s">
        <v>59</v>
      </c>
      <c r="AJ260" s="1" t="s">
        <v>59</v>
      </c>
      <c r="AK260" s="1" t="s">
        <v>60</v>
      </c>
      <c r="AL260" s="1" t="s">
        <v>60</v>
      </c>
      <c r="AW260" s="1" t="s">
        <v>657</v>
      </c>
      <c r="AY260" s="1">
        <v>1.0</v>
      </c>
      <c r="AZ260" s="1">
        <v>74.99</v>
      </c>
      <c r="BB260" s="1">
        <v>74.99</v>
      </c>
    </row>
    <row r="261">
      <c r="A261" s="1" t="s">
        <v>410</v>
      </c>
      <c r="C261" s="1" t="s">
        <v>56</v>
      </c>
      <c r="D261" s="1" t="s">
        <v>658</v>
      </c>
      <c r="Y261" s="2">
        <v>45521.0</v>
      </c>
      <c r="AE261" s="1">
        <v>62.99</v>
      </c>
      <c r="AG261" s="3" t="str">
        <f>"2000006189778507"</f>
        <v>2000006189778507</v>
      </c>
      <c r="AH261" s="1" t="s">
        <v>58</v>
      </c>
      <c r="AI261" s="1" t="s">
        <v>59</v>
      </c>
      <c r="AJ261" s="1" t="s">
        <v>59</v>
      </c>
      <c r="AK261" s="1" t="s">
        <v>60</v>
      </c>
      <c r="AL261" s="1" t="s">
        <v>60</v>
      </c>
      <c r="AW261" s="1" t="s">
        <v>412</v>
      </c>
      <c r="AY261" s="1">
        <v>1.0</v>
      </c>
      <c r="AZ261" s="1">
        <v>62.99</v>
      </c>
      <c r="BB261" s="1">
        <v>62.99</v>
      </c>
    </row>
    <row r="262">
      <c r="A262" s="1" t="s">
        <v>659</v>
      </c>
      <c r="C262" s="1" t="s">
        <v>56</v>
      </c>
      <c r="D262" s="1" t="s">
        <v>660</v>
      </c>
      <c r="Y262" s="2">
        <v>45521.0</v>
      </c>
      <c r="AE262" s="1">
        <v>89.99</v>
      </c>
      <c r="AG262" s="3" t="str">
        <f>"2000006190071463"</f>
        <v>2000006190071463</v>
      </c>
      <c r="AH262" s="1" t="s">
        <v>58</v>
      </c>
      <c r="AI262" s="1" t="s">
        <v>59</v>
      </c>
      <c r="AJ262" s="1" t="s">
        <v>59</v>
      </c>
      <c r="AK262" s="1" t="s">
        <v>60</v>
      </c>
      <c r="AL262" s="1" t="s">
        <v>60</v>
      </c>
      <c r="AW262" s="1" t="s">
        <v>661</v>
      </c>
      <c r="AY262" s="1">
        <v>1.0</v>
      </c>
      <c r="AZ262" s="1">
        <v>89.99</v>
      </c>
      <c r="BB262" s="1">
        <v>89.99</v>
      </c>
    </row>
    <row r="263">
      <c r="A263" s="1" t="s">
        <v>662</v>
      </c>
      <c r="C263" s="1" t="s">
        <v>56</v>
      </c>
      <c r="D263" s="1" t="s">
        <v>663</v>
      </c>
      <c r="Y263" s="2">
        <v>45521.0</v>
      </c>
      <c r="AE263" s="1">
        <v>49.99</v>
      </c>
      <c r="AG263" s="3" t="str">
        <f>"2000006190069599"</f>
        <v>2000006190069599</v>
      </c>
      <c r="AH263" s="1" t="s">
        <v>58</v>
      </c>
      <c r="AI263" s="1" t="s">
        <v>59</v>
      </c>
      <c r="AJ263" s="1" t="s">
        <v>59</v>
      </c>
      <c r="AK263" s="1" t="s">
        <v>60</v>
      </c>
      <c r="AL263" s="1" t="s">
        <v>60</v>
      </c>
      <c r="AW263" s="1" t="s">
        <v>664</v>
      </c>
      <c r="AY263" s="1">
        <v>1.0</v>
      </c>
      <c r="AZ263" s="1">
        <v>49.99</v>
      </c>
      <c r="BB263" s="1">
        <v>49.99</v>
      </c>
    </row>
    <row r="264">
      <c r="A264" s="1" t="s">
        <v>665</v>
      </c>
      <c r="C264" s="1" t="s">
        <v>56</v>
      </c>
      <c r="D264" s="1" t="s">
        <v>666</v>
      </c>
      <c r="Y264" s="2">
        <v>45521.0</v>
      </c>
      <c r="AE264" s="1">
        <v>129.99</v>
      </c>
      <c r="AG264" s="3" t="str">
        <f>"2000006190061313"</f>
        <v>2000006190061313</v>
      </c>
      <c r="AH264" s="1" t="s">
        <v>58</v>
      </c>
      <c r="AI264" s="1" t="s">
        <v>59</v>
      </c>
      <c r="AJ264" s="1" t="s">
        <v>59</v>
      </c>
      <c r="AK264" s="1" t="s">
        <v>60</v>
      </c>
      <c r="AL264" s="1" t="s">
        <v>60</v>
      </c>
      <c r="AW264" s="1" t="s">
        <v>667</v>
      </c>
      <c r="AY264" s="1">
        <v>1.0</v>
      </c>
      <c r="AZ264" s="1">
        <v>129.99</v>
      </c>
      <c r="BB264" s="1">
        <v>129.99</v>
      </c>
    </row>
    <row r="265">
      <c r="A265" s="1" t="s">
        <v>668</v>
      </c>
      <c r="C265" s="1" t="s">
        <v>56</v>
      </c>
      <c r="D265" s="1" t="s">
        <v>669</v>
      </c>
      <c r="Y265" s="2">
        <v>45521.0</v>
      </c>
      <c r="AE265" s="1">
        <v>129.99</v>
      </c>
      <c r="AG265" s="3" t="str">
        <f>"2000006190034973"</f>
        <v>2000006190034973</v>
      </c>
      <c r="AH265" s="1" t="s">
        <v>58</v>
      </c>
      <c r="AI265" s="1" t="s">
        <v>59</v>
      </c>
      <c r="AJ265" s="1" t="s">
        <v>59</v>
      </c>
      <c r="AK265" s="1" t="s">
        <v>60</v>
      </c>
      <c r="AL265" s="1" t="s">
        <v>60</v>
      </c>
      <c r="AW265" s="1" t="s">
        <v>670</v>
      </c>
      <c r="AY265" s="1">
        <v>1.0</v>
      </c>
      <c r="AZ265" s="1">
        <v>129.99</v>
      </c>
      <c r="BB265" s="1">
        <v>129.99</v>
      </c>
    </row>
    <row r="266">
      <c r="A266" s="1" t="s">
        <v>671</v>
      </c>
      <c r="C266" s="1" t="s">
        <v>56</v>
      </c>
      <c r="D266" s="1" t="s">
        <v>672</v>
      </c>
      <c r="Y266" s="2">
        <v>45521.0</v>
      </c>
      <c r="AE266" s="1">
        <v>39.99</v>
      </c>
      <c r="AG266" s="3" t="str">
        <f>"2000006190021435"</f>
        <v>2000006190021435</v>
      </c>
      <c r="AH266" s="1" t="s">
        <v>58</v>
      </c>
      <c r="AI266" s="1" t="s">
        <v>59</v>
      </c>
      <c r="AJ266" s="1" t="s">
        <v>59</v>
      </c>
      <c r="AK266" s="1" t="s">
        <v>60</v>
      </c>
      <c r="AL266" s="1" t="s">
        <v>60</v>
      </c>
      <c r="AW266" s="1" t="s">
        <v>673</v>
      </c>
      <c r="AY266" s="1">
        <v>1.0</v>
      </c>
      <c r="AZ266" s="1">
        <v>39.99</v>
      </c>
      <c r="BB266" s="1">
        <v>39.99</v>
      </c>
    </row>
    <row r="267">
      <c r="A267" s="1" t="s">
        <v>360</v>
      </c>
      <c r="C267" s="1" t="s">
        <v>56</v>
      </c>
      <c r="D267" s="1" t="s">
        <v>674</v>
      </c>
      <c r="Y267" s="2">
        <v>45521.0</v>
      </c>
      <c r="AE267" s="1">
        <v>47.18</v>
      </c>
      <c r="AG267" s="3" t="str">
        <f>"2000009063252850"</f>
        <v>2000009063252850</v>
      </c>
      <c r="AH267" s="1" t="s">
        <v>58</v>
      </c>
      <c r="AI267" s="1" t="s">
        <v>59</v>
      </c>
      <c r="AJ267" s="1" t="s">
        <v>59</v>
      </c>
      <c r="AK267" s="1" t="s">
        <v>60</v>
      </c>
      <c r="AL267" s="1" t="s">
        <v>60</v>
      </c>
      <c r="AW267" s="1" t="s">
        <v>155</v>
      </c>
      <c r="AY267" s="1">
        <v>1.0</v>
      </c>
      <c r="AZ267" s="1">
        <v>47.18</v>
      </c>
      <c r="BB267" s="1">
        <v>47.18</v>
      </c>
    </row>
    <row r="268">
      <c r="A268" s="1" t="s">
        <v>105</v>
      </c>
      <c r="C268" s="1" t="s">
        <v>56</v>
      </c>
      <c r="D268" s="1" t="s">
        <v>675</v>
      </c>
      <c r="Y268" s="2">
        <v>45521.0</v>
      </c>
      <c r="AE268" s="1">
        <v>129.99</v>
      </c>
      <c r="AG268" s="3" t="str">
        <f>"2000006189983233"</f>
        <v>2000006189983233</v>
      </c>
      <c r="AH268" s="1" t="s">
        <v>58</v>
      </c>
      <c r="AI268" s="1" t="s">
        <v>59</v>
      </c>
      <c r="AJ268" s="1" t="s">
        <v>59</v>
      </c>
      <c r="AK268" s="1" t="s">
        <v>60</v>
      </c>
      <c r="AL268" s="1" t="s">
        <v>60</v>
      </c>
      <c r="AW268" s="1" t="s">
        <v>107</v>
      </c>
      <c r="AY268" s="1">
        <v>1.0</v>
      </c>
      <c r="AZ268" s="1">
        <v>129.99</v>
      </c>
      <c r="BB268" s="1">
        <v>129.99</v>
      </c>
    </row>
    <row r="269">
      <c r="A269" s="1" t="s">
        <v>676</v>
      </c>
      <c r="C269" s="1" t="s">
        <v>56</v>
      </c>
      <c r="D269" s="1" t="s">
        <v>677</v>
      </c>
      <c r="Y269" s="2">
        <v>45521.0</v>
      </c>
      <c r="AE269" s="1">
        <v>74.99</v>
      </c>
      <c r="AG269" s="3" t="str">
        <f>"2000009062743626"</f>
        <v>2000009062743626</v>
      </c>
      <c r="AH269" s="1" t="s">
        <v>58</v>
      </c>
      <c r="AI269" s="1" t="s">
        <v>59</v>
      </c>
      <c r="AJ269" s="1" t="s">
        <v>59</v>
      </c>
      <c r="AK269" s="1" t="s">
        <v>60</v>
      </c>
      <c r="AL269" s="1" t="s">
        <v>60</v>
      </c>
      <c r="AW269" s="1" t="s">
        <v>678</v>
      </c>
      <c r="AY269" s="1">
        <v>1.0</v>
      </c>
      <c r="AZ269" s="1">
        <v>74.99</v>
      </c>
      <c r="BB269" s="1">
        <v>74.99</v>
      </c>
    </row>
    <row r="270">
      <c r="A270" s="1" t="s">
        <v>293</v>
      </c>
      <c r="C270" s="1" t="s">
        <v>56</v>
      </c>
      <c r="D270" s="1" t="s">
        <v>679</v>
      </c>
      <c r="Y270" s="2">
        <v>45521.0</v>
      </c>
      <c r="AE270" s="1">
        <v>54.99</v>
      </c>
      <c r="AG270" s="3" t="str">
        <f>"2000006189878785"</f>
        <v>2000006189878785</v>
      </c>
      <c r="AH270" s="1" t="s">
        <v>58</v>
      </c>
      <c r="AI270" s="1" t="s">
        <v>59</v>
      </c>
      <c r="AJ270" s="1" t="s">
        <v>59</v>
      </c>
      <c r="AK270" s="1" t="s">
        <v>60</v>
      </c>
      <c r="AL270" s="1" t="s">
        <v>60</v>
      </c>
      <c r="AW270" s="1" t="s">
        <v>295</v>
      </c>
      <c r="AY270" s="1">
        <v>1.0</v>
      </c>
      <c r="AZ270" s="1">
        <v>54.99</v>
      </c>
      <c r="BB270" s="1">
        <v>54.99</v>
      </c>
    </row>
    <row r="271">
      <c r="A271" s="1" t="s">
        <v>680</v>
      </c>
      <c r="C271" s="1" t="s">
        <v>56</v>
      </c>
      <c r="D271" s="1" t="s">
        <v>681</v>
      </c>
      <c r="Y271" s="2">
        <v>45521.0</v>
      </c>
      <c r="AE271" s="1">
        <v>99.99</v>
      </c>
      <c r="AG271" s="3" t="str">
        <f t="shared" ref="AG271:AG272" si="9">"2000006179088209"</f>
        <v>2000006179088209</v>
      </c>
      <c r="AH271" s="1" t="s">
        <v>58</v>
      </c>
      <c r="AI271" s="1" t="s">
        <v>59</v>
      </c>
      <c r="AJ271" s="1" t="s">
        <v>59</v>
      </c>
      <c r="AK271" s="1" t="s">
        <v>60</v>
      </c>
      <c r="AL271" s="1" t="s">
        <v>60</v>
      </c>
      <c r="AW271" s="1" t="s">
        <v>682</v>
      </c>
      <c r="AY271" s="1">
        <v>1.0</v>
      </c>
      <c r="AZ271" s="1">
        <v>99.99</v>
      </c>
      <c r="BB271" s="1">
        <v>99.99</v>
      </c>
    </row>
    <row r="272">
      <c r="A272" s="1" t="s">
        <v>683</v>
      </c>
      <c r="C272" s="1" t="s">
        <v>56</v>
      </c>
      <c r="D272" s="1" t="s">
        <v>681</v>
      </c>
      <c r="Y272" s="2">
        <v>45521.0</v>
      </c>
      <c r="AE272" s="1">
        <v>74.99</v>
      </c>
      <c r="AG272" s="3" t="str">
        <f t="shared" si="9"/>
        <v>2000006179088209</v>
      </c>
      <c r="AH272" s="1" t="s">
        <v>58</v>
      </c>
      <c r="AI272" s="1" t="s">
        <v>59</v>
      </c>
      <c r="AJ272" s="1" t="s">
        <v>59</v>
      </c>
      <c r="AK272" s="1" t="s">
        <v>60</v>
      </c>
      <c r="AL272" s="1" t="s">
        <v>60</v>
      </c>
      <c r="AW272" s="1" t="s">
        <v>684</v>
      </c>
      <c r="AY272" s="1">
        <v>1.0</v>
      </c>
      <c r="AZ272" s="1">
        <v>74.99</v>
      </c>
      <c r="BB272" s="1">
        <v>74.99</v>
      </c>
    </row>
    <row r="273">
      <c r="A273" s="1" t="s">
        <v>685</v>
      </c>
      <c r="C273" s="1" t="s">
        <v>56</v>
      </c>
      <c r="D273" s="1" t="s">
        <v>686</v>
      </c>
      <c r="Y273" s="2">
        <v>45521.0</v>
      </c>
      <c r="AE273" s="1">
        <v>119.99</v>
      </c>
      <c r="AG273" s="3" t="str">
        <f>"2000009062793880"</f>
        <v>2000009062793880</v>
      </c>
      <c r="AH273" s="1" t="s">
        <v>58</v>
      </c>
      <c r="AI273" s="1" t="s">
        <v>59</v>
      </c>
      <c r="AJ273" s="1" t="s">
        <v>59</v>
      </c>
      <c r="AK273" s="1" t="s">
        <v>60</v>
      </c>
      <c r="AL273" s="1" t="s">
        <v>60</v>
      </c>
      <c r="AW273" s="1" t="s">
        <v>687</v>
      </c>
      <c r="AY273" s="1">
        <v>1.0</v>
      </c>
      <c r="AZ273" s="1">
        <v>119.99</v>
      </c>
      <c r="BB273" s="1">
        <v>119.99</v>
      </c>
    </row>
    <row r="274">
      <c r="A274" s="1" t="s">
        <v>688</v>
      </c>
      <c r="C274" s="1" t="s">
        <v>56</v>
      </c>
      <c r="D274" s="1" t="s">
        <v>689</v>
      </c>
      <c r="Y274" s="2">
        <v>45521.0</v>
      </c>
      <c r="AE274" s="1">
        <v>298.99</v>
      </c>
      <c r="AG274" s="3" t="str">
        <f>"2000006189738205"</f>
        <v>2000006189738205</v>
      </c>
      <c r="AH274" s="1" t="s">
        <v>58</v>
      </c>
      <c r="AI274" s="1" t="s">
        <v>59</v>
      </c>
      <c r="AJ274" s="1" t="s">
        <v>59</v>
      </c>
      <c r="AK274" s="1" t="s">
        <v>60</v>
      </c>
      <c r="AL274" s="1" t="s">
        <v>60</v>
      </c>
      <c r="AW274" s="1" t="s">
        <v>690</v>
      </c>
      <c r="AY274" s="1">
        <v>1.0</v>
      </c>
      <c r="AZ274" s="1">
        <v>298.99</v>
      </c>
      <c r="BB274" s="1">
        <v>298.99</v>
      </c>
    </row>
    <row r="275">
      <c r="A275" s="1" t="s">
        <v>691</v>
      </c>
      <c r="C275" s="1" t="s">
        <v>56</v>
      </c>
      <c r="D275" s="1" t="s">
        <v>692</v>
      </c>
      <c r="Y275" s="2">
        <v>45521.0</v>
      </c>
      <c r="AE275" s="1">
        <v>129.99</v>
      </c>
      <c r="AG275" s="3" t="str">
        <f>"2000006189558975"</f>
        <v>2000006189558975</v>
      </c>
      <c r="AH275" s="1" t="s">
        <v>58</v>
      </c>
      <c r="AI275" s="1" t="s">
        <v>59</v>
      </c>
      <c r="AJ275" s="1" t="s">
        <v>59</v>
      </c>
      <c r="AK275" s="1" t="s">
        <v>60</v>
      </c>
      <c r="AL275" s="1" t="s">
        <v>60</v>
      </c>
      <c r="AW275" s="1" t="s">
        <v>693</v>
      </c>
      <c r="AY275" s="1">
        <v>1.0</v>
      </c>
      <c r="AZ275" s="1">
        <v>129.99</v>
      </c>
      <c r="BB275" s="1">
        <v>129.99</v>
      </c>
    </row>
    <row r="276">
      <c r="A276" s="1" t="s">
        <v>694</v>
      </c>
      <c r="C276" s="1" t="s">
        <v>235</v>
      </c>
      <c r="D276" s="1" t="s">
        <v>695</v>
      </c>
      <c r="Y276" s="2">
        <v>45521.0</v>
      </c>
      <c r="AE276" s="1">
        <v>64.99</v>
      </c>
      <c r="AG276" s="3" t="str">
        <f>"2000006189720197"</f>
        <v>2000006189720197</v>
      </c>
      <c r="AH276" s="1" t="s">
        <v>58</v>
      </c>
      <c r="AI276" s="1" t="s">
        <v>59</v>
      </c>
      <c r="AJ276" s="1" t="s">
        <v>59</v>
      </c>
      <c r="AK276" s="1" t="s">
        <v>60</v>
      </c>
      <c r="AL276" s="1" t="s">
        <v>60</v>
      </c>
      <c r="AW276" s="1" t="s">
        <v>328</v>
      </c>
      <c r="AY276" s="1">
        <v>1.0</v>
      </c>
      <c r="AZ276" s="1">
        <v>64.99</v>
      </c>
      <c r="BB276" s="1">
        <v>64.99</v>
      </c>
    </row>
    <row r="277">
      <c r="A277" s="1" t="s">
        <v>262</v>
      </c>
      <c r="C277" s="1" t="s">
        <v>56</v>
      </c>
      <c r="D277" s="1" t="s">
        <v>696</v>
      </c>
      <c r="Y277" s="2">
        <v>45521.0</v>
      </c>
      <c r="AE277" s="1">
        <v>129.99</v>
      </c>
      <c r="AG277" s="3" t="str">
        <f>"2000006189711159"</f>
        <v>2000006189711159</v>
      </c>
      <c r="AH277" s="1" t="s">
        <v>58</v>
      </c>
      <c r="AI277" s="1" t="s">
        <v>59</v>
      </c>
      <c r="AJ277" s="1" t="s">
        <v>59</v>
      </c>
      <c r="AK277" s="1" t="s">
        <v>60</v>
      </c>
      <c r="AL277" s="1" t="s">
        <v>60</v>
      </c>
      <c r="AW277" s="1" t="s">
        <v>264</v>
      </c>
      <c r="AY277" s="1">
        <v>1.0</v>
      </c>
      <c r="AZ277" s="1">
        <v>129.99</v>
      </c>
      <c r="BB277" s="1">
        <v>129.99</v>
      </c>
    </row>
    <row r="278">
      <c r="A278" s="1" t="s">
        <v>505</v>
      </c>
      <c r="C278" s="1" t="s">
        <v>56</v>
      </c>
      <c r="D278" s="1" t="s">
        <v>697</v>
      </c>
      <c r="Y278" s="2">
        <v>45521.0</v>
      </c>
      <c r="AE278" s="1">
        <v>294.99</v>
      </c>
      <c r="AG278" s="3" t="str">
        <f>"2000006189680617"</f>
        <v>2000006189680617</v>
      </c>
      <c r="AH278" s="1" t="s">
        <v>58</v>
      </c>
      <c r="AI278" s="1" t="s">
        <v>59</v>
      </c>
      <c r="AJ278" s="1" t="s">
        <v>59</v>
      </c>
      <c r="AK278" s="1" t="s">
        <v>60</v>
      </c>
      <c r="AL278" s="1" t="s">
        <v>60</v>
      </c>
      <c r="AW278" s="1" t="s">
        <v>507</v>
      </c>
      <c r="AY278" s="1">
        <v>1.0</v>
      </c>
      <c r="AZ278" s="1">
        <v>294.99</v>
      </c>
      <c r="BB278" s="1">
        <v>294.99</v>
      </c>
    </row>
    <row r="279">
      <c r="A279" s="1" t="s">
        <v>198</v>
      </c>
      <c r="C279" s="1" t="s">
        <v>56</v>
      </c>
      <c r="D279" s="1" t="s">
        <v>698</v>
      </c>
      <c r="Y279" s="2">
        <v>45521.0</v>
      </c>
      <c r="AE279" s="1">
        <v>49.99</v>
      </c>
      <c r="AG279" s="3" t="str">
        <f t="shared" ref="AG279:AG280" si="10">"2000006189656051"</f>
        <v>2000006189656051</v>
      </c>
      <c r="AH279" s="1" t="s">
        <v>58</v>
      </c>
      <c r="AI279" s="1" t="s">
        <v>59</v>
      </c>
      <c r="AJ279" s="1" t="s">
        <v>59</v>
      </c>
      <c r="AK279" s="1" t="s">
        <v>60</v>
      </c>
      <c r="AL279" s="1" t="s">
        <v>60</v>
      </c>
      <c r="AW279" s="1" t="s">
        <v>200</v>
      </c>
      <c r="AY279" s="1">
        <v>1.0</v>
      </c>
      <c r="AZ279" s="1">
        <v>49.99</v>
      </c>
      <c r="BB279" s="1">
        <v>49.99</v>
      </c>
    </row>
    <row r="280">
      <c r="A280" s="1" t="s">
        <v>699</v>
      </c>
      <c r="C280" s="1" t="s">
        <v>56</v>
      </c>
      <c r="D280" s="1" t="s">
        <v>698</v>
      </c>
      <c r="Y280" s="2">
        <v>45521.0</v>
      </c>
      <c r="AE280" s="1">
        <v>79.99</v>
      </c>
      <c r="AG280" s="3" t="str">
        <f t="shared" si="10"/>
        <v>2000006189656051</v>
      </c>
      <c r="AH280" s="1" t="s">
        <v>58</v>
      </c>
      <c r="AI280" s="1" t="s">
        <v>59</v>
      </c>
      <c r="AJ280" s="1" t="s">
        <v>59</v>
      </c>
      <c r="AK280" s="1" t="s">
        <v>60</v>
      </c>
      <c r="AL280" s="1" t="s">
        <v>60</v>
      </c>
      <c r="AW280" s="1" t="s">
        <v>700</v>
      </c>
      <c r="AY280" s="1">
        <v>1.0</v>
      </c>
      <c r="AZ280" s="1">
        <v>79.99</v>
      </c>
      <c r="BB280" s="1">
        <v>79.99</v>
      </c>
    </row>
    <row r="281">
      <c r="A281" s="1" t="s">
        <v>701</v>
      </c>
      <c r="C281" s="1" t="s">
        <v>56</v>
      </c>
      <c r="D281" s="1" t="s">
        <v>702</v>
      </c>
      <c r="Y281" s="2">
        <v>45521.0</v>
      </c>
      <c r="AE281" s="1">
        <v>59.99</v>
      </c>
      <c r="AG281" s="3" t="str">
        <f>"2000006189676157"</f>
        <v>2000006189676157</v>
      </c>
      <c r="AH281" s="1" t="s">
        <v>58</v>
      </c>
      <c r="AI281" s="1" t="s">
        <v>59</v>
      </c>
      <c r="AJ281" s="1" t="s">
        <v>59</v>
      </c>
      <c r="AK281" s="1" t="s">
        <v>60</v>
      </c>
      <c r="AL281" s="1" t="s">
        <v>60</v>
      </c>
      <c r="AW281" s="1" t="s">
        <v>703</v>
      </c>
      <c r="AY281" s="1">
        <v>1.0</v>
      </c>
      <c r="AZ281" s="1">
        <v>59.99</v>
      </c>
      <c r="BB281" s="1">
        <v>59.99</v>
      </c>
    </row>
    <row r="282">
      <c r="A282" s="1" t="s">
        <v>536</v>
      </c>
      <c r="C282" s="1" t="s">
        <v>56</v>
      </c>
      <c r="D282" s="1" t="s">
        <v>698</v>
      </c>
      <c r="Y282" s="2">
        <v>45521.0</v>
      </c>
      <c r="AE282" s="1">
        <v>89.99</v>
      </c>
      <c r="AG282" s="3" t="str">
        <f>"2000006189656053"</f>
        <v>2000006189656053</v>
      </c>
      <c r="AH282" s="1" t="s">
        <v>58</v>
      </c>
      <c r="AI282" s="1" t="s">
        <v>59</v>
      </c>
      <c r="AJ282" s="1" t="s">
        <v>59</v>
      </c>
      <c r="AK282" s="1" t="s">
        <v>60</v>
      </c>
      <c r="AL282" s="1" t="s">
        <v>60</v>
      </c>
      <c r="AW282" s="1" t="s">
        <v>538</v>
      </c>
      <c r="AY282" s="1">
        <v>1.0</v>
      </c>
      <c r="AZ282" s="1">
        <v>89.99</v>
      </c>
      <c r="BB282" s="1">
        <v>89.99</v>
      </c>
    </row>
    <row r="283">
      <c r="A283" s="1" t="s">
        <v>131</v>
      </c>
      <c r="C283" s="1" t="s">
        <v>56</v>
      </c>
      <c r="D283" s="1" t="s">
        <v>704</v>
      </c>
      <c r="Y283" s="2">
        <v>45521.0</v>
      </c>
      <c r="AE283" s="1">
        <v>54.99</v>
      </c>
      <c r="AG283" s="3" t="str">
        <f>"2000006189671011"</f>
        <v>2000006189671011</v>
      </c>
      <c r="AH283" s="1" t="s">
        <v>58</v>
      </c>
      <c r="AI283" s="1" t="s">
        <v>59</v>
      </c>
      <c r="AJ283" s="1" t="s">
        <v>59</v>
      </c>
      <c r="AK283" s="1" t="s">
        <v>60</v>
      </c>
      <c r="AL283" s="1" t="s">
        <v>60</v>
      </c>
      <c r="AW283" s="1" t="s">
        <v>133</v>
      </c>
      <c r="AY283" s="1">
        <v>1.0</v>
      </c>
      <c r="AZ283" s="1">
        <v>54.99</v>
      </c>
      <c r="BB283" s="1">
        <v>54.99</v>
      </c>
    </row>
    <row r="284">
      <c r="A284" s="1" t="s">
        <v>705</v>
      </c>
      <c r="C284" s="1" t="s">
        <v>56</v>
      </c>
      <c r="D284" s="1" t="s">
        <v>706</v>
      </c>
      <c r="Y284" s="2">
        <v>45521.0</v>
      </c>
      <c r="AE284" s="1">
        <v>42.99</v>
      </c>
      <c r="AG284" s="3" t="str">
        <f>"2000006189670517"</f>
        <v>2000006189670517</v>
      </c>
      <c r="AH284" s="1" t="s">
        <v>58</v>
      </c>
      <c r="AI284" s="1" t="s">
        <v>59</v>
      </c>
      <c r="AJ284" s="1" t="s">
        <v>59</v>
      </c>
      <c r="AK284" s="1" t="s">
        <v>60</v>
      </c>
      <c r="AL284" s="1" t="s">
        <v>60</v>
      </c>
      <c r="AW284" s="1" t="s">
        <v>707</v>
      </c>
      <c r="AY284" s="1">
        <v>1.0</v>
      </c>
      <c r="AZ284" s="1">
        <v>42.99</v>
      </c>
      <c r="BB284" s="1">
        <v>42.99</v>
      </c>
    </row>
    <row r="285">
      <c r="A285" s="1" t="s">
        <v>559</v>
      </c>
      <c r="C285" s="1" t="s">
        <v>56</v>
      </c>
      <c r="D285" s="1" t="s">
        <v>708</v>
      </c>
      <c r="Y285" s="2">
        <v>45521.0</v>
      </c>
      <c r="AE285" s="1">
        <v>59.99</v>
      </c>
      <c r="AG285" s="3" t="str">
        <f t="shared" ref="AG285:AG286" si="11">"2000006189665517"</f>
        <v>2000006189665517</v>
      </c>
      <c r="AH285" s="1" t="s">
        <v>58</v>
      </c>
      <c r="AI285" s="1" t="s">
        <v>59</v>
      </c>
      <c r="AJ285" s="1" t="s">
        <v>59</v>
      </c>
      <c r="AK285" s="1" t="s">
        <v>60</v>
      </c>
      <c r="AL285" s="1" t="s">
        <v>60</v>
      </c>
      <c r="AW285" s="1" t="s">
        <v>558</v>
      </c>
      <c r="AY285" s="1">
        <v>1.0</v>
      </c>
      <c r="AZ285" s="1">
        <v>59.99</v>
      </c>
      <c r="BB285" s="1">
        <v>59.99</v>
      </c>
    </row>
    <row r="286">
      <c r="A286" s="1" t="s">
        <v>556</v>
      </c>
      <c r="C286" s="1" t="s">
        <v>56</v>
      </c>
      <c r="D286" s="1" t="s">
        <v>708</v>
      </c>
      <c r="Y286" s="2">
        <v>45521.0</v>
      </c>
      <c r="AE286" s="1">
        <v>59.99</v>
      </c>
      <c r="AG286" s="3" t="str">
        <f t="shared" si="11"/>
        <v>2000006189665517</v>
      </c>
      <c r="AH286" s="1" t="s">
        <v>58</v>
      </c>
      <c r="AI286" s="1" t="s">
        <v>59</v>
      </c>
      <c r="AJ286" s="1" t="s">
        <v>59</v>
      </c>
      <c r="AK286" s="1" t="s">
        <v>60</v>
      </c>
      <c r="AL286" s="1" t="s">
        <v>60</v>
      </c>
      <c r="AW286" s="1" t="s">
        <v>558</v>
      </c>
      <c r="AY286" s="1">
        <v>1.0</v>
      </c>
      <c r="AZ286" s="1">
        <v>59.99</v>
      </c>
      <c r="BB286" s="1">
        <v>59.99</v>
      </c>
    </row>
    <row r="287">
      <c r="A287" s="1" t="s">
        <v>556</v>
      </c>
      <c r="C287" s="1" t="s">
        <v>56</v>
      </c>
      <c r="D287" s="1" t="s">
        <v>708</v>
      </c>
      <c r="Y287" s="2">
        <v>45521.0</v>
      </c>
      <c r="AE287" s="1">
        <v>59.99</v>
      </c>
      <c r="AG287" s="3" t="str">
        <f t="shared" ref="AG287:AG288" si="12">"2000006189665519"</f>
        <v>2000006189665519</v>
      </c>
      <c r="AH287" s="1" t="s">
        <v>58</v>
      </c>
      <c r="AI287" s="1" t="s">
        <v>59</v>
      </c>
      <c r="AJ287" s="1" t="s">
        <v>59</v>
      </c>
      <c r="AK287" s="1" t="s">
        <v>60</v>
      </c>
      <c r="AL287" s="1" t="s">
        <v>60</v>
      </c>
      <c r="AW287" s="1" t="s">
        <v>558</v>
      </c>
      <c r="AY287" s="1">
        <v>1.0</v>
      </c>
      <c r="AZ287" s="1">
        <v>59.99</v>
      </c>
      <c r="BB287" s="1">
        <v>59.99</v>
      </c>
    </row>
    <row r="288">
      <c r="A288" s="1" t="s">
        <v>559</v>
      </c>
      <c r="C288" s="1" t="s">
        <v>56</v>
      </c>
      <c r="D288" s="1" t="s">
        <v>708</v>
      </c>
      <c r="Y288" s="2">
        <v>45521.0</v>
      </c>
      <c r="AE288" s="1">
        <v>119.98</v>
      </c>
      <c r="AG288" s="3" t="str">
        <f t="shared" si="12"/>
        <v>2000006189665519</v>
      </c>
      <c r="AH288" s="1" t="s">
        <v>58</v>
      </c>
      <c r="AI288" s="1" t="s">
        <v>59</v>
      </c>
      <c r="AJ288" s="1" t="s">
        <v>59</v>
      </c>
      <c r="AK288" s="1" t="s">
        <v>60</v>
      </c>
      <c r="AL288" s="1" t="s">
        <v>60</v>
      </c>
      <c r="AW288" s="1" t="s">
        <v>558</v>
      </c>
      <c r="AY288" s="1">
        <v>2.0</v>
      </c>
      <c r="AZ288" s="1">
        <v>59.99</v>
      </c>
      <c r="BB288" s="1">
        <v>119.98</v>
      </c>
    </row>
    <row r="289">
      <c r="A289" s="1" t="s">
        <v>709</v>
      </c>
      <c r="C289" s="1" t="s">
        <v>56</v>
      </c>
      <c r="D289" s="1" t="s">
        <v>710</v>
      </c>
      <c r="Y289" s="2">
        <v>45521.0</v>
      </c>
      <c r="AE289" s="1">
        <v>479.99</v>
      </c>
      <c r="AG289" s="3" t="str">
        <f>"2000009062515710"</f>
        <v>2000009062515710</v>
      </c>
      <c r="AH289" s="1" t="s">
        <v>58</v>
      </c>
      <c r="AI289" s="1" t="s">
        <v>59</v>
      </c>
      <c r="AJ289" s="1" t="s">
        <v>59</v>
      </c>
      <c r="AK289" s="1" t="s">
        <v>60</v>
      </c>
      <c r="AL289" s="1" t="s">
        <v>60</v>
      </c>
      <c r="AW289" s="1" t="s">
        <v>711</v>
      </c>
      <c r="AY289" s="1">
        <v>1.0</v>
      </c>
      <c r="AZ289" s="1">
        <v>479.99</v>
      </c>
      <c r="BB289" s="1">
        <v>479.99</v>
      </c>
    </row>
    <row r="290">
      <c r="A290" s="1" t="s">
        <v>86</v>
      </c>
      <c r="C290" s="1" t="s">
        <v>56</v>
      </c>
      <c r="D290" s="1" t="s">
        <v>712</v>
      </c>
      <c r="Y290" s="2">
        <v>45521.0</v>
      </c>
      <c r="AE290" s="1">
        <v>64.99</v>
      </c>
      <c r="AG290" s="3" t="str">
        <f>"2000006189632167"</f>
        <v>2000006189632167</v>
      </c>
      <c r="AH290" s="1" t="s">
        <v>58</v>
      </c>
      <c r="AI290" s="1" t="s">
        <v>59</v>
      </c>
      <c r="AJ290" s="1" t="s">
        <v>59</v>
      </c>
      <c r="AK290" s="1" t="s">
        <v>60</v>
      </c>
      <c r="AL290" s="1" t="s">
        <v>60</v>
      </c>
      <c r="AW290" s="1" t="s">
        <v>88</v>
      </c>
      <c r="AY290" s="1">
        <v>1.0</v>
      </c>
      <c r="AZ290" s="1">
        <v>64.99</v>
      </c>
      <c r="BB290" s="1">
        <v>64.99</v>
      </c>
    </row>
    <row r="291">
      <c r="A291" s="1" t="s">
        <v>299</v>
      </c>
      <c r="C291" s="1" t="s">
        <v>235</v>
      </c>
      <c r="D291" s="1" t="s">
        <v>713</v>
      </c>
      <c r="Y291" s="2">
        <v>45521.0</v>
      </c>
      <c r="AE291" s="1">
        <v>59.99</v>
      </c>
      <c r="AG291" s="3" t="str">
        <f>"2000009062475794"</f>
        <v>2000009062475794</v>
      </c>
      <c r="AH291" s="1" t="s">
        <v>58</v>
      </c>
      <c r="AI291" s="1" t="s">
        <v>59</v>
      </c>
      <c r="AJ291" s="1" t="s">
        <v>59</v>
      </c>
      <c r="AK291" s="1" t="s">
        <v>60</v>
      </c>
      <c r="AL291" s="1" t="s">
        <v>60</v>
      </c>
      <c r="AW291" s="1" t="s">
        <v>301</v>
      </c>
      <c r="AY291" s="1">
        <v>1.0</v>
      </c>
      <c r="AZ291" s="1">
        <v>59.99</v>
      </c>
      <c r="BB291" s="1">
        <v>59.99</v>
      </c>
    </row>
    <row r="292">
      <c r="A292" s="1" t="s">
        <v>714</v>
      </c>
      <c r="C292" s="1" t="s">
        <v>56</v>
      </c>
      <c r="D292" s="1" t="s">
        <v>715</v>
      </c>
      <c r="Y292" s="2">
        <v>45521.0</v>
      </c>
      <c r="AE292" s="1">
        <v>149.99</v>
      </c>
      <c r="AG292" s="3" t="str">
        <f>"2000006189571069"</f>
        <v>2000006189571069</v>
      </c>
      <c r="AH292" s="1" t="s">
        <v>58</v>
      </c>
      <c r="AI292" s="1" t="s">
        <v>59</v>
      </c>
      <c r="AJ292" s="1" t="s">
        <v>59</v>
      </c>
      <c r="AK292" s="1" t="s">
        <v>60</v>
      </c>
      <c r="AL292" s="1" t="s">
        <v>60</v>
      </c>
      <c r="AW292" s="1" t="s">
        <v>716</v>
      </c>
      <c r="AY292" s="1">
        <v>1.0</v>
      </c>
      <c r="AZ292" s="1">
        <v>149.99</v>
      </c>
      <c r="BB292" s="1">
        <v>149.99</v>
      </c>
    </row>
    <row r="293">
      <c r="A293" s="1" t="s">
        <v>717</v>
      </c>
      <c r="C293" s="1" t="s">
        <v>56</v>
      </c>
      <c r="D293" s="1" t="s">
        <v>718</v>
      </c>
      <c r="Y293" s="2">
        <v>45521.0</v>
      </c>
      <c r="AE293" s="1">
        <v>114.99</v>
      </c>
      <c r="AG293" s="3" t="str">
        <f>"2000006189472559"</f>
        <v>2000006189472559</v>
      </c>
      <c r="AH293" s="1" t="s">
        <v>58</v>
      </c>
      <c r="AI293" s="1" t="s">
        <v>59</v>
      </c>
      <c r="AJ293" s="1" t="s">
        <v>59</v>
      </c>
      <c r="AK293" s="1" t="s">
        <v>60</v>
      </c>
      <c r="AL293" s="1" t="s">
        <v>60</v>
      </c>
      <c r="AW293" s="1" t="s">
        <v>719</v>
      </c>
      <c r="AY293" s="1">
        <v>1.0</v>
      </c>
      <c r="AZ293" s="1">
        <v>114.99</v>
      </c>
      <c r="BB293" s="1">
        <v>114.99</v>
      </c>
    </row>
    <row r="294">
      <c r="A294" s="1" t="s">
        <v>377</v>
      </c>
      <c r="C294" s="1" t="s">
        <v>56</v>
      </c>
      <c r="D294" s="1" t="s">
        <v>720</v>
      </c>
      <c r="Y294" s="2">
        <v>45521.0</v>
      </c>
      <c r="AE294" s="1">
        <v>64.99</v>
      </c>
      <c r="AG294" s="3" t="str">
        <f>"2000006189514431"</f>
        <v>2000006189514431</v>
      </c>
      <c r="AH294" s="1" t="s">
        <v>58</v>
      </c>
      <c r="AI294" s="1" t="s">
        <v>59</v>
      </c>
      <c r="AJ294" s="1" t="s">
        <v>59</v>
      </c>
      <c r="AK294" s="1" t="s">
        <v>60</v>
      </c>
      <c r="AL294" s="1" t="s">
        <v>60</v>
      </c>
      <c r="AW294" s="1" t="s">
        <v>79</v>
      </c>
      <c r="AY294" s="1">
        <v>1.0</v>
      </c>
      <c r="AZ294" s="1">
        <v>64.99</v>
      </c>
      <c r="BB294" s="1">
        <v>64.99</v>
      </c>
    </row>
    <row r="295">
      <c r="A295" s="1" t="s">
        <v>721</v>
      </c>
      <c r="C295" s="1" t="s">
        <v>56</v>
      </c>
      <c r="D295" s="1" t="s">
        <v>722</v>
      </c>
      <c r="Y295" s="2">
        <v>45521.0</v>
      </c>
      <c r="AE295" s="1">
        <v>54.99</v>
      </c>
      <c r="AG295" s="3" t="str">
        <f>"2000006189479597"</f>
        <v>2000006189479597</v>
      </c>
      <c r="AH295" s="1" t="s">
        <v>58</v>
      </c>
      <c r="AI295" s="1" t="s">
        <v>59</v>
      </c>
      <c r="AJ295" s="1" t="s">
        <v>59</v>
      </c>
      <c r="AK295" s="1" t="s">
        <v>60</v>
      </c>
      <c r="AL295" s="1" t="s">
        <v>60</v>
      </c>
      <c r="AW295" s="1" t="s">
        <v>723</v>
      </c>
      <c r="AY295" s="1">
        <v>1.0</v>
      </c>
      <c r="AZ295" s="1">
        <v>54.99</v>
      </c>
      <c r="BB295" s="1">
        <v>54.99</v>
      </c>
    </row>
    <row r="296">
      <c r="A296" s="1" t="s">
        <v>724</v>
      </c>
      <c r="C296" s="1" t="s">
        <v>56</v>
      </c>
      <c r="D296" s="1" t="s">
        <v>725</v>
      </c>
      <c r="Y296" s="2">
        <v>45521.0</v>
      </c>
      <c r="AE296" s="1">
        <v>104.99</v>
      </c>
      <c r="AG296" s="3" t="str">
        <f>"2000006189342157"</f>
        <v>2000006189342157</v>
      </c>
      <c r="AH296" s="1" t="s">
        <v>58</v>
      </c>
      <c r="AI296" s="1" t="s">
        <v>59</v>
      </c>
      <c r="AJ296" s="1" t="s">
        <v>59</v>
      </c>
      <c r="AK296" s="1" t="s">
        <v>60</v>
      </c>
      <c r="AL296" s="1" t="s">
        <v>60</v>
      </c>
      <c r="AW296" s="1" t="s">
        <v>726</v>
      </c>
      <c r="AY296" s="1">
        <v>1.0</v>
      </c>
      <c r="AZ296" s="1">
        <v>104.99</v>
      </c>
      <c r="BB296" s="1">
        <v>104.99</v>
      </c>
    </row>
    <row r="297">
      <c r="A297" s="1" t="s">
        <v>160</v>
      </c>
      <c r="C297" s="1" t="s">
        <v>56</v>
      </c>
      <c r="D297" s="1" t="s">
        <v>727</v>
      </c>
      <c r="Y297" s="2">
        <v>45521.0</v>
      </c>
      <c r="AE297" s="1">
        <v>89.99</v>
      </c>
      <c r="AG297" s="3" t="str">
        <f>"2000006189415539"</f>
        <v>2000006189415539</v>
      </c>
      <c r="AH297" s="1" t="s">
        <v>58</v>
      </c>
      <c r="AI297" s="1" t="s">
        <v>59</v>
      </c>
      <c r="AJ297" s="1" t="s">
        <v>59</v>
      </c>
      <c r="AK297" s="1" t="s">
        <v>60</v>
      </c>
      <c r="AL297" s="1" t="s">
        <v>60</v>
      </c>
      <c r="AW297" s="1" t="s">
        <v>162</v>
      </c>
      <c r="AY297" s="1">
        <v>1.0</v>
      </c>
      <c r="AZ297" s="1">
        <v>89.99</v>
      </c>
      <c r="BB297" s="1">
        <v>89.99</v>
      </c>
    </row>
    <row r="298">
      <c r="A298" s="1" t="s">
        <v>195</v>
      </c>
      <c r="C298" s="1" t="s">
        <v>56</v>
      </c>
      <c r="D298" s="1" t="s">
        <v>728</v>
      </c>
      <c r="Y298" s="2">
        <v>45521.0</v>
      </c>
      <c r="AE298" s="1">
        <v>47.99</v>
      </c>
      <c r="AG298" s="3" t="str">
        <f>"2000006189257349"</f>
        <v>2000006189257349</v>
      </c>
      <c r="AH298" s="1" t="s">
        <v>58</v>
      </c>
      <c r="AI298" s="1" t="s">
        <v>59</v>
      </c>
      <c r="AJ298" s="1" t="s">
        <v>59</v>
      </c>
      <c r="AK298" s="1" t="s">
        <v>60</v>
      </c>
      <c r="AL298" s="1" t="s">
        <v>60</v>
      </c>
      <c r="AW298" s="1" t="s">
        <v>197</v>
      </c>
      <c r="AY298" s="1">
        <v>1.0</v>
      </c>
      <c r="AZ298" s="1">
        <v>47.99</v>
      </c>
      <c r="BB298" s="1">
        <v>47.99</v>
      </c>
    </row>
    <row r="299">
      <c r="A299" s="1" t="s">
        <v>729</v>
      </c>
      <c r="C299" s="1" t="s">
        <v>56</v>
      </c>
      <c r="D299" s="1" t="s">
        <v>730</v>
      </c>
      <c r="Y299" s="2">
        <v>45521.0</v>
      </c>
      <c r="AE299" s="1">
        <v>47.99</v>
      </c>
      <c r="AG299" s="3" t="str">
        <f>"2000006189323227"</f>
        <v>2000006189323227</v>
      </c>
      <c r="AH299" s="1" t="s">
        <v>58</v>
      </c>
      <c r="AI299" s="1" t="s">
        <v>59</v>
      </c>
      <c r="AJ299" s="1" t="s">
        <v>59</v>
      </c>
      <c r="AK299" s="1" t="s">
        <v>60</v>
      </c>
      <c r="AL299" s="1" t="s">
        <v>60</v>
      </c>
      <c r="AW299" s="1" t="s">
        <v>731</v>
      </c>
      <c r="AY299" s="1">
        <v>1.0</v>
      </c>
      <c r="AZ299" s="1">
        <v>47.99</v>
      </c>
      <c r="BB299" s="1">
        <v>47.99</v>
      </c>
    </row>
    <row r="300">
      <c r="A300" s="1" t="s">
        <v>655</v>
      </c>
      <c r="C300" s="1" t="s">
        <v>56</v>
      </c>
      <c r="D300" s="1" t="s">
        <v>732</v>
      </c>
      <c r="Y300" s="2">
        <v>45521.0</v>
      </c>
      <c r="AE300" s="1">
        <v>74.99</v>
      </c>
      <c r="AG300" s="3" t="str">
        <f>"2000009062124422"</f>
        <v>2000009062124422</v>
      </c>
      <c r="AH300" s="1" t="s">
        <v>58</v>
      </c>
      <c r="AI300" s="1" t="s">
        <v>59</v>
      </c>
      <c r="AJ300" s="1" t="s">
        <v>59</v>
      </c>
      <c r="AK300" s="1" t="s">
        <v>60</v>
      </c>
      <c r="AL300" s="1" t="s">
        <v>60</v>
      </c>
      <c r="AW300" s="1" t="s">
        <v>657</v>
      </c>
      <c r="AY300" s="1">
        <v>1.0</v>
      </c>
      <c r="AZ300" s="1">
        <v>74.99</v>
      </c>
      <c r="BB300" s="1">
        <v>74.99</v>
      </c>
    </row>
    <row r="301">
      <c r="A301" s="1" t="s">
        <v>125</v>
      </c>
      <c r="C301" s="1" t="s">
        <v>56</v>
      </c>
      <c r="D301" s="1" t="s">
        <v>733</v>
      </c>
      <c r="Y301" s="2">
        <v>45521.0</v>
      </c>
      <c r="AE301" s="1">
        <v>49.99</v>
      </c>
      <c r="AG301" s="3" t="str">
        <f>"2000006189379243"</f>
        <v>2000006189379243</v>
      </c>
      <c r="AH301" s="1" t="s">
        <v>58</v>
      </c>
      <c r="AI301" s="1" t="s">
        <v>59</v>
      </c>
      <c r="AJ301" s="1" t="s">
        <v>59</v>
      </c>
      <c r="AK301" s="1" t="s">
        <v>60</v>
      </c>
      <c r="AL301" s="1" t="s">
        <v>60</v>
      </c>
      <c r="AW301" s="1" t="s">
        <v>127</v>
      </c>
      <c r="AY301" s="1">
        <v>1.0</v>
      </c>
      <c r="AZ301" s="1">
        <v>49.99</v>
      </c>
      <c r="BB301" s="1">
        <v>49.99</v>
      </c>
    </row>
    <row r="302">
      <c r="A302" s="1" t="s">
        <v>734</v>
      </c>
      <c r="C302" s="1" t="s">
        <v>56</v>
      </c>
      <c r="D302" s="1" t="s">
        <v>735</v>
      </c>
      <c r="Y302" s="2">
        <v>45521.0</v>
      </c>
      <c r="AE302" s="1">
        <v>59.99</v>
      </c>
      <c r="AG302" s="3" t="str">
        <f>"2000006189395575"</f>
        <v>2000006189395575</v>
      </c>
      <c r="AH302" s="1" t="s">
        <v>58</v>
      </c>
      <c r="AI302" s="1" t="s">
        <v>59</v>
      </c>
      <c r="AJ302" s="1" t="s">
        <v>59</v>
      </c>
      <c r="AK302" s="1" t="s">
        <v>60</v>
      </c>
      <c r="AL302" s="1" t="s">
        <v>60</v>
      </c>
      <c r="AW302" s="1" t="s">
        <v>736</v>
      </c>
      <c r="AY302" s="1">
        <v>1.0</v>
      </c>
      <c r="AZ302" s="1">
        <v>59.99</v>
      </c>
      <c r="BB302" s="1">
        <v>59.99</v>
      </c>
    </row>
    <row r="303">
      <c r="A303" s="1" t="s">
        <v>737</v>
      </c>
      <c r="C303" s="1" t="s">
        <v>56</v>
      </c>
      <c r="D303" s="1" t="s">
        <v>738</v>
      </c>
      <c r="Y303" s="2">
        <v>45521.0</v>
      </c>
      <c r="AE303" s="1">
        <v>119.99</v>
      </c>
      <c r="AG303" s="3" t="str">
        <f>"2000009061976440"</f>
        <v>2000009061976440</v>
      </c>
      <c r="AH303" s="1" t="s">
        <v>58</v>
      </c>
      <c r="AI303" s="1" t="s">
        <v>59</v>
      </c>
      <c r="AJ303" s="1" t="s">
        <v>59</v>
      </c>
      <c r="AK303" s="1" t="s">
        <v>60</v>
      </c>
      <c r="AL303" s="1" t="s">
        <v>60</v>
      </c>
      <c r="AW303" s="1" t="s">
        <v>739</v>
      </c>
      <c r="AY303" s="1">
        <v>1.0</v>
      </c>
      <c r="AZ303" s="1">
        <v>119.99</v>
      </c>
      <c r="BB303" s="1">
        <v>119.99</v>
      </c>
    </row>
    <row r="304">
      <c r="A304" s="1" t="s">
        <v>709</v>
      </c>
      <c r="C304" s="1" t="s">
        <v>56</v>
      </c>
      <c r="D304" s="1" t="s">
        <v>740</v>
      </c>
      <c r="Y304" s="2">
        <v>45521.0</v>
      </c>
      <c r="AE304" s="1">
        <v>479.99</v>
      </c>
      <c r="AG304" s="3" t="str">
        <f>"2000009061976276"</f>
        <v>2000009061976276</v>
      </c>
      <c r="AH304" s="1" t="s">
        <v>58</v>
      </c>
      <c r="AI304" s="1" t="s">
        <v>59</v>
      </c>
      <c r="AJ304" s="1" t="s">
        <v>59</v>
      </c>
      <c r="AK304" s="1" t="s">
        <v>60</v>
      </c>
      <c r="AL304" s="1" t="s">
        <v>60</v>
      </c>
      <c r="AW304" s="1" t="s">
        <v>711</v>
      </c>
      <c r="AY304" s="1">
        <v>1.0</v>
      </c>
      <c r="AZ304" s="1">
        <v>479.99</v>
      </c>
      <c r="BB304" s="1">
        <v>479.99</v>
      </c>
    </row>
    <row r="305">
      <c r="A305" s="1" t="s">
        <v>668</v>
      </c>
      <c r="C305" s="1" t="s">
        <v>56</v>
      </c>
      <c r="D305" s="1" t="s">
        <v>741</v>
      </c>
      <c r="Y305" s="2">
        <v>45521.0</v>
      </c>
      <c r="AE305" s="1">
        <v>129.99</v>
      </c>
      <c r="AG305" s="3" t="str">
        <f>"2000006189323041"</f>
        <v>2000006189323041</v>
      </c>
      <c r="AH305" s="1" t="s">
        <v>58</v>
      </c>
      <c r="AI305" s="1" t="s">
        <v>59</v>
      </c>
      <c r="AJ305" s="1" t="s">
        <v>59</v>
      </c>
      <c r="AK305" s="1" t="s">
        <v>60</v>
      </c>
      <c r="AL305" s="1" t="s">
        <v>60</v>
      </c>
      <c r="AW305" s="1" t="s">
        <v>670</v>
      </c>
      <c r="AY305" s="1">
        <v>1.0</v>
      </c>
      <c r="AZ305" s="1">
        <v>129.99</v>
      </c>
      <c r="BB305" s="1">
        <v>129.99</v>
      </c>
    </row>
    <row r="306">
      <c r="A306" s="1" t="s">
        <v>742</v>
      </c>
      <c r="C306" s="1" t="s">
        <v>56</v>
      </c>
      <c r="D306" s="1" t="s">
        <v>743</v>
      </c>
      <c r="Y306" s="2">
        <v>45521.0</v>
      </c>
      <c r="AE306" s="1">
        <v>139.99</v>
      </c>
      <c r="AG306" s="3" t="str">
        <f>"2000009061902378"</f>
        <v>2000009061902378</v>
      </c>
      <c r="AH306" s="1" t="s">
        <v>58</v>
      </c>
      <c r="AI306" s="1" t="s">
        <v>59</v>
      </c>
      <c r="AJ306" s="1" t="s">
        <v>59</v>
      </c>
      <c r="AK306" s="1" t="s">
        <v>60</v>
      </c>
      <c r="AL306" s="1" t="s">
        <v>60</v>
      </c>
      <c r="AW306" s="1" t="s">
        <v>744</v>
      </c>
      <c r="AY306" s="1">
        <v>1.0</v>
      </c>
      <c r="AZ306" s="1">
        <v>139.99</v>
      </c>
      <c r="BB306" s="1">
        <v>139.99</v>
      </c>
    </row>
    <row r="307">
      <c r="A307" s="1" t="s">
        <v>745</v>
      </c>
      <c r="C307" s="1" t="s">
        <v>56</v>
      </c>
      <c r="D307" s="1" t="s">
        <v>746</v>
      </c>
      <c r="Y307" s="2">
        <v>45521.0</v>
      </c>
      <c r="AE307" s="1">
        <v>109.99</v>
      </c>
      <c r="AG307" s="3" t="str">
        <f>"2000009061835204"</f>
        <v>2000009061835204</v>
      </c>
      <c r="AH307" s="1" t="s">
        <v>58</v>
      </c>
      <c r="AI307" s="1" t="s">
        <v>59</v>
      </c>
      <c r="AJ307" s="1" t="s">
        <v>59</v>
      </c>
      <c r="AK307" s="1" t="s">
        <v>60</v>
      </c>
      <c r="AL307" s="1" t="s">
        <v>60</v>
      </c>
      <c r="AW307" s="1" t="s">
        <v>747</v>
      </c>
      <c r="AY307" s="1">
        <v>1.0</v>
      </c>
      <c r="AZ307" s="1">
        <v>109.99</v>
      </c>
      <c r="BB307" s="1">
        <v>109.99</v>
      </c>
    </row>
    <row r="308">
      <c r="A308" s="1" t="s">
        <v>748</v>
      </c>
      <c r="C308" s="1" t="s">
        <v>56</v>
      </c>
      <c r="D308" s="1" t="s">
        <v>749</v>
      </c>
      <c r="Y308" s="2">
        <v>45521.0</v>
      </c>
      <c r="AE308" s="1">
        <v>69.99</v>
      </c>
      <c r="AG308" s="3" t="str">
        <f>"2000006189246131"</f>
        <v>2000006189246131</v>
      </c>
      <c r="AH308" s="1" t="s">
        <v>58</v>
      </c>
      <c r="AI308" s="1" t="s">
        <v>59</v>
      </c>
      <c r="AJ308" s="1" t="s">
        <v>59</v>
      </c>
      <c r="AK308" s="1" t="s">
        <v>60</v>
      </c>
      <c r="AL308" s="1" t="s">
        <v>60</v>
      </c>
      <c r="AW308" s="1" t="s">
        <v>750</v>
      </c>
      <c r="AY308" s="1">
        <v>1.0</v>
      </c>
      <c r="AZ308" s="1">
        <v>69.99</v>
      </c>
      <c r="BB308" s="1">
        <v>69.99</v>
      </c>
    </row>
    <row r="309">
      <c r="A309" s="1" t="s">
        <v>751</v>
      </c>
      <c r="C309" s="1" t="s">
        <v>56</v>
      </c>
      <c r="D309" s="1" t="s">
        <v>752</v>
      </c>
      <c r="Y309" s="2">
        <v>45521.0</v>
      </c>
      <c r="AE309" s="1">
        <v>89.99</v>
      </c>
      <c r="AG309" s="3" t="str">
        <f>"2000006189093263"</f>
        <v>2000006189093263</v>
      </c>
      <c r="AH309" s="1" t="s">
        <v>58</v>
      </c>
      <c r="AI309" s="1" t="s">
        <v>59</v>
      </c>
      <c r="AJ309" s="1" t="s">
        <v>59</v>
      </c>
      <c r="AK309" s="1" t="s">
        <v>60</v>
      </c>
      <c r="AL309" s="1" t="s">
        <v>60</v>
      </c>
      <c r="AW309" s="1" t="s">
        <v>753</v>
      </c>
      <c r="AY309" s="1">
        <v>1.0</v>
      </c>
      <c r="AZ309" s="1">
        <v>89.99</v>
      </c>
      <c r="BB309" s="1">
        <v>89.99</v>
      </c>
    </row>
    <row r="310">
      <c r="A310" s="1" t="s">
        <v>754</v>
      </c>
      <c r="C310" s="1" t="s">
        <v>56</v>
      </c>
      <c r="D310" s="1" t="s">
        <v>755</v>
      </c>
      <c r="Y310" s="2">
        <v>45521.0</v>
      </c>
      <c r="AE310" s="1">
        <v>54.99</v>
      </c>
      <c r="AG310" s="3" t="str">
        <f>"2000006189227841"</f>
        <v>2000006189227841</v>
      </c>
      <c r="AH310" s="1" t="s">
        <v>58</v>
      </c>
      <c r="AI310" s="1" t="s">
        <v>59</v>
      </c>
      <c r="AJ310" s="1" t="s">
        <v>59</v>
      </c>
      <c r="AK310" s="1" t="s">
        <v>60</v>
      </c>
      <c r="AL310" s="1" t="s">
        <v>60</v>
      </c>
      <c r="AW310" s="1" t="s">
        <v>133</v>
      </c>
      <c r="AY310" s="1">
        <v>1.0</v>
      </c>
      <c r="AZ310" s="1">
        <v>54.99</v>
      </c>
      <c r="BB310" s="1">
        <v>54.99</v>
      </c>
    </row>
    <row r="311">
      <c r="A311" s="1" t="s">
        <v>514</v>
      </c>
      <c r="C311" s="1" t="s">
        <v>56</v>
      </c>
      <c r="D311" s="1" t="s">
        <v>756</v>
      </c>
      <c r="Y311" s="2">
        <v>45521.0</v>
      </c>
      <c r="AE311" s="1">
        <v>59.99</v>
      </c>
      <c r="AG311" s="3" t="str">
        <f>"2000009061731718"</f>
        <v>2000009061731718</v>
      </c>
      <c r="AH311" s="1" t="s">
        <v>58</v>
      </c>
      <c r="AI311" s="1" t="s">
        <v>59</v>
      </c>
      <c r="AJ311" s="1" t="s">
        <v>59</v>
      </c>
      <c r="AK311" s="1" t="s">
        <v>60</v>
      </c>
      <c r="AL311" s="1" t="s">
        <v>60</v>
      </c>
      <c r="AW311" s="1" t="s">
        <v>516</v>
      </c>
      <c r="AY311" s="1">
        <v>1.0</v>
      </c>
      <c r="AZ311" s="1">
        <v>59.99</v>
      </c>
      <c r="BB311" s="1">
        <v>59.99</v>
      </c>
    </row>
    <row r="312">
      <c r="A312" s="1" t="s">
        <v>757</v>
      </c>
      <c r="C312" s="1" t="s">
        <v>56</v>
      </c>
      <c r="D312" s="1" t="s">
        <v>758</v>
      </c>
      <c r="Y312" s="2">
        <v>45521.0</v>
      </c>
      <c r="AE312" s="1">
        <v>499.99</v>
      </c>
      <c r="AG312" s="3" t="str">
        <f>"2000006189169501"</f>
        <v>2000006189169501</v>
      </c>
      <c r="AH312" s="1" t="s">
        <v>58</v>
      </c>
      <c r="AI312" s="1" t="s">
        <v>59</v>
      </c>
      <c r="AJ312" s="1" t="s">
        <v>59</v>
      </c>
      <c r="AK312" s="1" t="s">
        <v>60</v>
      </c>
      <c r="AL312" s="1" t="s">
        <v>60</v>
      </c>
      <c r="AW312" s="1" t="s">
        <v>759</v>
      </c>
      <c r="AY312" s="1">
        <v>1.0</v>
      </c>
      <c r="AZ312" s="1">
        <v>499.99</v>
      </c>
      <c r="BB312" s="1">
        <v>499.99</v>
      </c>
    </row>
    <row r="313">
      <c r="A313" s="1" t="s">
        <v>630</v>
      </c>
      <c r="C313" s="1" t="s">
        <v>56</v>
      </c>
      <c r="D313" s="1" t="s">
        <v>760</v>
      </c>
      <c r="Y313" s="2">
        <v>45521.0</v>
      </c>
      <c r="AE313" s="1">
        <v>189.99</v>
      </c>
      <c r="AG313" s="3" t="str">
        <f>"2000009061231596"</f>
        <v>2000009061231596</v>
      </c>
      <c r="AH313" s="1" t="s">
        <v>58</v>
      </c>
      <c r="AI313" s="1" t="s">
        <v>59</v>
      </c>
      <c r="AJ313" s="1" t="s">
        <v>59</v>
      </c>
      <c r="AK313" s="1" t="s">
        <v>60</v>
      </c>
      <c r="AL313" s="1" t="s">
        <v>60</v>
      </c>
      <c r="AW313" s="1" t="s">
        <v>632</v>
      </c>
      <c r="AY313" s="1">
        <v>1.0</v>
      </c>
      <c r="AZ313" s="1">
        <v>189.99</v>
      </c>
      <c r="BB313" s="1">
        <v>189.99</v>
      </c>
    </row>
    <row r="314">
      <c r="A314" s="1" t="s">
        <v>761</v>
      </c>
      <c r="C314" s="1" t="s">
        <v>56</v>
      </c>
      <c r="D314" s="1" t="s">
        <v>762</v>
      </c>
      <c r="Y314" s="2">
        <v>45521.0</v>
      </c>
      <c r="AE314" s="1">
        <v>129.99</v>
      </c>
      <c r="AG314" s="3" t="str">
        <f>"2000006189148513"</f>
        <v>2000006189148513</v>
      </c>
      <c r="AH314" s="1" t="s">
        <v>58</v>
      </c>
      <c r="AI314" s="1" t="s">
        <v>59</v>
      </c>
      <c r="AJ314" s="1" t="s">
        <v>59</v>
      </c>
      <c r="AK314" s="1" t="s">
        <v>60</v>
      </c>
      <c r="AL314" s="1" t="s">
        <v>60</v>
      </c>
      <c r="AW314" s="1" t="s">
        <v>763</v>
      </c>
      <c r="AY314" s="1">
        <v>1.0</v>
      </c>
      <c r="AZ314" s="1">
        <v>129.99</v>
      </c>
      <c r="BB314" s="1">
        <v>129.99</v>
      </c>
    </row>
    <row r="315">
      <c r="A315" s="1" t="s">
        <v>764</v>
      </c>
      <c r="C315" s="1" t="s">
        <v>56</v>
      </c>
      <c r="D315" s="1" t="s">
        <v>765</v>
      </c>
      <c r="Y315" s="2">
        <v>45521.0</v>
      </c>
      <c r="AE315" s="1">
        <v>66.99</v>
      </c>
      <c r="AG315" s="3" t="str">
        <f>"2000006189141737"</f>
        <v>2000006189141737</v>
      </c>
      <c r="AH315" s="1" t="s">
        <v>58</v>
      </c>
      <c r="AI315" s="1" t="s">
        <v>59</v>
      </c>
      <c r="AJ315" s="1" t="s">
        <v>59</v>
      </c>
      <c r="AK315" s="1" t="s">
        <v>60</v>
      </c>
      <c r="AL315" s="1" t="s">
        <v>60</v>
      </c>
      <c r="AW315" s="1" t="s">
        <v>766</v>
      </c>
      <c r="AY315" s="1">
        <v>1.0</v>
      </c>
      <c r="AZ315" s="1">
        <v>66.99</v>
      </c>
      <c r="BB315" s="1">
        <v>66.99</v>
      </c>
    </row>
    <row r="316">
      <c r="A316" s="1" t="s">
        <v>302</v>
      </c>
      <c r="C316" s="1" t="s">
        <v>56</v>
      </c>
      <c r="D316" s="1" t="s">
        <v>767</v>
      </c>
      <c r="Y316" s="2">
        <v>45521.0</v>
      </c>
      <c r="AE316" s="1">
        <v>78.96</v>
      </c>
      <c r="AG316" s="3" t="str">
        <f>"2000006189095639"</f>
        <v>2000006189095639</v>
      </c>
      <c r="AH316" s="1" t="s">
        <v>58</v>
      </c>
      <c r="AI316" s="1" t="s">
        <v>59</v>
      </c>
      <c r="AJ316" s="1" t="s">
        <v>59</v>
      </c>
      <c r="AK316" s="1" t="s">
        <v>60</v>
      </c>
      <c r="AL316" s="1" t="s">
        <v>60</v>
      </c>
      <c r="AW316" s="1" t="s">
        <v>304</v>
      </c>
      <c r="AY316" s="1">
        <v>2.0</v>
      </c>
      <c r="AZ316" s="1">
        <v>39.48</v>
      </c>
      <c r="BB316" s="1">
        <v>78.96</v>
      </c>
    </row>
    <row r="317">
      <c r="A317" s="1" t="s">
        <v>768</v>
      </c>
      <c r="C317" s="1" t="s">
        <v>56</v>
      </c>
      <c r="D317" s="1" t="s">
        <v>769</v>
      </c>
      <c r="Y317" s="2">
        <v>45521.0</v>
      </c>
      <c r="AE317" s="1">
        <v>159.99</v>
      </c>
      <c r="AG317" s="3" t="str">
        <f>"2000006189059917"</f>
        <v>2000006189059917</v>
      </c>
      <c r="AH317" s="1" t="s">
        <v>58</v>
      </c>
      <c r="AI317" s="1" t="s">
        <v>59</v>
      </c>
      <c r="AJ317" s="1" t="s">
        <v>59</v>
      </c>
      <c r="AK317" s="1" t="s">
        <v>60</v>
      </c>
      <c r="AL317" s="1" t="s">
        <v>60</v>
      </c>
      <c r="AW317" s="1" t="s">
        <v>770</v>
      </c>
      <c r="AY317" s="1">
        <v>1.0</v>
      </c>
      <c r="AZ317" s="1">
        <v>159.99</v>
      </c>
      <c r="BB317" s="1">
        <v>159.99</v>
      </c>
    </row>
    <row r="318">
      <c r="A318" s="1" t="s">
        <v>771</v>
      </c>
      <c r="C318" s="1" t="s">
        <v>56</v>
      </c>
      <c r="D318" s="1" t="s">
        <v>772</v>
      </c>
      <c r="Y318" s="2">
        <v>45521.0</v>
      </c>
      <c r="AE318" s="1">
        <v>139.98</v>
      </c>
      <c r="AG318" s="3" t="str">
        <f>"2000009061449530"</f>
        <v>2000009061449530</v>
      </c>
      <c r="AH318" s="1" t="s">
        <v>58</v>
      </c>
      <c r="AI318" s="1" t="s">
        <v>59</v>
      </c>
      <c r="AJ318" s="1" t="s">
        <v>59</v>
      </c>
      <c r="AK318" s="1" t="s">
        <v>60</v>
      </c>
      <c r="AL318" s="1" t="s">
        <v>60</v>
      </c>
      <c r="AW318" s="1" t="s">
        <v>773</v>
      </c>
      <c r="AY318" s="1">
        <v>1.0</v>
      </c>
      <c r="AZ318" s="1">
        <v>139.98</v>
      </c>
      <c r="BB318" s="1">
        <v>139.98</v>
      </c>
    </row>
    <row r="319">
      <c r="A319" s="1" t="s">
        <v>335</v>
      </c>
      <c r="C319" s="1" t="s">
        <v>56</v>
      </c>
      <c r="D319" s="1" t="s">
        <v>774</v>
      </c>
      <c r="Y319" s="2">
        <v>45521.0</v>
      </c>
      <c r="AE319" s="1">
        <v>64.99</v>
      </c>
      <c r="AG319" s="3" t="str">
        <f>"2000009061422670"</f>
        <v>2000009061422670</v>
      </c>
      <c r="AH319" s="1" t="s">
        <v>58</v>
      </c>
      <c r="AI319" s="1" t="s">
        <v>59</v>
      </c>
      <c r="AJ319" s="1" t="s">
        <v>59</v>
      </c>
      <c r="AK319" s="1" t="s">
        <v>60</v>
      </c>
      <c r="AL319" s="1" t="s">
        <v>60</v>
      </c>
      <c r="AW319" s="1" t="s">
        <v>209</v>
      </c>
      <c r="AY319" s="1">
        <v>1.0</v>
      </c>
      <c r="AZ319" s="1">
        <v>64.99</v>
      </c>
      <c r="BB319" s="1">
        <v>64.99</v>
      </c>
    </row>
    <row r="320">
      <c r="A320" s="1" t="s">
        <v>178</v>
      </c>
      <c r="C320" s="1" t="s">
        <v>56</v>
      </c>
      <c r="D320" s="1" t="s">
        <v>775</v>
      </c>
      <c r="Y320" s="2">
        <v>45521.0</v>
      </c>
      <c r="AE320" s="1">
        <v>134.99</v>
      </c>
      <c r="AG320" s="3" t="str">
        <f>"2000006188997687"</f>
        <v>2000006188997687</v>
      </c>
      <c r="AH320" s="1" t="s">
        <v>58</v>
      </c>
      <c r="AI320" s="1" t="s">
        <v>59</v>
      </c>
      <c r="AJ320" s="1" t="s">
        <v>59</v>
      </c>
      <c r="AK320" s="1" t="s">
        <v>60</v>
      </c>
      <c r="AL320" s="1" t="s">
        <v>60</v>
      </c>
      <c r="AW320" s="1" t="s">
        <v>180</v>
      </c>
      <c r="AY320" s="1">
        <v>1.0</v>
      </c>
      <c r="AZ320" s="1">
        <v>134.99</v>
      </c>
      <c r="BB320" s="1">
        <v>134.99</v>
      </c>
    </row>
    <row r="321">
      <c r="A321" s="1" t="s">
        <v>776</v>
      </c>
      <c r="C321" s="1" t="s">
        <v>56</v>
      </c>
      <c r="D321" s="1" t="s">
        <v>777</v>
      </c>
      <c r="Y321" s="2">
        <v>45521.0</v>
      </c>
      <c r="AE321" s="1">
        <v>79.99</v>
      </c>
      <c r="AG321" s="3" t="str">
        <f>"2000009061349634"</f>
        <v>2000009061349634</v>
      </c>
      <c r="AH321" s="1" t="s">
        <v>58</v>
      </c>
      <c r="AI321" s="1" t="s">
        <v>59</v>
      </c>
      <c r="AJ321" s="1" t="s">
        <v>59</v>
      </c>
      <c r="AK321" s="1" t="s">
        <v>60</v>
      </c>
      <c r="AL321" s="1" t="s">
        <v>60</v>
      </c>
      <c r="AW321" s="1" t="s">
        <v>778</v>
      </c>
      <c r="AY321" s="1">
        <v>1.0</v>
      </c>
      <c r="AZ321" s="1">
        <v>79.99</v>
      </c>
      <c r="BB321" s="1">
        <v>79.99</v>
      </c>
    </row>
    <row r="322">
      <c r="A322" s="1" t="s">
        <v>709</v>
      </c>
      <c r="C322" s="1" t="s">
        <v>56</v>
      </c>
      <c r="D322" s="1" t="s">
        <v>779</v>
      </c>
      <c r="Y322" s="2">
        <v>45521.0</v>
      </c>
      <c r="AE322" s="1">
        <v>479.99</v>
      </c>
      <c r="AG322" s="3" t="str">
        <f>"2000006188946523"</f>
        <v>2000006188946523</v>
      </c>
      <c r="AH322" s="1" t="s">
        <v>58</v>
      </c>
      <c r="AI322" s="1" t="s">
        <v>59</v>
      </c>
      <c r="AJ322" s="1" t="s">
        <v>59</v>
      </c>
      <c r="AK322" s="1" t="s">
        <v>60</v>
      </c>
      <c r="AL322" s="1" t="s">
        <v>60</v>
      </c>
      <c r="AW322" s="1" t="s">
        <v>711</v>
      </c>
      <c r="AY322" s="1">
        <v>1.0</v>
      </c>
      <c r="AZ322" s="1">
        <v>479.99</v>
      </c>
      <c r="BB322" s="1">
        <v>479.99</v>
      </c>
    </row>
    <row r="323">
      <c r="A323" s="1" t="s">
        <v>390</v>
      </c>
      <c r="C323" s="1" t="s">
        <v>56</v>
      </c>
      <c r="D323" s="1" t="s">
        <v>780</v>
      </c>
      <c r="Y323" s="2">
        <v>45521.0</v>
      </c>
      <c r="AE323" s="1">
        <v>79.99</v>
      </c>
      <c r="AG323" s="3" t="str">
        <f>"2000006188783717"</f>
        <v>2000006188783717</v>
      </c>
      <c r="AH323" s="1" t="s">
        <v>58</v>
      </c>
      <c r="AI323" s="1" t="s">
        <v>59</v>
      </c>
      <c r="AJ323" s="1" t="s">
        <v>59</v>
      </c>
      <c r="AK323" s="1" t="s">
        <v>60</v>
      </c>
      <c r="AL323" s="1" t="s">
        <v>60</v>
      </c>
      <c r="AW323" s="1" t="s">
        <v>392</v>
      </c>
      <c r="AY323" s="1">
        <v>1.0</v>
      </c>
      <c r="AZ323" s="1">
        <v>79.99</v>
      </c>
      <c r="BB323" s="1">
        <v>79.99</v>
      </c>
    </row>
    <row r="324">
      <c r="A324" s="1" t="s">
        <v>781</v>
      </c>
      <c r="C324" s="1" t="s">
        <v>56</v>
      </c>
      <c r="D324" s="1" t="s">
        <v>782</v>
      </c>
      <c r="Y324" s="2">
        <v>45521.0</v>
      </c>
      <c r="AE324" s="1">
        <v>149.99</v>
      </c>
      <c r="AG324" s="3" t="str">
        <f>"2000009061141752"</f>
        <v>2000009061141752</v>
      </c>
      <c r="AH324" s="1" t="s">
        <v>58</v>
      </c>
      <c r="AI324" s="1" t="s">
        <v>59</v>
      </c>
      <c r="AJ324" s="1" t="s">
        <v>59</v>
      </c>
      <c r="AK324" s="1" t="s">
        <v>60</v>
      </c>
      <c r="AL324" s="1" t="s">
        <v>60</v>
      </c>
      <c r="AW324" s="1" t="s">
        <v>783</v>
      </c>
      <c r="AY324" s="1">
        <v>1.0</v>
      </c>
      <c r="AZ324" s="1">
        <v>149.99</v>
      </c>
      <c r="BB324" s="1">
        <v>149.99</v>
      </c>
    </row>
    <row r="325">
      <c r="A325" s="1" t="s">
        <v>701</v>
      </c>
      <c r="C325" s="1" t="s">
        <v>56</v>
      </c>
      <c r="D325" s="1" t="s">
        <v>784</v>
      </c>
      <c r="Y325" s="2">
        <v>45521.0</v>
      </c>
      <c r="AE325" s="1">
        <v>59.99</v>
      </c>
      <c r="AG325" s="3" t="str">
        <f>"2000006188717817"</f>
        <v>2000006188717817</v>
      </c>
      <c r="AH325" s="1" t="s">
        <v>58</v>
      </c>
      <c r="AI325" s="1" t="s">
        <v>59</v>
      </c>
      <c r="AJ325" s="1" t="s">
        <v>59</v>
      </c>
      <c r="AK325" s="1" t="s">
        <v>60</v>
      </c>
      <c r="AL325" s="1" t="s">
        <v>60</v>
      </c>
      <c r="AW325" s="1" t="s">
        <v>703</v>
      </c>
      <c r="AY325" s="1">
        <v>1.0</v>
      </c>
      <c r="AZ325" s="1">
        <v>59.99</v>
      </c>
      <c r="BB325" s="1">
        <v>59.99</v>
      </c>
    </row>
    <row r="326">
      <c r="A326" s="1" t="s">
        <v>785</v>
      </c>
      <c r="C326" s="1" t="s">
        <v>56</v>
      </c>
      <c r="D326" s="1" t="s">
        <v>786</v>
      </c>
      <c r="Y326" s="2">
        <v>45521.0</v>
      </c>
      <c r="AE326" s="1">
        <v>169.99</v>
      </c>
      <c r="AG326" s="3" t="str">
        <f>"2000006188731777"</f>
        <v>2000006188731777</v>
      </c>
      <c r="AH326" s="1" t="s">
        <v>58</v>
      </c>
      <c r="AI326" s="1" t="s">
        <v>59</v>
      </c>
      <c r="AJ326" s="1" t="s">
        <v>59</v>
      </c>
      <c r="AK326" s="1" t="s">
        <v>60</v>
      </c>
      <c r="AL326" s="1" t="s">
        <v>60</v>
      </c>
      <c r="AW326" s="1" t="s">
        <v>787</v>
      </c>
      <c r="AY326" s="1">
        <v>1.0</v>
      </c>
      <c r="AZ326" s="1">
        <v>169.99</v>
      </c>
      <c r="BB326" s="1">
        <v>169.99</v>
      </c>
    </row>
    <row r="327">
      <c r="A327" s="1" t="s">
        <v>201</v>
      </c>
      <c r="C327" s="1" t="s">
        <v>56</v>
      </c>
      <c r="D327" s="1" t="s">
        <v>788</v>
      </c>
      <c r="Y327" s="2">
        <v>45521.0</v>
      </c>
      <c r="AE327" s="1">
        <v>49.99</v>
      </c>
      <c r="AG327" s="3" t="str">
        <f>"2000006188720705"</f>
        <v>2000006188720705</v>
      </c>
      <c r="AH327" s="1" t="s">
        <v>58</v>
      </c>
      <c r="AI327" s="1" t="s">
        <v>59</v>
      </c>
      <c r="AJ327" s="1" t="s">
        <v>59</v>
      </c>
      <c r="AK327" s="1" t="s">
        <v>60</v>
      </c>
      <c r="AL327" s="1" t="s">
        <v>60</v>
      </c>
      <c r="AW327" s="1" t="s">
        <v>203</v>
      </c>
      <c r="AY327" s="1">
        <v>1.0</v>
      </c>
      <c r="AZ327" s="1">
        <v>49.99</v>
      </c>
      <c r="BB327" s="1">
        <v>49.99</v>
      </c>
    </row>
    <row r="328">
      <c r="A328" s="1" t="s">
        <v>789</v>
      </c>
      <c r="C328" s="1" t="s">
        <v>56</v>
      </c>
      <c r="D328" s="1" t="s">
        <v>790</v>
      </c>
      <c r="Y328" s="2">
        <v>45521.0</v>
      </c>
      <c r="AE328" s="1">
        <v>129.99</v>
      </c>
      <c r="AG328" s="3" t="str">
        <f>"2000006188721447"</f>
        <v>2000006188721447</v>
      </c>
      <c r="AH328" s="1" t="s">
        <v>58</v>
      </c>
      <c r="AI328" s="1" t="s">
        <v>59</v>
      </c>
      <c r="AJ328" s="1" t="s">
        <v>59</v>
      </c>
      <c r="AK328" s="1" t="s">
        <v>60</v>
      </c>
      <c r="AL328" s="1" t="s">
        <v>60</v>
      </c>
      <c r="AW328" s="1" t="s">
        <v>791</v>
      </c>
      <c r="AY328" s="1">
        <v>1.0</v>
      </c>
      <c r="AZ328" s="1">
        <v>129.99</v>
      </c>
      <c r="BB328" s="1">
        <v>129.99</v>
      </c>
    </row>
    <row r="329">
      <c r="A329" s="1" t="s">
        <v>792</v>
      </c>
      <c r="C329" s="1" t="s">
        <v>56</v>
      </c>
      <c r="D329" s="1" t="s">
        <v>793</v>
      </c>
      <c r="Y329" s="2">
        <v>45521.0</v>
      </c>
      <c r="AE329" s="1">
        <v>189.99</v>
      </c>
      <c r="AG329" s="3" t="str">
        <f>"2000006188716215"</f>
        <v>2000006188716215</v>
      </c>
      <c r="AH329" s="1" t="s">
        <v>58</v>
      </c>
      <c r="AI329" s="1" t="s">
        <v>59</v>
      </c>
      <c r="AJ329" s="1" t="s">
        <v>59</v>
      </c>
      <c r="AK329" s="1" t="s">
        <v>60</v>
      </c>
      <c r="AL329" s="1" t="s">
        <v>60</v>
      </c>
      <c r="AW329" s="1" t="s">
        <v>794</v>
      </c>
      <c r="AY329" s="1">
        <v>1.0</v>
      </c>
      <c r="AZ329" s="1">
        <v>189.99</v>
      </c>
      <c r="BB329" s="1">
        <v>189.99</v>
      </c>
    </row>
    <row r="330">
      <c r="A330" s="1" t="s">
        <v>795</v>
      </c>
      <c r="C330" s="1" t="s">
        <v>56</v>
      </c>
      <c r="D330" s="1" t="s">
        <v>796</v>
      </c>
      <c r="Y330" s="2">
        <v>45521.0</v>
      </c>
      <c r="AE330" s="1">
        <v>59.99</v>
      </c>
      <c r="AG330" s="3" t="str">
        <f>"2000006188647703"</f>
        <v>2000006188647703</v>
      </c>
      <c r="AH330" s="1" t="s">
        <v>58</v>
      </c>
      <c r="AI330" s="1" t="s">
        <v>59</v>
      </c>
      <c r="AJ330" s="1" t="s">
        <v>59</v>
      </c>
      <c r="AK330" s="1" t="s">
        <v>60</v>
      </c>
      <c r="AL330" s="1" t="s">
        <v>60</v>
      </c>
      <c r="AW330" s="1" t="s">
        <v>797</v>
      </c>
      <c r="AY330" s="1">
        <v>1.0</v>
      </c>
      <c r="AZ330" s="1">
        <v>59.99</v>
      </c>
      <c r="BB330" s="1">
        <v>59.99</v>
      </c>
    </row>
    <row r="331">
      <c r="A331" s="1" t="s">
        <v>798</v>
      </c>
      <c r="C331" s="1" t="s">
        <v>56</v>
      </c>
      <c r="D331" s="1" t="s">
        <v>799</v>
      </c>
      <c r="Y331" s="2">
        <v>45521.0</v>
      </c>
      <c r="AE331" s="1">
        <v>89.99</v>
      </c>
      <c r="AG331" s="3" t="str">
        <f>"2000006188538447"</f>
        <v>2000006188538447</v>
      </c>
      <c r="AH331" s="1" t="s">
        <v>58</v>
      </c>
      <c r="AI331" s="1" t="s">
        <v>59</v>
      </c>
      <c r="AJ331" s="1" t="s">
        <v>59</v>
      </c>
      <c r="AK331" s="1" t="s">
        <v>60</v>
      </c>
      <c r="AL331" s="1" t="s">
        <v>60</v>
      </c>
      <c r="AW331" s="1" t="s">
        <v>800</v>
      </c>
      <c r="AY331" s="1">
        <v>1.0</v>
      </c>
      <c r="AZ331" s="1">
        <v>89.99</v>
      </c>
      <c r="BB331" s="1">
        <v>89.99</v>
      </c>
    </row>
    <row r="332">
      <c r="A332" s="1" t="s">
        <v>212</v>
      </c>
      <c r="C332" s="1" t="s">
        <v>56</v>
      </c>
      <c r="D332" s="1" t="s">
        <v>801</v>
      </c>
      <c r="Y332" s="2">
        <v>45521.0</v>
      </c>
      <c r="AE332" s="1">
        <v>49.99</v>
      </c>
      <c r="AG332" s="3" t="str">
        <f>"2000006188534839"</f>
        <v>2000006188534839</v>
      </c>
      <c r="AH332" s="1" t="s">
        <v>58</v>
      </c>
      <c r="AI332" s="1" t="s">
        <v>59</v>
      </c>
      <c r="AJ332" s="1" t="s">
        <v>59</v>
      </c>
      <c r="AK332" s="1" t="s">
        <v>60</v>
      </c>
      <c r="AL332" s="1" t="s">
        <v>60</v>
      </c>
      <c r="AW332" s="1" t="s">
        <v>214</v>
      </c>
      <c r="AY332" s="1">
        <v>1.0</v>
      </c>
      <c r="AZ332" s="1">
        <v>49.99</v>
      </c>
      <c r="BB332" s="1">
        <v>49.99</v>
      </c>
    </row>
    <row r="333">
      <c r="A333" s="1" t="s">
        <v>802</v>
      </c>
      <c r="C333" s="1" t="s">
        <v>56</v>
      </c>
      <c r="D333" s="1" t="s">
        <v>109</v>
      </c>
      <c r="Y333" s="2">
        <v>45521.0</v>
      </c>
      <c r="AE333" s="1">
        <v>99.98</v>
      </c>
      <c r="AG333" s="3" t="str">
        <f>"2000006188532337"</f>
        <v>2000006188532337</v>
      </c>
      <c r="AH333" s="1" t="s">
        <v>58</v>
      </c>
      <c r="AI333" s="1" t="s">
        <v>59</v>
      </c>
      <c r="AJ333" s="1" t="s">
        <v>59</v>
      </c>
      <c r="AK333" s="1" t="s">
        <v>60</v>
      </c>
      <c r="AL333" s="1" t="s">
        <v>60</v>
      </c>
      <c r="AW333" s="1" t="s">
        <v>70</v>
      </c>
      <c r="AY333" s="1">
        <v>2.0</v>
      </c>
      <c r="AZ333" s="1">
        <v>49.99</v>
      </c>
      <c r="BB333" s="1">
        <v>99.98</v>
      </c>
    </row>
    <row r="334">
      <c r="A334" s="1" t="s">
        <v>803</v>
      </c>
      <c r="C334" s="1" t="s">
        <v>56</v>
      </c>
      <c r="D334" s="1" t="s">
        <v>804</v>
      </c>
      <c r="Y334" s="2">
        <v>45521.0</v>
      </c>
      <c r="AE334" s="1">
        <v>64.99</v>
      </c>
      <c r="AG334" s="3" t="str">
        <f t="shared" ref="AG334:AG335" si="13">"2000006188455445"</f>
        <v>2000006188455445</v>
      </c>
      <c r="AH334" s="1" t="s">
        <v>58</v>
      </c>
      <c r="AI334" s="1" t="s">
        <v>59</v>
      </c>
      <c r="AJ334" s="1" t="s">
        <v>59</v>
      </c>
      <c r="AK334" s="1" t="s">
        <v>60</v>
      </c>
      <c r="AL334" s="1" t="s">
        <v>60</v>
      </c>
      <c r="AW334" s="1" t="s">
        <v>805</v>
      </c>
      <c r="AY334" s="1">
        <v>1.0</v>
      </c>
      <c r="AZ334" s="1">
        <v>64.99</v>
      </c>
      <c r="BB334" s="1">
        <v>64.99</v>
      </c>
    </row>
    <row r="335">
      <c r="A335" s="1" t="s">
        <v>296</v>
      </c>
      <c r="C335" s="1" t="s">
        <v>56</v>
      </c>
      <c r="D335" s="1" t="s">
        <v>804</v>
      </c>
      <c r="Y335" s="2">
        <v>45521.0</v>
      </c>
      <c r="AE335" s="1">
        <v>139.99</v>
      </c>
      <c r="AG335" s="3" t="str">
        <f t="shared" si="13"/>
        <v>2000006188455445</v>
      </c>
      <c r="AH335" s="1" t="s">
        <v>58</v>
      </c>
      <c r="AI335" s="1" t="s">
        <v>59</v>
      </c>
      <c r="AJ335" s="1" t="s">
        <v>59</v>
      </c>
      <c r="AK335" s="1" t="s">
        <v>60</v>
      </c>
      <c r="AL335" s="1" t="s">
        <v>60</v>
      </c>
      <c r="AW335" s="1" t="s">
        <v>298</v>
      </c>
      <c r="AY335" s="1">
        <v>1.0</v>
      </c>
      <c r="AZ335" s="1">
        <v>139.99</v>
      </c>
      <c r="BB335" s="1">
        <v>139.99</v>
      </c>
    </row>
    <row r="336">
      <c r="A336" s="1" t="s">
        <v>86</v>
      </c>
      <c r="C336" s="1" t="s">
        <v>56</v>
      </c>
      <c r="D336" s="1" t="s">
        <v>806</v>
      </c>
      <c r="Y336" s="2">
        <v>45521.0</v>
      </c>
      <c r="AE336" s="1">
        <v>64.99</v>
      </c>
      <c r="AG336" s="3" t="str">
        <f>"2000006188448147"</f>
        <v>2000006188448147</v>
      </c>
      <c r="AH336" s="1" t="s">
        <v>58</v>
      </c>
      <c r="AI336" s="1" t="s">
        <v>59</v>
      </c>
      <c r="AJ336" s="1" t="s">
        <v>59</v>
      </c>
      <c r="AK336" s="1" t="s">
        <v>60</v>
      </c>
      <c r="AL336" s="1" t="s">
        <v>60</v>
      </c>
      <c r="AW336" s="1" t="s">
        <v>88</v>
      </c>
      <c r="AY336" s="1">
        <v>1.0</v>
      </c>
      <c r="AZ336" s="1">
        <v>64.99</v>
      </c>
      <c r="BB336" s="1">
        <v>64.99</v>
      </c>
    </row>
    <row r="337">
      <c r="A337" s="1" t="s">
        <v>807</v>
      </c>
      <c r="C337" s="1" t="s">
        <v>56</v>
      </c>
      <c r="D337" s="1" t="s">
        <v>808</v>
      </c>
      <c r="Y337" s="2">
        <v>45521.0</v>
      </c>
      <c r="AE337" s="1">
        <v>49.99</v>
      </c>
      <c r="AG337" s="3" t="str">
        <f>"2000006188417751"</f>
        <v>2000006188417751</v>
      </c>
      <c r="AH337" s="1" t="s">
        <v>58</v>
      </c>
      <c r="AI337" s="1" t="s">
        <v>59</v>
      </c>
      <c r="AJ337" s="1" t="s">
        <v>59</v>
      </c>
      <c r="AK337" s="1" t="s">
        <v>60</v>
      </c>
      <c r="AL337" s="1" t="s">
        <v>60</v>
      </c>
      <c r="AW337" s="1" t="s">
        <v>97</v>
      </c>
      <c r="AY337" s="1">
        <v>1.0</v>
      </c>
      <c r="AZ337" s="1">
        <v>49.99</v>
      </c>
      <c r="BB337" s="1">
        <v>49.99</v>
      </c>
    </row>
    <row r="338">
      <c r="A338" s="1" t="s">
        <v>428</v>
      </c>
      <c r="C338" s="1" t="s">
        <v>56</v>
      </c>
      <c r="D338" s="1" t="s">
        <v>809</v>
      </c>
      <c r="Y338" s="2">
        <v>45521.0</v>
      </c>
      <c r="AE338" s="1">
        <v>279.99</v>
      </c>
      <c r="AG338" s="3" t="str">
        <f>"2000006188276267"</f>
        <v>2000006188276267</v>
      </c>
      <c r="AH338" s="1" t="s">
        <v>58</v>
      </c>
      <c r="AI338" s="1" t="s">
        <v>59</v>
      </c>
      <c r="AJ338" s="1" t="s">
        <v>59</v>
      </c>
      <c r="AK338" s="1" t="s">
        <v>60</v>
      </c>
      <c r="AL338" s="1" t="s">
        <v>60</v>
      </c>
      <c r="AW338" s="1" t="s">
        <v>430</v>
      </c>
      <c r="AY338" s="1">
        <v>1.0</v>
      </c>
      <c r="AZ338" s="1">
        <v>279.99</v>
      </c>
      <c r="BB338" s="1">
        <v>279.99</v>
      </c>
    </row>
    <row r="339">
      <c r="A339" s="1" t="s">
        <v>62</v>
      </c>
      <c r="C339" s="1" t="s">
        <v>56</v>
      </c>
      <c r="D339" s="1" t="s">
        <v>810</v>
      </c>
      <c r="Y339" s="2">
        <v>45521.0</v>
      </c>
      <c r="AE339" s="1">
        <v>249.49</v>
      </c>
      <c r="AG339" s="3" t="str">
        <f>"2000006188209777"</f>
        <v>2000006188209777</v>
      </c>
      <c r="AH339" s="1" t="s">
        <v>58</v>
      </c>
      <c r="AI339" s="1" t="s">
        <v>59</v>
      </c>
      <c r="AJ339" s="1" t="s">
        <v>59</v>
      </c>
      <c r="AK339" s="1" t="s">
        <v>60</v>
      </c>
      <c r="AL339" s="1" t="s">
        <v>60</v>
      </c>
      <c r="AW339" s="1" t="s">
        <v>64</v>
      </c>
      <c r="AY339" s="1">
        <v>1.0</v>
      </c>
      <c r="AZ339" s="1">
        <v>249.49</v>
      </c>
      <c r="BB339" s="1">
        <v>249.49</v>
      </c>
    </row>
    <row r="340">
      <c r="A340" s="1" t="s">
        <v>153</v>
      </c>
      <c r="C340" s="1" t="s">
        <v>56</v>
      </c>
      <c r="D340" s="1" t="s">
        <v>811</v>
      </c>
      <c r="Y340" s="2">
        <v>45521.0</v>
      </c>
      <c r="AE340" s="1">
        <v>47.18</v>
      </c>
      <c r="AG340" s="3" t="str">
        <f t="shared" ref="AG340:AG341" si="14">"2000006188041673"</f>
        <v>2000006188041673</v>
      </c>
      <c r="AH340" s="1" t="s">
        <v>58</v>
      </c>
      <c r="AI340" s="1" t="s">
        <v>59</v>
      </c>
      <c r="AJ340" s="1" t="s">
        <v>59</v>
      </c>
      <c r="AK340" s="1" t="s">
        <v>60</v>
      </c>
      <c r="AL340" s="1" t="s">
        <v>60</v>
      </c>
      <c r="AW340" s="1" t="s">
        <v>155</v>
      </c>
      <c r="AY340" s="1">
        <v>1.0</v>
      </c>
      <c r="AZ340" s="1">
        <v>47.18</v>
      </c>
      <c r="BB340" s="1">
        <v>47.18</v>
      </c>
    </row>
    <row r="341">
      <c r="A341" s="1" t="s">
        <v>360</v>
      </c>
      <c r="C341" s="1" t="s">
        <v>56</v>
      </c>
      <c r="D341" s="1" t="s">
        <v>811</v>
      </c>
      <c r="Y341" s="2">
        <v>45521.0</v>
      </c>
      <c r="AE341" s="1">
        <v>47.18</v>
      </c>
      <c r="AG341" s="3" t="str">
        <f t="shared" si="14"/>
        <v>2000006188041673</v>
      </c>
      <c r="AH341" s="1" t="s">
        <v>58</v>
      </c>
      <c r="AI341" s="1" t="s">
        <v>59</v>
      </c>
      <c r="AJ341" s="1" t="s">
        <v>59</v>
      </c>
      <c r="AK341" s="1" t="s">
        <v>60</v>
      </c>
      <c r="AL341" s="1" t="s">
        <v>60</v>
      </c>
      <c r="AW341" s="1" t="s">
        <v>155</v>
      </c>
      <c r="AY341" s="1">
        <v>1.0</v>
      </c>
      <c r="AZ341" s="1">
        <v>47.18</v>
      </c>
      <c r="BB341" s="1">
        <v>47.18</v>
      </c>
    </row>
    <row r="342">
      <c r="A342" s="1" t="s">
        <v>812</v>
      </c>
      <c r="C342" s="1" t="s">
        <v>56</v>
      </c>
      <c r="D342" s="1" t="s">
        <v>813</v>
      </c>
      <c r="Y342" s="2">
        <v>45521.0</v>
      </c>
      <c r="AE342" s="1">
        <v>89.99</v>
      </c>
      <c r="AG342" s="3" t="str">
        <f>"2000006188007847"</f>
        <v>2000006188007847</v>
      </c>
      <c r="AH342" s="1" t="s">
        <v>58</v>
      </c>
      <c r="AI342" s="1" t="s">
        <v>59</v>
      </c>
      <c r="AJ342" s="1" t="s">
        <v>59</v>
      </c>
      <c r="AK342" s="1" t="s">
        <v>60</v>
      </c>
      <c r="AL342" s="1" t="s">
        <v>60</v>
      </c>
      <c r="AW342" s="1" t="s">
        <v>814</v>
      </c>
      <c r="AY342" s="1">
        <v>1.0</v>
      </c>
      <c r="AZ342" s="1">
        <v>89.99</v>
      </c>
      <c r="BB342" s="1">
        <v>89.99</v>
      </c>
    </row>
    <row r="343">
      <c r="A343" s="1" t="s">
        <v>815</v>
      </c>
      <c r="C343" s="1" t="s">
        <v>56</v>
      </c>
      <c r="D343" s="1" t="s">
        <v>816</v>
      </c>
      <c r="Y343" s="2">
        <v>45521.0</v>
      </c>
      <c r="AE343" s="1">
        <v>49.99</v>
      </c>
      <c r="AG343" s="3" t="str">
        <f>"2000006187982377"</f>
        <v>2000006187982377</v>
      </c>
      <c r="AH343" s="1" t="s">
        <v>58</v>
      </c>
      <c r="AI343" s="1" t="s">
        <v>59</v>
      </c>
      <c r="AJ343" s="1" t="s">
        <v>59</v>
      </c>
      <c r="AK343" s="1" t="s">
        <v>60</v>
      </c>
      <c r="AL343" s="1" t="s">
        <v>60</v>
      </c>
      <c r="AW343" s="1" t="s">
        <v>817</v>
      </c>
      <c r="AY343" s="1">
        <v>1.0</v>
      </c>
      <c r="AZ343" s="1">
        <v>49.99</v>
      </c>
      <c r="BB343" s="1">
        <v>49.99</v>
      </c>
    </row>
    <row r="344">
      <c r="A344" s="1" t="s">
        <v>62</v>
      </c>
      <c r="C344" s="1" t="s">
        <v>56</v>
      </c>
      <c r="D344" s="1" t="s">
        <v>818</v>
      </c>
      <c r="Y344" s="2">
        <v>45521.0</v>
      </c>
      <c r="AE344" s="1">
        <v>249.49</v>
      </c>
      <c r="AG344" s="3" t="str">
        <f>"2000006187948407"</f>
        <v>2000006187948407</v>
      </c>
      <c r="AH344" s="1" t="s">
        <v>58</v>
      </c>
      <c r="AI344" s="1" t="s">
        <v>59</v>
      </c>
      <c r="AJ344" s="1" t="s">
        <v>59</v>
      </c>
      <c r="AK344" s="1" t="s">
        <v>60</v>
      </c>
      <c r="AL344" s="1" t="s">
        <v>60</v>
      </c>
      <c r="AW344" s="1" t="s">
        <v>64</v>
      </c>
      <c r="AY344" s="1">
        <v>1.0</v>
      </c>
      <c r="AZ344" s="1">
        <v>249.49</v>
      </c>
      <c r="BB344" s="1">
        <v>249.49</v>
      </c>
    </row>
    <row r="345">
      <c r="A345" s="1" t="s">
        <v>819</v>
      </c>
      <c r="C345" s="1" t="s">
        <v>56</v>
      </c>
      <c r="D345" s="1" t="s">
        <v>820</v>
      </c>
      <c r="Y345" s="2">
        <v>45521.0</v>
      </c>
      <c r="AE345" s="1">
        <v>449.99</v>
      </c>
      <c r="AG345" s="3" t="str">
        <f>"2000009059296366"</f>
        <v>2000009059296366</v>
      </c>
      <c r="AH345" s="1" t="s">
        <v>58</v>
      </c>
      <c r="AI345" s="1" t="s">
        <v>59</v>
      </c>
      <c r="AJ345" s="1" t="s">
        <v>59</v>
      </c>
      <c r="AK345" s="1" t="s">
        <v>60</v>
      </c>
      <c r="AL345" s="1" t="s">
        <v>60</v>
      </c>
      <c r="AW345" s="1" t="s">
        <v>821</v>
      </c>
      <c r="AY345" s="1">
        <v>1.0</v>
      </c>
      <c r="AZ345" s="1">
        <v>449.99</v>
      </c>
      <c r="BB345" s="1">
        <v>449.99</v>
      </c>
    </row>
    <row r="346">
      <c r="A346" s="1" t="s">
        <v>822</v>
      </c>
      <c r="C346" s="1" t="s">
        <v>56</v>
      </c>
      <c r="D346" s="1" t="s">
        <v>823</v>
      </c>
      <c r="Y346" s="2">
        <v>45521.0</v>
      </c>
      <c r="AE346" s="1">
        <v>139.99</v>
      </c>
      <c r="AG346" s="3" t="str">
        <f>"2000006187918445"</f>
        <v>2000006187918445</v>
      </c>
      <c r="AH346" s="1" t="s">
        <v>58</v>
      </c>
      <c r="AI346" s="1" t="s">
        <v>59</v>
      </c>
      <c r="AJ346" s="1" t="s">
        <v>59</v>
      </c>
      <c r="AK346" s="1" t="s">
        <v>60</v>
      </c>
      <c r="AL346" s="1" t="s">
        <v>60</v>
      </c>
      <c r="AW346" s="1" t="s">
        <v>824</v>
      </c>
      <c r="AY346" s="1">
        <v>1.0</v>
      </c>
      <c r="AZ346" s="1">
        <v>139.99</v>
      </c>
      <c r="BB346" s="1">
        <v>139.99</v>
      </c>
    </row>
    <row r="347">
      <c r="A347" s="1" t="s">
        <v>178</v>
      </c>
      <c r="C347" s="1" t="s">
        <v>56</v>
      </c>
      <c r="D347" s="1" t="s">
        <v>825</v>
      </c>
      <c r="Y347" s="2">
        <v>45521.0</v>
      </c>
      <c r="AE347" s="1">
        <v>134.99</v>
      </c>
      <c r="AG347" s="3" t="str">
        <f>"2000006187918063"</f>
        <v>2000006187918063</v>
      </c>
      <c r="AH347" s="1" t="s">
        <v>58</v>
      </c>
      <c r="AI347" s="1" t="s">
        <v>59</v>
      </c>
      <c r="AJ347" s="1" t="s">
        <v>59</v>
      </c>
      <c r="AK347" s="1" t="s">
        <v>60</v>
      </c>
      <c r="AL347" s="1" t="s">
        <v>60</v>
      </c>
      <c r="AW347" s="1" t="s">
        <v>180</v>
      </c>
      <c r="AY347" s="1">
        <v>1.0</v>
      </c>
      <c r="AZ347" s="1">
        <v>134.99</v>
      </c>
      <c r="BB347" s="1">
        <v>134.99</v>
      </c>
    </row>
    <row r="348">
      <c r="A348" s="1" t="s">
        <v>826</v>
      </c>
      <c r="C348" s="1" t="s">
        <v>56</v>
      </c>
      <c r="D348" s="1" t="s">
        <v>827</v>
      </c>
      <c r="Y348" s="2">
        <v>45521.0</v>
      </c>
      <c r="AE348" s="1">
        <v>49.99</v>
      </c>
      <c r="AG348" s="3" t="str">
        <f>"2000006187911155"</f>
        <v>2000006187911155</v>
      </c>
      <c r="AH348" s="1" t="s">
        <v>58</v>
      </c>
      <c r="AI348" s="1" t="s">
        <v>59</v>
      </c>
      <c r="AJ348" s="1" t="s">
        <v>59</v>
      </c>
      <c r="AK348" s="1" t="s">
        <v>60</v>
      </c>
      <c r="AL348" s="1" t="s">
        <v>60</v>
      </c>
      <c r="AW348" s="1" t="s">
        <v>828</v>
      </c>
      <c r="AY348" s="1">
        <v>1.0</v>
      </c>
      <c r="AZ348" s="1">
        <v>49.99</v>
      </c>
      <c r="BB348" s="1">
        <v>49.99</v>
      </c>
    </row>
    <row r="349">
      <c r="A349" s="1" t="s">
        <v>586</v>
      </c>
      <c r="C349" s="1" t="s">
        <v>56</v>
      </c>
      <c r="D349" s="1" t="s">
        <v>829</v>
      </c>
      <c r="Y349" s="2">
        <v>45521.0</v>
      </c>
      <c r="AE349" s="1">
        <v>97.99</v>
      </c>
      <c r="AG349" s="3" t="str">
        <f>"2000006187847491"</f>
        <v>2000006187847491</v>
      </c>
      <c r="AH349" s="1" t="s">
        <v>58</v>
      </c>
      <c r="AI349" s="1" t="s">
        <v>59</v>
      </c>
      <c r="AJ349" s="1" t="s">
        <v>59</v>
      </c>
      <c r="AK349" s="1" t="s">
        <v>60</v>
      </c>
      <c r="AL349" s="1" t="s">
        <v>60</v>
      </c>
      <c r="AW349" s="1" t="s">
        <v>588</v>
      </c>
      <c r="AY349" s="1">
        <v>1.0</v>
      </c>
      <c r="AZ349" s="1">
        <v>97.99</v>
      </c>
      <c r="BB349" s="1">
        <v>97.99</v>
      </c>
    </row>
    <row r="350">
      <c r="A350" s="1" t="s">
        <v>480</v>
      </c>
      <c r="C350" s="1" t="s">
        <v>56</v>
      </c>
      <c r="D350" s="1" t="s">
        <v>830</v>
      </c>
      <c r="Y350" s="2">
        <v>45521.0</v>
      </c>
      <c r="AE350" s="1">
        <v>64.99</v>
      </c>
      <c r="AG350" s="3" t="str">
        <f>"2000006187871621"</f>
        <v>2000006187871621</v>
      </c>
      <c r="AH350" s="1" t="s">
        <v>58</v>
      </c>
      <c r="AI350" s="1" t="s">
        <v>59</v>
      </c>
      <c r="AJ350" s="1" t="s">
        <v>59</v>
      </c>
      <c r="AK350" s="1" t="s">
        <v>60</v>
      </c>
      <c r="AL350" s="1" t="s">
        <v>60</v>
      </c>
      <c r="AW350" s="1" t="s">
        <v>482</v>
      </c>
      <c r="AY350" s="1">
        <v>1.0</v>
      </c>
      <c r="AZ350" s="1">
        <v>64.99</v>
      </c>
      <c r="BB350" s="1">
        <v>64.99</v>
      </c>
    </row>
    <row r="351">
      <c r="A351" s="1" t="s">
        <v>831</v>
      </c>
      <c r="C351" s="1" t="s">
        <v>56</v>
      </c>
      <c r="D351" s="1" t="s">
        <v>832</v>
      </c>
      <c r="Y351" s="2">
        <v>45521.0</v>
      </c>
      <c r="AE351" s="1">
        <v>99.99</v>
      </c>
      <c r="AG351" s="3" t="str">
        <f>"2000006187838251"</f>
        <v>2000006187838251</v>
      </c>
      <c r="AH351" s="1" t="s">
        <v>58</v>
      </c>
      <c r="AI351" s="1" t="s">
        <v>59</v>
      </c>
      <c r="AJ351" s="1" t="s">
        <v>59</v>
      </c>
      <c r="AK351" s="1" t="s">
        <v>60</v>
      </c>
      <c r="AL351" s="1" t="s">
        <v>60</v>
      </c>
      <c r="AW351" s="1" t="s">
        <v>833</v>
      </c>
      <c r="AY351" s="1">
        <v>1.0</v>
      </c>
      <c r="AZ351" s="1">
        <v>99.99</v>
      </c>
      <c r="BB351" s="1">
        <v>99.99</v>
      </c>
    </row>
    <row r="352">
      <c r="A352" s="1" t="s">
        <v>834</v>
      </c>
      <c r="C352" s="1" t="s">
        <v>56</v>
      </c>
      <c r="D352" s="1" t="s">
        <v>835</v>
      </c>
      <c r="Y352" s="2">
        <v>45521.0</v>
      </c>
      <c r="AE352" s="1">
        <v>107.48</v>
      </c>
      <c r="AG352" s="3" t="str">
        <f>"2000006187804631"</f>
        <v>2000006187804631</v>
      </c>
      <c r="AH352" s="1" t="s">
        <v>58</v>
      </c>
      <c r="AI352" s="1" t="s">
        <v>59</v>
      </c>
      <c r="AJ352" s="1" t="s">
        <v>59</v>
      </c>
      <c r="AK352" s="1" t="s">
        <v>60</v>
      </c>
      <c r="AL352" s="1" t="s">
        <v>60</v>
      </c>
      <c r="AW352" s="1" t="s">
        <v>836</v>
      </c>
      <c r="AY352" s="1">
        <v>1.0</v>
      </c>
      <c r="AZ352" s="1">
        <v>107.48</v>
      </c>
      <c r="BB352" s="1">
        <v>107.48</v>
      </c>
    </row>
    <row r="353">
      <c r="A353" s="1" t="s">
        <v>586</v>
      </c>
      <c r="C353" s="1" t="s">
        <v>56</v>
      </c>
      <c r="D353" s="1" t="s">
        <v>837</v>
      </c>
      <c r="Y353" s="2">
        <v>45521.0</v>
      </c>
      <c r="AE353" s="1">
        <v>97.99</v>
      </c>
      <c r="AG353" s="3" t="str">
        <f>"2000009059020716"</f>
        <v>2000009059020716</v>
      </c>
      <c r="AH353" s="1" t="s">
        <v>58</v>
      </c>
      <c r="AI353" s="1" t="s">
        <v>59</v>
      </c>
      <c r="AJ353" s="1" t="s">
        <v>59</v>
      </c>
      <c r="AK353" s="1" t="s">
        <v>60</v>
      </c>
      <c r="AL353" s="1" t="s">
        <v>60</v>
      </c>
      <c r="AW353" s="1" t="s">
        <v>588</v>
      </c>
      <c r="AY353" s="1">
        <v>1.0</v>
      </c>
      <c r="AZ353" s="1">
        <v>97.99</v>
      </c>
      <c r="BB353" s="1">
        <v>97.99</v>
      </c>
    </row>
    <row r="354">
      <c r="A354" s="1" t="s">
        <v>838</v>
      </c>
      <c r="C354" s="1" t="s">
        <v>56</v>
      </c>
      <c r="D354" s="1" t="s">
        <v>839</v>
      </c>
      <c r="Y354" s="2">
        <v>45521.0</v>
      </c>
      <c r="AE354" s="1">
        <v>489.99</v>
      </c>
      <c r="AG354" s="3" t="str">
        <f>"2000009058978580"</f>
        <v>2000009058978580</v>
      </c>
      <c r="AH354" s="1" t="s">
        <v>58</v>
      </c>
      <c r="AI354" s="1" t="s">
        <v>59</v>
      </c>
      <c r="AJ354" s="1" t="s">
        <v>59</v>
      </c>
      <c r="AK354" s="1" t="s">
        <v>60</v>
      </c>
      <c r="AL354" s="1" t="s">
        <v>60</v>
      </c>
      <c r="AW354" s="1" t="s">
        <v>840</v>
      </c>
      <c r="AY354" s="1">
        <v>1.0</v>
      </c>
      <c r="AZ354" s="1">
        <v>489.99</v>
      </c>
      <c r="BB354" s="1">
        <v>489.99</v>
      </c>
    </row>
    <row r="355">
      <c r="A355" s="1" t="s">
        <v>407</v>
      </c>
      <c r="C355" s="1" t="s">
        <v>235</v>
      </c>
      <c r="D355" s="1" t="s">
        <v>841</v>
      </c>
      <c r="Y355" s="2">
        <v>45521.0</v>
      </c>
      <c r="AE355" s="1">
        <v>94.99</v>
      </c>
      <c r="AG355" s="3" t="str">
        <f>"2000009058968996"</f>
        <v>2000009058968996</v>
      </c>
      <c r="AH355" s="1" t="s">
        <v>58</v>
      </c>
      <c r="AI355" s="1" t="s">
        <v>59</v>
      </c>
      <c r="AJ355" s="1" t="s">
        <v>59</v>
      </c>
      <c r="AK355" s="1" t="s">
        <v>60</v>
      </c>
      <c r="AL355" s="1" t="s">
        <v>60</v>
      </c>
      <c r="AW355" s="1" t="s">
        <v>409</v>
      </c>
      <c r="AY355" s="1">
        <v>1.0</v>
      </c>
      <c r="AZ355" s="1">
        <v>94.99</v>
      </c>
      <c r="BB355" s="1">
        <v>94.99</v>
      </c>
    </row>
    <row r="356">
      <c r="A356" s="1" t="s">
        <v>842</v>
      </c>
      <c r="C356" s="1" t="s">
        <v>56</v>
      </c>
      <c r="D356" s="1" t="s">
        <v>843</v>
      </c>
      <c r="Y356" s="2">
        <v>45521.0</v>
      </c>
      <c r="AE356" s="1">
        <v>169.99</v>
      </c>
      <c r="AG356" s="3" t="str">
        <f>"2000006187729579"</f>
        <v>2000006187729579</v>
      </c>
      <c r="AH356" s="1" t="s">
        <v>58</v>
      </c>
      <c r="AI356" s="1" t="s">
        <v>59</v>
      </c>
      <c r="AJ356" s="1" t="s">
        <v>59</v>
      </c>
      <c r="AK356" s="1" t="s">
        <v>60</v>
      </c>
      <c r="AL356" s="1" t="s">
        <v>60</v>
      </c>
      <c r="AW356" s="1" t="s">
        <v>844</v>
      </c>
      <c r="AY356" s="1">
        <v>1.0</v>
      </c>
      <c r="AZ356" s="1">
        <v>169.99</v>
      </c>
      <c r="BB356" s="1">
        <v>169.99</v>
      </c>
    </row>
    <row r="357">
      <c r="A357" s="1" t="s">
        <v>845</v>
      </c>
      <c r="C357" s="1" t="s">
        <v>56</v>
      </c>
      <c r="D357" s="1" t="s">
        <v>846</v>
      </c>
      <c r="Y357" s="2">
        <v>45521.0</v>
      </c>
      <c r="AE357" s="1">
        <v>69.99</v>
      </c>
      <c r="AG357" s="3" t="str">
        <f>"2000006187719663"</f>
        <v>2000006187719663</v>
      </c>
      <c r="AH357" s="1" t="s">
        <v>58</v>
      </c>
      <c r="AI357" s="1" t="s">
        <v>59</v>
      </c>
      <c r="AJ357" s="1" t="s">
        <v>59</v>
      </c>
      <c r="AK357" s="1" t="s">
        <v>60</v>
      </c>
      <c r="AL357" s="1" t="s">
        <v>60</v>
      </c>
      <c r="AW357" s="1" t="s">
        <v>847</v>
      </c>
      <c r="AY357" s="1">
        <v>1.0</v>
      </c>
      <c r="AZ357" s="1">
        <v>69.99</v>
      </c>
      <c r="BB357" s="1">
        <v>69.99</v>
      </c>
    </row>
    <row r="358">
      <c r="A358" s="1" t="s">
        <v>848</v>
      </c>
      <c r="C358" s="1" t="s">
        <v>56</v>
      </c>
      <c r="D358" s="1" t="s">
        <v>849</v>
      </c>
      <c r="Y358" s="2">
        <v>45521.0</v>
      </c>
      <c r="AE358" s="1">
        <v>59.99</v>
      </c>
      <c r="AG358" s="3" t="str">
        <f>"2000006187683187"</f>
        <v>2000006187683187</v>
      </c>
      <c r="AH358" s="1" t="s">
        <v>58</v>
      </c>
      <c r="AI358" s="1" t="s">
        <v>59</v>
      </c>
      <c r="AJ358" s="1" t="s">
        <v>59</v>
      </c>
      <c r="AK358" s="1" t="s">
        <v>60</v>
      </c>
      <c r="AL358" s="1" t="s">
        <v>60</v>
      </c>
      <c r="AW358" s="1" t="s">
        <v>850</v>
      </c>
      <c r="AY358" s="1">
        <v>1.0</v>
      </c>
      <c r="AZ358" s="1">
        <v>59.99</v>
      </c>
      <c r="BB358" s="1">
        <v>59.99</v>
      </c>
    </row>
    <row r="359">
      <c r="A359" s="1" t="s">
        <v>851</v>
      </c>
      <c r="C359" s="1" t="s">
        <v>56</v>
      </c>
      <c r="D359" s="1" t="s">
        <v>852</v>
      </c>
      <c r="Y359" s="2">
        <v>45520.0</v>
      </c>
      <c r="AE359" s="1">
        <v>76.99</v>
      </c>
      <c r="AG359" s="3" t="str">
        <f>"2000006187672409"</f>
        <v>2000006187672409</v>
      </c>
      <c r="AH359" s="1" t="s">
        <v>58</v>
      </c>
      <c r="AI359" s="1" t="s">
        <v>59</v>
      </c>
      <c r="AJ359" s="1" t="s">
        <v>59</v>
      </c>
      <c r="AK359" s="1" t="s">
        <v>60</v>
      </c>
      <c r="AL359" s="1" t="s">
        <v>60</v>
      </c>
      <c r="AW359" s="1" t="s">
        <v>853</v>
      </c>
      <c r="AY359" s="1">
        <v>1.0</v>
      </c>
      <c r="AZ359" s="1">
        <v>76.99</v>
      </c>
      <c r="BB359" s="1">
        <v>76.99</v>
      </c>
    </row>
    <row r="360">
      <c r="A360" s="1" t="s">
        <v>851</v>
      </c>
      <c r="C360" s="1" t="s">
        <v>56</v>
      </c>
      <c r="D360" s="1" t="s">
        <v>852</v>
      </c>
      <c r="Y360" s="2">
        <v>45520.0</v>
      </c>
      <c r="AE360" s="1">
        <v>153.98</v>
      </c>
      <c r="AG360" s="3" t="str">
        <f>"2000006187672411"</f>
        <v>2000006187672411</v>
      </c>
      <c r="AH360" s="1" t="s">
        <v>58</v>
      </c>
      <c r="AI360" s="1" t="s">
        <v>59</v>
      </c>
      <c r="AJ360" s="1" t="s">
        <v>59</v>
      </c>
      <c r="AK360" s="1" t="s">
        <v>60</v>
      </c>
      <c r="AL360" s="1" t="s">
        <v>60</v>
      </c>
      <c r="AW360" s="1" t="s">
        <v>853</v>
      </c>
      <c r="AY360" s="1">
        <v>2.0</v>
      </c>
      <c r="AZ360" s="1">
        <v>76.99</v>
      </c>
      <c r="BB360" s="1">
        <v>153.98</v>
      </c>
    </row>
    <row r="361">
      <c r="A361" s="1" t="s">
        <v>854</v>
      </c>
      <c r="C361" s="1" t="s">
        <v>56</v>
      </c>
      <c r="D361" s="1" t="s">
        <v>855</v>
      </c>
      <c r="Y361" s="2">
        <v>45520.0</v>
      </c>
      <c r="AE361" s="1">
        <v>79.99</v>
      </c>
      <c r="AG361" s="3" t="str">
        <f>"2000006187675131"</f>
        <v>2000006187675131</v>
      </c>
      <c r="AH361" s="1" t="s">
        <v>58</v>
      </c>
      <c r="AI361" s="1" t="s">
        <v>59</v>
      </c>
      <c r="AJ361" s="1" t="s">
        <v>59</v>
      </c>
      <c r="AK361" s="1" t="s">
        <v>60</v>
      </c>
      <c r="AL361" s="1" t="s">
        <v>60</v>
      </c>
      <c r="AW361" s="1" t="s">
        <v>856</v>
      </c>
      <c r="AY361" s="1">
        <v>1.0</v>
      </c>
      <c r="AZ361" s="1">
        <v>79.99</v>
      </c>
      <c r="BB361" s="1">
        <v>79.99</v>
      </c>
    </row>
    <row r="362">
      <c r="A362" s="1" t="s">
        <v>764</v>
      </c>
      <c r="C362" s="1" t="s">
        <v>56</v>
      </c>
      <c r="D362" s="1" t="s">
        <v>857</v>
      </c>
      <c r="Y362" s="2">
        <v>45520.0</v>
      </c>
      <c r="AE362" s="1">
        <v>66.99</v>
      </c>
      <c r="AG362" s="3" t="str">
        <f>"2000006187662435"</f>
        <v>2000006187662435</v>
      </c>
      <c r="AH362" s="1" t="s">
        <v>58</v>
      </c>
      <c r="AI362" s="1" t="s">
        <v>59</v>
      </c>
      <c r="AJ362" s="1" t="s">
        <v>59</v>
      </c>
      <c r="AK362" s="1" t="s">
        <v>60</v>
      </c>
      <c r="AL362" s="1" t="s">
        <v>60</v>
      </c>
      <c r="AW362" s="1" t="s">
        <v>766</v>
      </c>
      <c r="AY362" s="1">
        <v>1.0</v>
      </c>
      <c r="AZ362" s="1">
        <v>66.99</v>
      </c>
      <c r="BB362" s="1">
        <v>66.99</v>
      </c>
    </row>
    <row r="363">
      <c r="A363" s="1" t="s">
        <v>457</v>
      </c>
      <c r="C363" s="1" t="s">
        <v>56</v>
      </c>
      <c r="D363" s="1" t="s">
        <v>858</v>
      </c>
      <c r="Y363" s="2">
        <v>45520.0</v>
      </c>
      <c r="AE363" s="1">
        <v>139.99</v>
      </c>
      <c r="AG363" s="3" t="str">
        <f>"2000006187636121"</f>
        <v>2000006187636121</v>
      </c>
      <c r="AH363" s="1" t="s">
        <v>58</v>
      </c>
      <c r="AI363" s="1" t="s">
        <v>59</v>
      </c>
      <c r="AJ363" s="1" t="s">
        <v>59</v>
      </c>
      <c r="AK363" s="1" t="s">
        <v>60</v>
      </c>
      <c r="AL363" s="1" t="s">
        <v>60</v>
      </c>
      <c r="AW363" s="1" t="s">
        <v>279</v>
      </c>
      <c r="AY363" s="1">
        <v>1.0</v>
      </c>
      <c r="AZ363" s="1">
        <v>139.99</v>
      </c>
      <c r="BB363" s="1">
        <v>139.99</v>
      </c>
    </row>
    <row r="364">
      <c r="A364" s="1" t="s">
        <v>859</v>
      </c>
      <c r="C364" s="1" t="s">
        <v>56</v>
      </c>
      <c r="D364" s="1" t="s">
        <v>860</v>
      </c>
      <c r="Y364" s="2">
        <v>45519.0</v>
      </c>
      <c r="AE364" s="1">
        <v>294.99</v>
      </c>
      <c r="AG364" s="3" t="str">
        <f>"2000009046584266"</f>
        <v>2000009046584266</v>
      </c>
      <c r="AH364" s="1" t="s">
        <v>58</v>
      </c>
      <c r="AI364" s="1" t="s">
        <v>59</v>
      </c>
      <c r="AJ364" s="1" t="s">
        <v>59</v>
      </c>
      <c r="AK364" s="1" t="s">
        <v>60</v>
      </c>
      <c r="AL364" s="1" t="s">
        <v>60</v>
      </c>
      <c r="AW364" s="1" t="s">
        <v>861</v>
      </c>
      <c r="AY364" s="1">
        <v>1.0</v>
      </c>
      <c r="AZ364" s="1">
        <v>294.99</v>
      </c>
      <c r="BB364" s="1">
        <v>294.99</v>
      </c>
    </row>
    <row r="365">
      <c r="A365" s="1" t="s">
        <v>862</v>
      </c>
      <c r="C365" s="1" t="s">
        <v>56</v>
      </c>
      <c r="D365" s="1" t="s">
        <v>863</v>
      </c>
      <c r="Y365" s="2">
        <v>45520.0</v>
      </c>
      <c r="AE365" s="1">
        <v>94.49</v>
      </c>
      <c r="AG365" s="3" t="str">
        <f>"2000006187592429"</f>
        <v>2000006187592429</v>
      </c>
      <c r="AH365" s="1" t="s">
        <v>58</v>
      </c>
      <c r="AI365" s="1" t="s">
        <v>59</v>
      </c>
      <c r="AJ365" s="1" t="s">
        <v>59</v>
      </c>
      <c r="AK365" s="1" t="s">
        <v>60</v>
      </c>
      <c r="AL365" s="1" t="s">
        <v>60</v>
      </c>
      <c r="AW365" s="1" t="s">
        <v>864</v>
      </c>
      <c r="AY365" s="1">
        <v>1.0</v>
      </c>
      <c r="AZ365" s="1">
        <v>94.49</v>
      </c>
      <c r="BB365" s="1">
        <v>94.49</v>
      </c>
    </row>
    <row r="366">
      <c r="A366" s="1" t="s">
        <v>360</v>
      </c>
      <c r="C366" s="1" t="s">
        <v>56</v>
      </c>
      <c r="D366" s="1" t="s">
        <v>865</v>
      </c>
      <c r="Y366" s="2">
        <v>45520.0</v>
      </c>
      <c r="AE366" s="1">
        <v>47.18</v>
      </c>
      <c r="AG366" s="3" t="str">
        <f>"2000006187580379"</f>
        <v>2000006187580379</v>
      </c>
      <c r="AH366" s="1" t="s">
        <v>58</v>
      </c>
      <c r="AI366" s="1" t="s">
        <v>59</v>
      </c>
      <c r="AJ366" s="1" t="s">
        <v>59</v>
      </c>
      <c r="AK366" s="1" t="s">
        <v>60</v>
      </c>
      <c r="AL366" s="1" t="s">
        <v>60</v>
      </c>
      <c r="AW366" s="1" t="s">
        <v>155</v>
      </c>
      <c r="AY366" s="1">
        <v>1.0</v>
      </c>
      <c r="AZ366" s="1">
        <v>47.18</v>
      </c>
      <c r="BB366" s="1">
        <v>47.18</v>
      </c>
    </row>
    <row r="367">
      <c r="A367" s="1" t="s">
        <v>866</v>
      </c>
      <c r="C367" s="1" t="s">
        <v>56</v>
      </c>
      <c r="D367" s="1" t="s">
        <v>867</v>
      </c>
      <c r="Y367" s="2">
        <v>45520.0</v>
      </c>
      <c r="AE367" s="1">
        <v>79.99</v>
      </c>
      <c r="AG367" s="3" t="str">
        <f>"2000006187573107"</f>
        <v>2000006187573107</v>
      </c>
      <c r="AH367" s="1" t="s">
        <v>58</v>
      </c>
      <c r="AI367" s="1" t="s">
        <v>59</v>
      </c>
      <c r="AJ367" s="1" t="s">
        <v>59</v>
      </c>
      <c r="AK367" s="1" t="s">
        <v>60</v>
      </c>
      <c r="AL367" s="1" t="s">
        <v>60</v>
      </c>
      <c r="AW367" s="1" t="s">
        <v>868</v>
      </c>
      <c r="AY367" s="1">
        <v>1.0</v>
      </c>
      <c r="AZ367" s="1">
        <v>79.99</v>
      </c>
      <c r="BB367" s="1">
        <v>79.99</v>
      </c>
    </row>
    <row r="368">
      <c r="A368" s="1" t="s">
        <v>393</v>
      </c>
      <c r="C368" s="1" t="s">
        <v>56</v>
      </c>
      <c r="D368" s="1" t="s">
        <v>869</v>
      </c>
      <c r="Y368" s="2">
        <v>45520.0</v>
      </c>
      <c r="AE368" s="1">
        <v>54.99</v>
      </c>
      <c r="AG368" s="3" t="str">
        <f>"2000009058724020"</f>
        <v>2000009058724020</v>
      </c>
      <c r="AH368" s="1" t="s">
        <v>58</v>
      </c>
      <c r="AI368" s="1" t="s">
        <v>59</v>
      </c>
      <c r="AJ368" s="1" t="s">
        <v>59</v>
      </c>
      <c r="AK368" s="1" t="s">
        <v>60</v>
      </c>
      <c r="AL368" s="1" t="s">
        <v>60</v>
      </c>
      <c r="AW368" s="1" t="s">
        <v>395</v>
      </c>
      <c r="AY368" s="1">
        <v>1.0</v>
      </c>
      <c r="AZ368" s="1">
        <v>54.99</v>
      </c>
      <c r="BB368" s="1">
        <v>54.99</v>
      </c>
    </row>
    <row r="369">
      <c r="A369" s="1" t="s">
        <v>492</v>
      </c>
      <c r="C369" s="1" t="s">
        <v>56</v>
      </c>
      <c r="D369" s="1" t="s">
        <v>870</v>
      </c>
      <c r="Y369" s="2">
        <v>45520.0</v>
      </c>
      <c r="AE369" s="1">
        <v>139.99</v>
      </c>
      <c r="AG369" s="3" t="str">
        <f>"2000006187555991"</f>
        <v>2000006187555991</v>
      </c>
      <c r="AH369" s="1" t="s">
        <v>58</v>
      </c>
      <c r="AI369" s="1" t="s">
        <v>59</v>
      </c>
      <c r="AJ369" s="1" t="s">
        <v>59</v>
      </c>
      <c r="AK369" s="1" t="s">
        <v>60</v>
      </c>
      <c r="AL369" s="1" t="s">
        <v>60</v>
      </c>
      <c r="AW369" s="1" t="s">
        <v>494</v>
      </c>
      <c r="AY369" s="1">
        <v>1.0</v>
      </c>
      <c r="AZ369" s="1">
        <v>139.99</v>
      </c>
      <c r="BB369" s="1">
        <v>139.99</v>
      </c>
    </row>
    <row r="370">
      <c r="A370" s="1" t="s">
        <v>195</v>
      </c>
      <c r="C370" s="1" t="s">
        <v>56</v>
      </c>
      <c r="D370" s="1" t="s">
        <v>871</v>
      </c>
      <c r="Y370" s="2">
        <v>45520.0</v>
      </c>
      <c r="AE370" s="1">
        <v>47.99</v>
      </c>
      <c r="AG370" s="3" t="str">
        <f>"2000006187537061"</f>
        <v>2000006187537061</v>
      </c>
      <c r="AH370" s="1" t="s">
        <v>58</v>
      </c>
      <c r="AI370" s="1" t="s">
        <v>59</v>
      </c>
      <c r="AJ370" s="1" t="s">
        <v>59</v>
      </c>
      <c r="AK370" s="1" t="s">
        <v>60</v>
      </c>
      <c r="AL370" s="1" t="s">
        <v>60</v>
      </c>
      <c r="AW370" s="1" t="s">
        <v>197</v>
      </c>
      <c r="AY370" s="1">
        <v>1.0</v>
      </c>
      <c r="AZ370" s="1">
        <v>47.99</v>
      </c>
      <c r="BB370" s="1">
        <v>47.99</v>
      </c>
    </row>
    <row r="371">
      <c r="A371" s="1" t="s">
        <v>872</v>
      </c>
      <c r="C371" s="1" t="s">
        <v>56</v>
      </c>
      <c r="D371" s="1" t="s">
        <v>873</v>
      </c>
      <c r="Y371" s="2">
        <v>45520.0</v>
      </c>
      <c r="AE371" s="1">
        <v>499.98</v>
      </c>
      <c r="AG371" s="3" t="str">
        <f>"2000006187517501"</f>
        <v>2000006187517501</v>
      </c>
      <c r="AH371" s="1" t="s">
        <v>58</v>
      </c>
      <c r="AI371" s="1" t="s">
        <v>59</v>
      </c>
      <c r="AJ371" s="1" t="s">
        <v>59</v>
      </c>
      <c r="AK371" s="1" t="s">
        <v>60</v>
      </c>
      <c r="AL371" s="1" t="s">
        <v>60</v>
      </c>
      <c r="AW371" s="1" t="s">
        <v>874</v>
      </c>
      <c r="AY371" s="1">
        <v>2.0</v>
      </c>
      <c r="AZ371" s="1">
        <v>249.99</v>
      </c>
      <c r="BB371" s="1">
        <v>499.98</v>
      </c>
    </row>
    <row r="372">
      <c r="A372" s="1" t="s">
        <v>875</v>
      </c>
      <c r="C372" s="1" t="s">
        <v>56</v>
      </c>
      <c r="D372" s="1" t="s">
        <v>876</v>
      </c>
      <c r="Y372" s="2">
        <v>45520.0</v>
      </c>
      <c r="AE372" s="1">
        <v>89.99</v>
      </c>
      <c r="AG372" s="3" t="str">
        <f>"2000006187522989"</f>
        <v>2000006187522989</v>
      </c>
      <c r="AH372" s="1" t="s">
        <v>58</v>
      </c>
      <c r="AI372" s="1" t="s">
        <v>59</v>
      </c>
      <c r="AJ372" s="1" t="s">
        <v>59</v>
      </c>
      <c r="AK372" s="1" t="s">
        <v>60</v>
      </c>
      <c r="AL372" s="1" t="s">
        <v>60</v>
      </c>
      <c r="AW372" s="1" t="s">
        <v>877</v>
      </c>
      <c r="AY372" s="1">
        <v>1.0</v>
      </c>
      <c r="AZ372" s="1">
        <v>89.99</v>
      </c>
      <c r="BB372" s="1">
        <v>89.99</v>
      </c>
    </row>
    <row r="373">
      <c r="A373" s="1" t="s">
        <v>655</v>
      </c>
      <c r="C373" s="1" t="s">
        <v>56</v>
      </c>
      <c r="D373" s="1" t="s">
        <v>878</v>
      </c>
      <c r="Y373" s="2">
        <v>45520.0</v>
      </c>
      <c r="AE373" s="1">
        <v>74.99</v>
      </c>
      <c r="AG373" s="3" t="str">
        <f>"2000009058597304"</f>
        <v>2000009058597304</v>
      </c>
      <c r="AH373" s="1" t="s">
        <v>58</v>
      </c>
      <c r="AI373" s="1" t="s">
        <v>59</v>
      </c>
      <c r="AJ373" s="1" t="s">
        <v>59</v>
      </c>
      <c r="AK373" s="1" t="s">
        <v>60</v>
      </c>
      <c r="AL373" s="1" t="s">
        <v>60</v>
      </c>
      <c r="AW373" s="1" t="s">
        <v>657</v>
      </c>
      <c r="AY373" s="1">
        <v>1.0</v>
      </c>
      <c r="AZ373" s="1">
        <v>74.99</v>
      </c>
      <c r="BB373" s="1">
        <v>74.99</v>
      </c>
    </row>
    <row r="374">
      <c r="A374" s="1" t="s">
        <v>342</v>
      </c>
      <c r="C374" s="1" t="s">
        <v>56</v>
      </c>
      <c r="D374" s="1" t="s">
        <v>879</v>
      </c>
      <c r="Y374" s="2">
        <v>45520.0</v>
      </c>
      <c r="AE374" s="1">
        <v>50.99</v>
      </c>
      <c r="AG374" s="3" t="str">
        <f>"2000006187471703"</f>
        <v>2000006187471703</v>
      </c>
      <c r="AH374" s="1" t="s">
        <v>58</v>
      </c>
      <c r="AI374" s="1" t="s">
        <v>59</v>
      </c>
      <c r="AJ374" s="1" t="s">
        <v>59</v>
      </c>
      <c r="AK374" s="1" t="s">
        <v>60</v>
      </c>
      <c r="AL374" s="1" t="s">
        <v>60</v>
      </c>
      <c r="AW374" s="1" t="s">
        <v>344</v>
      </c>
      <c r="AY374" s="1">
        <v>1.0</v>
      </c>
      <c r="AZ374" s="1">
        <v>50.99</v>
      </c>
      <c r="BB374" s="1">
        <v>50.99</v>
      </c>
    </row>
    <row r="375">
      <c r="A375" s="1" t="s">
        <v>880</v>
      </c>
      <c r="C375" s="1" t="s">
        <v>56</v>
      </c>
      <c r="D375" s="1" t="s">
        <v>881</v>
      </c>
      <c r="Y375" s="2">
        <v>45520.0</v>
      </c>
      <c r="AE375" s="1">
        <v>99.99</v>
      </c>
      <c r="AG375" s="3" t="str">
        <f>"2000006187428271"</f>
        <v>2000006187428271</v>
      </c>
      <c r="AH375" s="1" t="s">
        <v>58</v>
      </c>
      <c r="AI375" s="1" t="s">
        <v>59</v>
      </c>
      <c r="AJ375" s="1" t="s">
        <v>59</v>
      </c>
      <c r="AK375" s="1" t="s">
        <v>60</v>
      </c>
      <c r="AL375" s="1" t="s">
        <v>60</v>
      </c>
      <c r="AW375" s="1" t="s">
        <v>882</v>
      </c>
      <c r="AY375" s="1">
        <v>1.0</v>
      </c>
      <c r="AZ375" s="1">
        <v>99.99</v>
      </c>
      <c r="BB375" s="1">
        <v>99.99</v>
      </c>
    </row>
    <row r="376">
      <c r="A376" s="1" t="s">
        <v>125</v>
      </c>
      <c r="C376" s="1" t="s">
        <v>56</v>
      </c>
      <c r="D376" s="1" t="s">
        <v>883</v>
      </c>
      <c r="Y376" s="2">
        <v>45520.0</v>
      </c>
      <c r="AE376" s="1">
        <v>49.99</v>
      </c>
      <c r="AG376" s="3" t="str">
        <f>"2000006187414359"</f>
        <v>2000006187414359</v>
      </c>
      <c r="AH376" s="1" t="s">
        <v>58</v>
      </c>
      <c r="AI376" s="1" t="s">
        <v>59</v>
      </c>
      <c r="AJ376" s="1" t="s">
        <v>59</v>
      </c>
      <c r="AK376" s="1" t="s">
        <v>60</v>
      </c>
      <c r="AL376" s="1" t="s">
        <v>60</v>
      </c>
      <c r="AW376" s="1" t="s">
        <v>127</v>
      </c>
      <c r="AY376" s="1">
        <v>1.0</v>
      </c>
      <c r="AZ376" s="1">
        <v>49.99</v>
      </c>
      <c r="BB376" s="1">
        <v>49.99</v>
      </c>
    </row>
    <row r="377">
      <c r="A377" s="1" t="s">
        <v>567</v>
      </c>
      <c r="C377" s="1" t="s">
        <v>56</v>
      </c>
      <c r="D377" s="1" t="s">
        <v>884</v>
      </c>
      <c r="Y377" s="2">
        <v>45520.0</v>
      </c>
      <c r="AE377" s="1">
        <v>44.99</v>
      </c>
      <c r="AG377" s="3" t="str">
        <f>"2000006187406357"</f>
        <v>2000006187406357</v>
      </c>
      <c r="AH377" s="1" t="s">
        <v>58</v>
      </c>
      <c r="AI377" s="1" t="s">
        <v>59</v>
      </c>
      <c r="AJ377" s="1" t="s">
        <v>59</v>
      </c>
      <c r="AK377" s="1" t="s">
        <v>60</v>
      </c>
      <c r="AL377" s="1" t="s">
        <v>60</v>
      </c>
      <c r="AW377" s="1" t="s">
        <v>569</v>
      </c>
      <c r="AY377" s="1">
        <v>1.0</v>
      </c>
      <c r="AZ377" s="1">
        <v>44.99</v>
      </c>
      <c r="BB377" s="1">
        <v>44.99</v>
      </c>
    </row>
    <row r="378">
      <c r="A378" s="1" t="s">
        <v>668</v>
      </c>
      <c r="C378" s="1" t="s">
        <v>56</v>
      </c>
      <c r="D378" s="1" t="s">
        <v>885</v>
      </c>
      <c r="Y378" s="2">
        <v>45520.0</v>
      </c>
      <c r="AE378" s="1">
        <v>129.99</v>
      </c>
      <c r="AG378" s="3" t="str">
        <f>"2000006187131689"</f>
        <v>2000006187131689</v>
      </c>
      <c r="AH378" s="1" t="s">
        <v>58</v>
      </c>
      <c r="AI378" s="1" t="s">
        <v>59</v>
      </c>
      <c r="AJ378" s="1" t="s">
        <v>59</v>
      </c>
      <c r="AK378" s="1" t="s">
        <v>60</v>
      </c>
      <c r="AL378" s="1" t="s">
        <v>60</v>
      </c>
      <c r="AW378" s="1" t="s">
        <v>670</v>
      </c>
      <c r="AY378" s="1">
        <v>1.0</v>
      </c>
      <c r="AZ378" s="1">
        <v>129.99</v>
      </c>
      <c r="BB378" s="1">
        <v>129.99</v>
      </c>
    </row>
    <row r="379">
      <c r="A379" s="1" t="s">
        <v>886</v>
      </c>
      <c r="C379" s="1" t="s">
        <v>56</v>
      </c>
      <c r="D379" s="1" t="s">
        <v>887</v>
      </c>
      <c r="Y379" s="2">
        <v>45520.0</v>
      </c>
      <c r="AE379" s="1">
        <v>69.99</v>
      </c>
      <c r="AG379" s="3" t="str">
        <f>"2000006187366969"</f>
        <v>2000006187366969</v>
      </c>
      <c r="AH379" s="1" t="s">
        <v>58</v>
      </c>
      <c r="AI379" s="1" t="s">
        <v>59</v>
      </c>
      <c r="AJ379" s="1" t="s">
        <v>59</v>
      </c>
      <c r="AK379" s="1" t="s">
        <v>60</v>
      </c>
      <c r="AL379" s="1" t="s">
        <v>60</v>
      </c>
      <c r="AW379" s="1" t="s">
        <v>888</v>
      </c>
      <c r="AY379" s="1">
        <v>1.0</v>
      </c>
      <c r="AZ379" s="1">
        <v>69.99</v>
      </c>
      <c r="BB379" s="1">
        <v>69.99</v>
      </c>
    </row>
    <row r="380">
      <c r="A380" s="1" t="s">
        <v>636</v>
      </c>
      <c r="C380" s="1" t="s">
        <v>56</v>
      </c>
      <c r="D380" s="1" t="s">
        <v>889</v>
      </c>
      <c r="Y380" s="2">
        <v>45520.0</v>
      </c>
      <c r="AE380" s="1">
        <v>109.99</v>
      </c>
      <c r="AG380" s="3" t="str">
        <f>"2000006187341057"</f>
        <v>2000006187341057</v>
      </c>
      <c r="AH380" s="1" t="s">
        <v>58</v>
      </c>
      <c r="AI380" s="1" t="s">
        <v>59</v>
      </c>
      <c r="AJ380" s="1" t="s">
        <v>59</v>
      </c>
      <c r="AK380" s="1" t="s">
        <v>60</v>
      </c>
      <c r="AL380" s="1" t="s">
        <v>60</v>
      </c>
      <c r="AW380" s="1" t="s">
        <v>638</v>
      </c>
      <c r="AY380" s="1">
        <v>1.0</v>
      </c>
      <c r="AZ380" s="1">
        <v>109.99</v>
      </c>
      <c r="BB380" s="1">
        <v>109.99</v>
      </c>
    </row>
    <row r="381">
      <c r="A381" s="1" t="s">
        <v>890</v>
      </c>
      <c r="C381" s="1" t="s">
        <v>56</v>
      </c>
      <c r="D381" s="1" t="s">
        <v>891</v>
      </c>
      <c r="Y381" s="2">
        <v>45520.0</v>
      </c>
      <c r="AE381" s="1">
        <v>419.99</v>
      </c>
      <c r="AG381" s="3" t="str">
        <f>"2000009058352478"</f>
        <v>2000009058352478</v>
      </c>
      <c r="AH381" s="1" t="s">
        <v>58</v>
      </c>
      <c r="AI381" s="1" t="s">
        <v>59</v>
      </c>
      <c r="AJ381" s="1" t="s">
        <v>59</v>
      </c>
      <c r="AK381" s="1" t="s">
        <v>60</v>
      </c>
      <c r="AL381" s="1" t="s">
        <v>60</v>
      </c>
      <c r="AW381" s="1" t="s">
        <v>892</v>
      </c>
      <c r="AY381" s="1">
        <v>1.0</v>
      </c>
      <c r="AZ381" s="1">
        <v>419.99</v>
      </c>
      <c r="BB381" s="1">
        <v>419.99</v>
      </c>
    </row>
    <row r="382">
      <c r="A382" s="1" t="s">
        <v>893</v>
      </c>
      <c r="C382" s="1" t="s">
        <v>56</v>
      </c>
      <c r="D382" s="1" t="s">
        <v>894</v>
      </c>
      <c r="Y382" s="2">
        <v>45520.0</v>
      </c>
      <c r="AE382" s="1">
        <v>99.99</v>
      </c>
      <c r="AG382" s="3" t="str">
        <f>"2000006187324029"</f>
        <v>2000006187324029</v>
      </c>
      <c r="AH382" s="1" t="s">
        <v>58</v>
      </c>
      <c r="AI382" s="1" t="s">
        <v>59</v>
      </c>
      <c r="AJ382" s="1" t="s">
        <v>59</v>
      </c>
      <c r="AK382" s="1" t="s">
        <v>60</v>
      </c>
      <c r="AL382" s="1" t="s">
        <v>60</v>
      </c>
      <c r="AW382" s="1" t="s">
        <v>895</v>
      </c>
      <c r="AY382" s="1">
        <v>1.0</v>
      </c>
      <c r="AZ382" s="1">
        <v>99.99</v>
      </c>
      <c r="BB382" s="1">
        <v>99.99</v>
      </c>
    </row>
    <row r="383">
      <c r="A383" s="1" t="s">
        <v>896</v>
      </c>
      <c r="C383" s="1" t="s">
        <v>56</v>
      </c>
      <c r="D383" s="1" t="s">
        <v>897</v>
      </c>
      <c r="Y383" s="2">
        <v>45520.0</v>
      </c>
      <c r="AE383" s="1">
        <v>54.99</v>
      </c>
      <c r="AG383" s="3" t="str">
        <f>"2000006187310009"</f>
        <v>2000006187310009</v>
      </c>
      <c r="AH383" s="1" t="s">
        <v>58</v>
      </c>
      <c r="AI383" s="1" t="s">
        <v>59</v>
      </c>
      <c r="AJ383" s="1" t="s">
        <v>59</v>
      </c>
      <c r="AK383" s="1" t="s">
        <v>60</v>
      </c>
      <c r="AL383" s="1" t="s">
        <v>60</v>
      </c>
      <c r="AW383" s="1" t="s">
        <v>898</v>
      </c>
      <c r="AY383" s="1">
        <v>1.0</v>
      </c>
      <c r="AZ383" s="1">
        <v>54.99</v>
      </c>
      <c r="BB383" s="1">
        <v>54.99</v>
      </c>
    </row>
    <row r="384">
      <c r="A384" s="1" t="s">
        <v>351</v>
      </c>
      <c r="C384" s="1" t="s">
        <v>56</v>
      </c>
      <c r="D384" s="1" t="s">
        <v>899</v>
      </c>
      <c r="Y384" s="2">
        <v>45520.0</v>
      </c>
      <c r="AE384" s="1">
        <v>119.99</v>
      </c>
      <c r="AG384" s="3" t="str">
        <f>"2000009058268158"</f>
        <v>2000009058268158</v>
      </c>
      <c r="AH384" s="1" t="s">
        <v>58</v>
      </c>
      <c r="AI384" s="1" t="s">
        <v>59</v>
      </c>
      <c r="AJ384" s="1" t="s">
        <v>59</v>
      </c>
      <c r="AK384" s="1" t="s">
        <v>60</v>
      </c>
      <c r="AL384" s="1" t="s">
        <v>60</v>
      </c>
      <c r="AW384" s="1" t="s">
        <v>353</v>
      </c>
      <c r="AY384" s="1">
        <v>1.0</v>
      </c>
      <c r="AZ384" s="1">
        <v>119.99</v>
      </c>
      <c r="BB384" s="1">
        <v>119.99</v>
      </c>
    </row>
    <row r="385">
      <c r="A385" s="1" t="s">
        <v>900</v>
      </c>
      <c r="C385" s="1" t="s">
        <v>56</v>
      </c>
      <c r="D385" s="1" t="s">
        <v>901</v>
      </c>
      <c r="Y385" s="2">
        <v>45520.0</v>
      </c>
      <c r="AE385" s="1">
        <v>89.99</v>
      </c>
      <c r="AG385" s="3" t="str">
        <f>"2000006187225085"</f>
        <v>2000006187225085</v>
      </c>
      <c r="AH385" s="1" t="s">
        <v>58</v>
      </c>
      <c r="AI385" s="1" t="s">
        <v>59</v>
      </c>
      <c r="AJ385" s="1" t="s">
        <v>59</v>
      </c>
      <c r="AK385" s="1" t="s">
        <v>60</v>
      </c>
      <c r="AL385" s="1" t="s">
        <v>60</v>
      </c>
      <c r="AW385" s="1" t="s">
        <v>902</v>
      </c>
      <c r="AY385" s="1">
        <v>1.0</v>
      </c>
      <c r="AZ385" s="1">
        <v>89.99</v>
      </c>
      <c r="BB385" s="1">
        <v>89.99</v>
      </c>
    </row>
    <row r="386">
      <c r="A386" s="1" t="s">
        <v>903</v>
      </c>
      <c r="C386" s="1" t="s">
        <v>56</v>
      </c>
      <c r="D386" s="1" t="s">
        <v>904</v>
      </c>
      <c r="Y386" s="2">
        <v>45520.0</v>
      </c>
      <c r="AE386" s="1">
        <v>64.99</v>
      </c>
      <c r="AG386" s="3" t="str">
        <f>"2000006187195063"</f>
        <v>2000006187195063</v>
      </c>
      <c r="AH386" s="1" t="s">
        <v>58</v>
      </c>
      <c r="AI386" s="1" t="s">
        <v>59</v>
      </c>
      <c r="AJ386" s="1" t="s">
        <v>59</v>
      </c>
      <c r="AK386" s="1" t="s">
        <v>60</v>
      </c>
      <c r="AL386" s="1" t="s">
        <v>60</v>
      </c>
      <c r="AW386" s="1" t="s">
        <v>905</v>
      </c>
      <c r="AY386" s="1">
        <v>1.0</v>
      </c>
      <c r="AZ386" s="1">
        <v>64.99</v>
      </c>
      <c r="BB386" s="1">
        <v>64.99</v>
      </c>
    </row>
    <row r="387">
      <c r="A387" s="1" t="s">
        <v>802</v>
      </c>
      <c r="C387" s="1" t="s">
        <v>56</v>
      </c>
      <c r="D387" s="1" t="s">
        <v>906</v>
      </c>
      <c r="Y387" s="2">
        <v>45520.0</v>
      </c>
      <c r="AE387" s="1">
        <v>49.99</v>
      </c>
      <c r="AG387" s="3" t="str">
        <f t="shared" ref="AG387:AG388" si="15">"2000006187211371"</f>
        <v>2000006187211371</v>
      </c>
      <c r="AH387" s="1" t="s">
        <v>58</v>
      </c>
      <c r="AI387" s="1" t="s">
        <v>59</v>
      </c>
      <c r="AJ387" s="1" t="s">
        <v>59</v>
      </c>
      <c r="AK387" s="1" t="s">
        <v>60</v>
      </c>
      <c r="AL387" s="1" t="s">
        <v>60</v>
      </c>
      <c r="AW387" s="1" t="s">
        <v>70</v>
      </c>
      <c r="AY387" s="1">
        <v>1.0</v>
      </c>
      <c r="AZ387" s="1">
        <v>49.99</v>
      </c>
      <c r="BB387" s="1">
        <v>49.99</v>
      </c>
    </row>
    <row r="388">
      <c r="A388" s="1" t="s">
        <v>517</v>
      </c>
      <c r="C388" s="1" t="s">
        <v>56</v>
      </c>
      <c r="D388" s="1" t="s">
        <v>906</v>
      </c>
      <c r="Y388" s="2">
        <v>45520.0</v>
      </c>
      <c r="AE388" s="1">
        <v>49.99</v>
      </c>
      <c r="AG388" s="3" t="str">
        <f t="shared" si="15"/>
        <v>2000006187211371</v>
      </c>
      <c r="AH388" s="1" t="s">
        <v>58</v>
      </c>
      <c r="AI388" s="1" t="s">
        <v>59</v>
      </c>
      <c r="AJ388" s="1" t="s">
        <v>59</v>
      </c>
      <c r="AK388" s="1" t="s">
        <v>60</v>
      </c>
      <c r="AL388" s="1" t="s">
        <v>60</v>
      </c>
      <c r="AW388" s="1" t="s">
        <v>70</v>
      </c>
      <c r="AY388" s="1">
        <v>1.0</v>
      </c>
      <c r="AZ388" s="1">
        <v>49.99</v>
      </c>
      <c r="BB388" s="1">
        <v>49.99</v>
      </c>
    </row>
    <row r="389">
      <c r="A389" s="1" t="s">
        <v>886</v>
      </c>
      <c r="C389" s="1" t="s">
        <v>56</v>
      </c>
      <c r="D389" s="1" t="s">
        <v>907</v>
      </c>
      <c r="Y389" s="2">
        <v>45520.0</v>
      </c>
      <c r="AE389" s="1">
        <v>69.99</v>
      </c>
      <c r="AG389" s="3" t="str">
        <f>"2000006187195113"</f>
        <v>2000006187195113</v>
      </c>
      <c r="AH389" s="1" t="s">
        <v>58</v>
      </c>
      <c r="AI389" s="1" t="s">
        <v>59</v>
      </c>
      <c r="AJ389" s="1" t="s">
        <v>59</v>
      </c>
      <c r="AK389" s="1" t="s">
        <v>60</v>
      </c>
      <c r="AL389" s="1" t="s">
        <v>60</v>
      </c>
      <c r="AW389" s="1" t="s">
        <v>888</v>
      </c>
      <c r="AY389" s="1">
        <v>1.0</v>
      </c>
      <c r="AZ389" s="1">
        <v>69.99</v>
      </c>
      <c r="BB389" s="1">
        <v>69.99</v>
      </c>
    </row>
    <row r="390">
      <c r="A390" s="1" t="s">
        <v>428</v>
      </c>
      <c r="C390" s="1" t="s">
        <v>56</v>
      </c>
      <c r="D390" s="1" t="s">
        <v>908</v>
      </c>
      <c r="Y390" s="2">
        <v>45520.0</v>
      </c>
      <c r="AE390" s="1">
        <v>279.99</v>
      </c>
      <c r="AG390" s="3" t="str">
        <f>"2000006187193425"</f>
        <v>2000006187193425</v>
      </c>
      <c r="AH390" s="1" t="s">
        <v>58</v>
      </c>
      <c r="AI390" s="1" t="s">
        <v>59</v>
      </c>
      <c r="AJ390" s="1" t="s">
        <v>59</v>
      </c>
      <c r="AK390" s="1" t="s">
        <v>60</v>
      </c>
      <c r="AL390" s="1" t="s">
        <v>60</v>
      </c>
      <c r="AW390" s="1" t="s">
        <v>430</v>
      </c>
      <c r="AY390" s="1">
        <v>1.0</v>
      </c>
      <c r="AZ390" s="1">
        <v>279.99</v>
      </c>
      <c r="BB390" s="1">
        <v>279.99</v>
      </c>
    </row>
    <row r="391">
      <c r="A391" s="1" t="s">
        <v>536</v>
      </c>
      <c r="C391" s="1" t="s">
        <v>56</v>
      </c>
      <c r="D391" s="1" t="s">
        <v>909</v>
      </c>
      <c r="Y391" s="2">
        <v>45520.0</v>
      </c>
      <c r="AE391" s="1">
        <v>89.99</v>
      </c>
      <c r="AG391" s="3" t="str">
        <f>"2000006185336649"</f>
        <v>2000006185336649</v>
      </c>
      <c r="AH391" s="1" t="s">
        <v>58</v>
      </c>
      <c r="AI391" s="1" t="s">
        <v>59</v>
      </c>
      <c r="AJ391" s="1" t="s">
        <v>59</v>
      </c>
      <c r="AK391" s="1" t="s">
        <v>60</v>
      </c>
      <c r="AL391" s="1" t="s">
        <v>60</v>
      </c>
      <c r="AW391" s="1" t="s">
        <v>538</v>
      </c>
      <c r="AY391" s="1">
        <v>1.0</v>
      </c>
      <c r="AZ391" s="1">
        <v>89.99</v>
      </c>
      <c r="BB391" s="1">
        <v>89.99</v>
      </c>
    </row>
    <row r="392">
      <c r="A392" s="1" t="s">
        <v>630</v>
      </c>
      <c r="C392" s="1" t="s">
        <v>56</v>
      </c>
      <c r="D392" s="1" t="s">
        <v>910</v>
      </c>
      <c r="Y392" s="2">
        <v>45520.0</v>
      </c>
      <c r="AE392" s="1">
        <v>189.99</v>
      </c>
      <c r="AG392" s="3" t="str">
        <f>"2000006187165325"</f>
        <v>2000006187165325</v>
      </c>
      <c r="AH392" s="1" t="s">
        <v>58</v>
      </c>
      <c r="AI392" s="1" t="s">
        <v>59</v>
      </c>
      <c r="AJ392" s="1" t="s">
        <v>59</v>
      </c>
      <c r="AK392" s="1" t="s">
        <v>60</v>
      </c>
      <c r="AL392" s="1" t="s">
        <v>60</v>
      </c>
      <c r="AW392" s="1" t="s">
        <v>632</v>
      </c>
      <c r="AY392" s="1">
        <v>1.0</v>
      </c>
      <c r="AZ392" s="1">
        <v>189.99</v>
      </c>
      <c r="BB392" s="1">
        <v>189.99</v>
      </c>
    </row>
    <row r="393">
      <c r="A393" s="1" t="s">
        <v>834</v>
      </c>
      <c r="C393" s="1" t="s">
        <v>56</v>
      </c>
      <c r="D393" s="1" t="s">
        <v>911</v>
      </c>
      <c r="Y393" s="2">
        <v>45520.0</v>
      </c>
      <c r="AE393" s="1">
        <v>107.48</v>
      </c>
      <c r="AG393" s="3" t="str">
        <f>"2000006187090967"</f>
        <v>2000006187090967</v>
      </c>
      <c r="AH393" s="1" t="s">
        <v>58</v>
      </c>
      <c r="AI393" s="1" t="s">
        <v>59</v>
      </c>
      <c r="AJ393" s="1" t="s">
        <v>59</v>
      </c>
      <c r="AK393" s="1" t="s">
        <v>60</v>
      </c>
      <c r="AL393" s="1" t="s">
        <v>60</v>
      </c>
      <c r="AW393" s="1" t="s">
        <v>836</v>
      </c>
      <c r="AY393" s="1">
        <v>1.0</v>
      </c>
      <c r="AZ393" s="1">
        <v>107.48</v>
      </c>
      <c r="BB393" s="1">
        <v>107.48</v>
      </c>
    </row>
    <row r="394">
      <c r="A394" s="1" t="s">
        <v>912</v>
      </c>
      <c r="C394" s="1" t="s">
        <v>56</v>
      </c>
      <c r="D394" s="1" t="s">
        <v>913</v>
      </c>
      <c r="Y394" s="2">
        <v>45519.0</v>
      </c>
      <c r="AE394" s="1">
        <v>199.99</v>
      </c>
      <c r="AG394" s="3" t="str">
        <f>"2000009046128962"</f>
        <v>2000009046128962</v>
      </c>
      <c r="AH394" s="1" t="s">
        <v>58</v>
      </c>
      <c r="AI394" s="1" t="s">
        <v>59</v>
      </c>
      <c r="AJ394" s="1" t="s">
        <v>59</v>
      </c>
      <c r="AK394" s="1" t="s">
        <v>60</v>
      </c>
      <c r="AL394" s="1" t="s">
        <v>60</v>
      </c>
      <c r="AW394" s="1" t="s">
        <v>914</v>
      </c>
      <c r="AY394" s="1">
        <v>1.0</v>
      </c>
      <c r="AZ394" s="1">
        <v>199.99</v>
      </c>
      <c r="BB394" s="1">
        <v>199.99</v>
      </c>
    </row>
    <row r="395">
      <c r="A395" s="1" t="s">
        <v>915</v>
      </c>
      <c r="C395" s="1" t="s">
        <v>56</v>
      </c>
      <c r="D395" s="1" t="s">
        <v>916</v>
      </c>
      <c r="Y395" s="2">
        <v>45520.0</v>
      </c>
      <c r="AE395" s="1">
        <v>109.99</v>
      </c>
      <c r="AG395" s="3" t="str">
        <f>"2000006187054305"</f>
        <v>2000006187054305</v>
      </c>
      <c r="AH395" s="1" t="s">
        <v>58</v>
      </c>
      <c r="AI395" s="1" t="s">
        <v>59</v>
      </c>
      <c r="AJ395" s="1" t="s">
        <v>59</v>
      </c>
      <c r="AK395" s="1" t="s">
        <v>60</v>
      </c>
      <c r="AL395" s="1" t="s">
        <v>60</v>
      </c>
      <c r="AW395" s="1" t="s">
        <v>917</v>
      </c>
      <c r="AY395" s="1">
        <v>1.0</v>
      </c>
      <c r="AZ395" s="1">
        <v>109.99</v>
      </c>
      <c r="BB395" s="1">
        <v>109.99</v>
      </c>
    </row>
    <row r="396">
      <c r="A396" s="1" t="s">
        <v>918</v>
      </c>
      <c r="C396" s="1" t="s">
        <v>56</v>
      </c>
      <c r="D396" s="1" t="s">
        <v>919</v>
      </c>
      <c r="Y396" s="2">
        <v>45520.0</v>
      </c>
      <c r="AE396" s="1">
        <v>139.99</v>
      </c>
      <c r="AG396" s="3" t="str">
        <f>"2000006187068999"</f>
        <v>2000006187068999</v>
      </c>
      <c r="AH396" s="1" t="s">
        <v>58</v>
      </c>
      <c r="AI396" s="1" t="s">
        <v>59</v>
      </c>
      <c r="AJ396" s="1" t="s">
        <v>59</v>
      </c>
      <c r="AK396" s="1" t="s">
        <v>60</v>
      </c>
      <c r="AL396" s="1" t="s">
        <v>60</v>
      </c>
      <c r="AW396" s="1" t="s">
        <v>920</v>
      </c>
      <c r="AY396" s="1">
        <v>1.0</v>
      </c>
      <c r="AZ396" s="1">
        <v>139.99</v>
      </c>
      <c r="BB396" s="1">
        <v>139.99</v>
      </c>
    </row>
    <row r="397">
      <c r="A397" s="1" t="s">
        <v>921</v>
      </c>
      <c r="C397" s="1" t="s">
        <v>56</v>
      </c>
      <c r="D397" s="1" t="s">
        <v>922</v>
      </c>
      <c r="Y397" s="2">
        <v>45520.0</v>
      </c>
      <c r="AE397" s="1">
        <v>36.68</v>
      </c>
      <c r="AG397" s="3" t="str">
        <f t="shared" ref="AG397:AG398" si="16">"2000006187039047"</f>
        <v>2000006187039047</v>
      </c>
      <c r="AH397" s="1" t="s">
        <v>58</v>
      </c>
      <c r="AI397" s="1" t="s">
        <v>59</v>
      </c>
      <c r="AJ397" s="1" t="s">
        <v>59</v>
      </c>
      <c r="AK397" s="1" t="s">
        <v>60</v>
      </c>
      <c r="AL397" s="1" t="s">
        <v>60</v>
      </c>
      <c r="AW397" s="1" t="s">
        <v>923</v>
      </c>
      <c r="AY397" s="1">
        <v>1.0</v>
      </c>
      <c r="AZ397" s="1">
        <v>36.68</v>
      </c>
      <c r="BB397" s="1">
        <v>36.68</v>
      </c>
    </row>
    <row r="398">
      <c r="A398" s="1" t="s">
        <v>924</v>
      </c>
      <c r="C398" s="1" t="s">
        <v>56</v>
      </c>
      <c r="D398" s="1" t="s">
        <v>922</v>
      </c>
      <c r="Y398" s="2">
        <v>45520.0</v>
      </c>
      <c r="AE398" s="1">
        <v>129.99</v>
      </c>
      <c r="AG398" s="3" t="str">
        <f t="shared" si="16"/>
        <v>2000006187039047</v>
      </c>
      <c r="AH398" s="1" t="s">
        <v>58</v>
      </c>
      <c r="AI398" s="1" t="s">
        <v>59</v>
      </c>
      <c r="AJ398" s="1" t="s">
        <v>59</v>
      </c>
      <c r="AK398" s="1" t="s">
        <v>60</v>
      </c>
      <c r="AL398" s="1" t="s">
        <v>60</v>
      </c>
      <c r="AW398" s="1" t="s">
        <v>925</v>
      </c>
      <c r="AY398" s="1">
        <v>1.0</v>
      </c>
      <c r="AZ398" s="1">
        <v>129.99</v>
      </c>
      <c r="BB398" s="1">
        <v>129.99</v>
      </c>
    </row>
    <row r="399">
      <c r="A399" s="1" t="s">
        <v>921</v>
      </c>
      <c r="C399" s="1" t="s">
        <v>56</v>
      </c>
      <c r="D399" s="1" t="s">
        <v>922</v>
      </c>
      <c r="Y399" s="2">
        <v>45520.0</v>
      </c>
      <c r="AE399" s="1">
        <v>146.72</v>
      </c>
      <c r="AG399" s="3" t="str">
        <f>"2000006187039045"</f>
        <v>2000006187039045</v>
      </c>
      <c r="AH399" s="1" t="s">
        <v>58</v>
      </c>
      <c r="AI399" s="1" t="s">
        <v>59</v>
      </c>
      <c r="AJ399" s="1" t="s">
        <v>59</v>
      </c>
      <c r="AK399" s="1" t="s">
        <v>60</v>
      </c>
      <c r="AL399" s="1" t="s">
        <v>60</v>
      </c>
      <c r="AW399" s="1" t="s">
        <v>923</v>
      </c>
      <c r="AY399" s="1">
        <v>4.0</v>
      </c>
      <c r="AZ399" s="1">
        <v>36.68</v>
      </c>
      <c r="BB399" s="1">
        <v>146.72</v>
      </c>
    </row>
    <row r="400">
      <c r="A400" s="1" t="s">
        <v>319</v>
      </c>
      <c r="C400" s="1" t="s">
        <v>56</v>
      </c>
      <c r="D400" s="1" t="s">
        <v>926</v>
      </c>
      <c r="Y400" s="2">
        <v>45520.0</v>
      </c>
      <c r="AE400" s="1">
        <v>74.99</v>
      </c>
      <c r="AG400" s="3" t="str">
        <f>"2000006187005609"</f>
        <v>2000006187005609</v>
      </c>
      <c r="AH400" s="1" t="s">
        <v>58</v>
      </c>
      <c r="AI400" s="1" t="s">
        <v>59</v>
      </c>
      <c r="AJ400" s="1" t="s">
        <v>59</v>
      </c>
      <c r="AK400" s="1" t="s">
        <v>60</v>
      </c>
      <c r="AL400" s="1" t="s">
        <v>60</v>
      </c>
      <c r="AW400" s="1" t="s">
        <v>321</v>
      </c>
      <c r="AY400" s="1">
        <v>1.0</v>
      </c>
      <c r="AZ400" s="1">
        <v>74.99</v>
      </c>
      <c r="BB400" s="1">
        <v>74.99</v>
      </c>
    </row>
    <row r="401">
      <c r="A401" s="1" t="s">
        <v>390</v>
      </c>
      <c r="C401" s="1" t="s">
        <v>56</v>
      </c>
      <c r="D401" s="1" t="s">
        <v>927</v>
      </c>
      <c r="Y401" s="2">
        <v>45520.0</v>
      </c>
      <c r="AE401" s="1">
        <v>79.99</v>
      </c>
      <c r="AG401" s="3" t="str">
        <f>"2000009057600426"</f>
        <v>2000009057600426</v>
      </c>
      <c r="AH401" s="1" t="s">
        <v>58</v>
      </c>
      <c r="AI401" s="1" t="s">
        <v>59</v>
      </c>
      <c r="AJ401" s="1" t="s">
        <v>59</v>
      </c>
      <c r="AK401" s="1" t="s">
        <v>60</v>
      </c>
      <c r="AL401" s="1" t="s">
        <v>60</v>
      </c>
      <c r="AW401" s="1" t="s">
        <v>392</v>
      </c>
      <c r="AY401" s="1">
        <v>1.0</v>
      </c>
      <c r="AZ401" s="1">
        <v>79.99</v>
      </c>
      <c r="BB401" s="1">
        <v>79.99</v>
      </c>
    </row>
    <row r="402">
      <c r="A402" s="1" t="s">
        <v>928</v>
      </c>
      <c r="C402" s="1" t="s">
        <v>56</v>
      </c>
      <c r="D402" s="1" t="s">
        <v>929</v>
      </c>
      <c r="Y402" s="2">
        <v>45520.0</v>
      </c>
      <c r="AE402" s="1">
        <v>99.98</v>
      </c>
      <c r="AG402" s="3" t="str">
        <f>"2000009057711030"</f>
        <v>2000009057711030</v>
      </c>
      <c r="AH402" s="1" t="s">
        <v>58</v>
      </c>
      <c r="AI402" s="1" t="s">
        <v>59</v>
      </c>
      <c r="AJ402" s="1" t="s">
        <v>59</v>
      </c>
      <c r="AK402" s="1" t="s">
        <v>60</v>
      </c>
      <c r="AL402" s="1" t="s">
        <v>60</v>
      </c>
      <c r="AW402" s="1" t="s">
        <v>930</v>
      </c>
      <c r="AY402" s="1">
        <v>1.0</v>
      </c>
      <c r="AZ402" s="1">
        <v>99.98</v>
      </c>
      <c r="BB402" s="1">
        <v>99.98</v>
      </c>
    </row>
    <row r="403">
      <c r="A403" s="1" t="s">
        <v>182</v>
      </c>
      <c r="C403" s="1" t="s">
        <v>56</v>
      </c>
      <c r="D403" s="1" t="s">
        <v>931</v>
      </c>
      <c r="Y403" s="2">
        <v>45520.0</v>
      </c>
      <c r="AE403" s="1">
        <v>109.99</v>
      </c>
      <c r="AG403" s="3" t="str">
        <f>"2000009057683930"</f>
        <v>2000009057683930</v>
      </c>
      <c r="AH403" s="1" t="s">
        <v>58</v>
      </c>
      <c r="AI403" s="1" t="s">
        <v>59</v>
      </c>
      <c r="AJ403" s="1" t="s">
        <v>59</v>
      </c>
      <c r="AK403" s="1" t="s">
        <v>60</v>
      </c>
      <c r="AL403" s="1" t="s">
        <v>60</v>
      </c>
      <c r="AW403" s="1" t="s">
        <v>932</v>
      </c>
      <c r="AY403" s="1">
        <v>1.0</v>
      </c>
      <c r="AZ403" s="1">
        <v>109.99</v>
      </c>
      <c r="BB403" s="1">
        <v>109.99</v>
      </c>
    </row>
    <row r="404">
      <c r="A404" s="1" t="s">
        <v>933</v>
      </c>
      <c r="C404" s="1" t="s">
        <v>56</v>
      </c>
      <c r="D404" s="1" t="s">
        <v>934</v>
      </c>
      <c r="Y404" s="2">
        <v>45520.0</v>
      </c>
      <c r="AE404" s="1">
        <v>79.99</v>
      </c>
      <c r="AG404" s="3" t="str">
        <f>"2000006186937159"</f>
        <v>2000006186937159</v>
      </c>
      <c r="AH404" s="1" t="s">
        <v>58</v>
      </c>
      <c r="AI404" s="1" t="s">
        <v>59</v>
      </c>
      <c r="AJ404" s="1" t="s">
        <v>59</v>
      </c>
      <c r="AK404" s="1" t="s">
        <v>60</v>
      </c>
      <c r="AL404" s="1" t="s">
        <v>60</v>
      </c>
      <c r="AW404" s="1" t="s">
        <v>935</v>
      </c>
      <c r="AY404" s="1">
        <v>1.0</v>
      </c>
      <c r="AZ404" s="1">
        <v>79.99</v>
      </c>
      <c r="BB404" s="1">
        <v>79.99</v>
      </c>
    </row>
    <row r="405">
      <c r="A405" s="1" t="s">
        <v>936</v>
      </c>
      <c r="C405" s="1" t="s">
        <v>56</v>
      </c>
      <c r="D405" s="1" t="s">
        <v>937</v>
      </c>
      <c r="Y405" s="2">
        <v>45520.0</v>
      </c>
      <c r="AE405" s="1">
        <v>129.99</v>
      </c>
      <c r="AG405" s="3" t="str">
        <f>"2000009057390568"</f>
        <v>2000009057390568</v>
      </c>
      <c r="AH405" s="1" t="s">
        <v>58</v>
      </c>
      <c r="AI405" s="1" t="s">
        <v>59</v>
      </c>
      <c r="AJ405" s="1" t="s">
        <v>59</v>
      </c>
      <c r="AK405" s="1" t="s">
        <v>60</v>
      </c>
      <c r="AL405" s="1" t="s">
        <v>60</v>
      </c>
      <c r="AW405" s="1" t="s">
        <v>938</v>
      </c>
      <c r="AY405" s="1">
        <v>1.0</v>
      </c>
      <c r="AZ405" s="1">
        <v>129.99</v>
      </c>
      <c r="BB405" s="1">
        <v>129.99</v>
      </c>
    </row>
    <row r="406">
      <c r="A406" s="1" t="s">
        <v>80</v>
      </c>
      <c r="C406" s="1" t="s">
        <v>56</v>
      </c>
      <c r="D406" s="1" t="s">
        <v>939</v>
      </c>
      <c r="Y406" s="2">
        <v>45520.0</v>
      </c>
      <c r="AE406" s="1">
        <v>174.99</v>
      </c>
      <c r="AG406" s="3" t="str">
        <f>"2000006186911959"</f>
        <v>2000006186911959</v>
      </c>
      <c r="AH406" s="1" t="s">
        <v>58</v>
      </c>
      <c r="AI406" s="1" t="s">
        <v>59</v>
      </c>
      <c r="AJ406" s="1" t="s">
        <v>59</v>
      </c>
      <c r="AK406" s="1" t="s">
        <v>60</v>
      </c>
      <c r="AL406" s="1" t="s">
        <v>60</v>
      </c>
      <c r="AW406" s="1" t="s">
        <v>82</v>
      </c>
      <c r="AY406" s="1">
        <v>1.0</v>
      </c>
      <c r="AZ406" s="1">
        <v>174.99</v>
      </c>
      <c r="BB406" s="1">
        <v>174.99</v>
      </c>
    </row>
    <row r="407">
      <c r="A407" s="1" t="s">
        <v>940</v>
      </c>
      <c r="C407" s="1" t="s">
        <v>56</v>
      </c>
      <c r="D407" s="1" t="s">
        <v>941</v>
      </c>
      <c r="Y407" s="2">
        <v>45520.0</v>
      </c>
      <c r="AE407" s="1">
        <v>79.99</v>
      </c>
      <c r="AG407" s="3" t="str">
        <f>"2000006186899487"</f>
        <v>2000006186899487</v>
      </c>
      <c r="AH407" s="1" t="s">
        <v>58</v>
      </c>
      <c r="AI407" s="1" t="s">
        <v>59</v>
      </c>
      <c r="AJ407" s="1" t="s">
        <v>59</v>
      </c>
      <c r="AK407" s="1" t="s">
        <v>60</v>
      </c>
      <c r="AL407" s="1" t="s">
        <v>60</v>
      </c>
      <c r="AW407" s="1" t="s">
        <v>146</v>
      </c>
      <c r="AY407" s="1">
        <v>1.0</v>
      </c>
      <c r="AZ407" s="1">
        <v>79.99</v>
      </c>
      <c r="BB407" s="1">
        <v>79.99</v>
      </c>
    </row>
    <row r="408">
      <c r="A408" s="1" t="s">
        <v>942</v>
      </c>
      <c r="C408" s="1" t="s">
        <v>56</v>
      </c>
      <c r="D408" s="1" t="s">
        <v>943</v>
      </c>
      <c r="Y408" s="2">
        <v>45520.0</v>
      </c>
      <c r="AE408" s="1">
        <v>114.99</v>
      </c>
      <c r="AG408" s="3" t="str">
        <f>"2000006186879545"</f>
        <v>2000006186879545</v>
      </c>
      <c r="AH408" s="1" t="s">
        <v>58</v>
      </c>
      <c r="AI408" s="1" t="s">
        <v>59</v>
      </c>
      <c r="AJ408" s="1" t="s">
        <v>59</v>
      </c>
      <c r="AK408" s="1" t="s">
        <v>60</v>
      </c>
      <c r="AL408" s="1" t="s">
        <v>60</v>
      </c>
      <c r="AW408" s="1" t="s">
        <v>944</v>
      </c>
      <c r="AY408" s="1">
        <v>1.0</v>
      </c>
      <c r="AZ408" s="1">
        <v>114.99</v>
      </c>
      <c r="BB408" s="1">
        <v>114.99</v>
      </c>
    </row>
    <row r="409">
      <c r="A409" s="1" t="s">
        <v>851</v>
      </c>
      <c r="C409" s="1" t="s">
        <v>56</v>
      </c>
      <c r="D409" s="1" t="s">
        <v>945</v>
      </c>
      <c r="Y409" s="2">
        <v>45520.0</v>
      </c>
      <c r="AE409" s="1">
        <v>307.96</v>
      </c>
      <c r="AG409" s="3" t="str">
        <f>"2000006186861075"</f>
        <v>2000006186861075</v>
      </c>
      <c r="AH409" s="1" t="s">
        <v>58</v>
      </c>
      <c r="AI409" s="1" t="s">
        <v>59</v>
      </c>
      <c r="AJ409" s="1" t="s">
        <v>59</v>
      </c>
      <c r="AK409" s="1" t="s">
        <v>60</v>
      </c>
      <c r="AL409" s="1" t="s">
        <v>60</v>
      </c>
      <c r="AW409" s="1" t="s">
        <v>946</v>
      </c>
      <c r="AY409" s="1">
        <v>4.0</v>
      </c>
      <c r="AZ409" s="1">
        <v>76.99</v>
      </c>
      <c r="BB409" s="1">
        <v>307.96</v>
      </c>
    </row>
    <row r="410">
      <c r="A410" s="1" t="s">
        <v>947</v>
      </c>
      <c r="C410" s="1" t="s">
        <v>56</v>
      </c>
      <c r="D410" s="1" t="s">
        <v>948</v>
      </c>
      <c r="Y410" s="2">
        <v>45520.0</v>
      </c>
      <c r="AE410" s="1">
        <v>129.99</v>
      </c>
      <c r="AG410" s="3" t="str">
        <f>"2000006186852751"</f>
        <v>2000006186852751</v>
      </c>
      <c r="AH410" s="1" t="s">
        <v>58</v>
      </c>
      <c r="AI410" s="1" t="s">
        <v>59</v>
      </c>
      <c r="AJ410" s="1" t="s">
        <v>59</v>
      </c>
      <c r="AK410" s="1" t="s">
        <v>60</v>
      </c>
      <c r="AL410" s="1" t="s">
        <v>60</v>
      </c>
      <c r="AW410" s="1" t="s">
        <v>949</v>
      </c>
      <c r="AY410" s="1">
        <v>1.0</v>
      </c>
      <c r="AZ410" s="1">
        <v>129.99</v>
      </c>
      <c r="BB410" s="1">
        <v>129.99</v>
      </c>
    </row>
    <row r="411">
      <c r="A411" s="1" t="s">
        <v>950</v>
      </c>
      <c r="C411" s="1" t="s">
        <v>56</v>
      </c>
      <c r="D411" s="1" t="s">
        <v>951</v>
      </c>
      <c r="Y411" s="2">
        <v>45520.0</v>
      </c>
      <c r="AE411" s="1">
        <v>119.99</v>
      </c>
      <c r="AG411" s="3" t="str">
        <f>"2000009057450772"</f>
        <v>2000009057450772</v>
      </c>
      <c r="AH411" s="1" t="s">
        <v>58</v>
      </c>
      <c r="AI411" s="1" t="s">
        <v>59</v>
      </c>
      <c r="AJ411" s="1" t="s">
        <v>59</v>
      </c>
      <c r="AK411" s="1" t="s">
        <v>60</v>
      </c>
      <c r="AL411" s="1" t="s">
        <v>60</v>
      </c>
      <c r="AW411" s="1" t="s">
        <v>952</v>
      </c>
      <c r="AY411" s="1">
        <v>1.0</v>
      </c>
      <c r="AZ411" s="1">
        <v>119.99</v>
      </c>
      <c r="BB411" s="1">
        <v>119.99</v>
      </c>
    </row>
    <row r="412">
      <c r="A412" s="1" t="s">
        <v>953</v>
      </c>
      <c r="C412" s="1" t="s">
        <v>56</v>
      </c>
      <c r="D412" s="1" t="s">
        <v>954</v>
      </c>
      <c r="Y412" s="2">
        <v>45520.0</v>
      </c>
      <c r="AE412" s="1">
        <v>39.99</v>
      </c>
      <c r="AG412" s="3" t="str">
        <f>"2000006186825675"</f>
        <v>2000006186825675</v>
      </c>
      <c r="AH412" s="1" t="s">
        <v>58</v>
      </c>
      <c r="AI412" s="1" t="s">
        <v>59</v>
      </c>
      <c r="AJ412" s="1" t="s">
        <v>59</v>
      </c>
      <c r="AK412" s="1" t="s">
        <v>60</v>
      </c>
      <c r="AL412" s="1" t="s">
        <v>60</v>
      </c>
      <c r="AW412" s="1" t="s">
        <v>955</v>
      </c>
      <c r="AY412" s="1">
        <v>1.0</v>
      </c>
      <c r="AZ412" s="1">
        <v>39.99</v>
      </c>
      <c r="BB412" s="1">
        <v>39.99</v>
      </c>
    </row>
    <row r="413">
      <c r="A413" s="1" t="s">
        <v>875</v>
      </c>
      <c r="C413" s="1" t="s">
        <v>56</v>
      </c>
      <c r="D413" s="1" t="s">
        <v>956</v>
      </c>
      <c r="Y413" s="2">
        <v>45520.0</v>
      </c>
      <c r="AE413" s="1">
        <v>89.99</v>
      </c>
      <c r="AG413" s="3" t="str">
        <f>"2000006186794879"</f>
        <v>2000006186794879</v>
      </c>
      <c r="AH413" s="1" t="s">
        <v>58</v>
      </c>
      <c r="AI413" s="1" t="s">
        <v>59</v>
      </c>
      <c r="AJ413" s="1" t="s">
        <v>59</v>
      </c>
      <c r="AK413" s="1" t="s">
        <v>60</v>
      </c>
      <c r="AL413" s="1" t="s">
        <v>60</v>
      </c>
      <c r="AW413" s="1" t="s">
        <v>877</v>
      </c>
      <c r="AY413" s="1">
        <v>1.0</v>
      </c>
      <c r="AZ413" s="1">
        <v>89.99</v>
      </c>
      <c r="BB413" s="1">
        <v>89.99</v>
      </c>
    </row>
    <row r="414">
      <c r="A414" s="1" t="s">
        <v>957</v>
      </c>
      <c r="C414" s="1" t="s">
        <v>56</v>
      </c>
      <c r="D414" s="1" t="s">
        <v>958</v>
      </c>
      <c r="Y414" s="2">
        <v>45520.0</v>
      </c>
      <c r="AE414" s="1">
        <v>139.99</v>
      </c>
      <c r="AG414" s="3" t="str">
        <f>"2000006186821195"</f>
        <v>2000006186821195</v>
      </c>
      <c r="AH414" s="1" t="s">
        <v>58</v>
      </c>
      <c r="AI414" s="1" t="s">
        <v>59</v>
      </c>
      <c r="AJ414" s="1" t="s">
        <v>59</v>
      </c>
      <c r="AK414" s="1" t="s">
        <v>60</v>
      </c>
      <c r="AL414" s="1" t="s">
        <v>60</v>
      </c>
      <c r="AW414" s="1" t="s">
        <v>959</v>
      </c>
      <c r="AY414" s="1">
        <v>1.0</v>
      </c>
      <c r="AZ414" s="1">
        <v>139.99</v>
      </c>
      <c r="BB414" s="1">
        <v>139.99</v>
      </c>
    </row>
    <row r="415">
      <c r="A415" s="1" t="s">
        <v>960</v>
      </c>
      <c r="C415" s="1" t="s">
        <v>56</v>
      </c>
      <c r="D415" s="1" t="s">
        <v>961</v>
      </c>
      <c r="Y415" s="2">
        <v>45520.0</v>
      </c>
      <c r="AE415" s="1">
        <v>129.99</v>
      </c>
      <c r="AG415" s="3" t="str">
        <f>"2000006186793981"</f>
        <v>2000006186793981</v>
      </c>
      <c r="AH415" s="1" t="s">
        <v>58</v>
      </c>
      <c r="AI415" s="1" t="s">
        <v>59</v>
      </c>
      <c r="AJ415" s="1" t="s">
        <v>59</v>
      </c>
      <c r="AK415" s="1" t="s">
        <v>60</v>
      </c>
      <c r="AL415" s="1" t="s">
        <v>60</v>
      </c>
      <c r="AW415" s="1" t="s">
        <v>763</v>
      </c>
      <c r="AY415" s="1">
        <v>1.0</v>
      </c>
      <c r="AZ415" s="1">
        <v>129.99</v>
      </c>
      <c r="BB415" s="1">
        <v>129.99</v>
      </c>
    </row>
    <row r="416">
      <c r="A416" s="1" t="s">
        <v>962</v>
      </c>
      <c r="C416" s="1" t="s">
        <v>56</v>
      </c>
      <c r="D416" s="1" t="s">
        <v>963</v>
      </c>
      <c r="Y416" s="2">
        <v>45520.0</v>
      </c>
      <c r="AE416" s="1">
        <v>149.99</v>
      </c>
      <c r="AG416" s="3" t="str">
        <f>"2000006186815259"</f>
        <v>2000006186815259</v>
      </c>
      <c r="AH416" s="1" t="s">
        <v>58</v>
      </c>
      <c r="AI416" s="1" t="s">
        <v>59</v>
      </c>
      <c r="AJ416" s="1" t="s">
        <v>59</v>
      </c>
      <c r="AK416" s="1" t="s">
        <v>60</v>
      </c>
      <c r="AL416" s="1" t="s">
        <v>60</v>
      </c>
      <c r="AW416" s="1" t="s">
        <v>964</v>
      </c>
      <c r="AY416" s="1">
        <v>1.0</v>
      </c>
      <c r="AZ416" s="1">
        <v>149.99</v>
      </c>
      <c r="BB416" s="1">
        <v>149.99</v>
      </c>
    </row>
    <row r="417">
      <c r="A417" s="1" t="s">
        <v>166</v>
      </c>
      <c r="C417" s="1" t="s">
        <v>56</v>
      </c>
      <c r="D417" s="1" t="s">
        <v>965</v>
      </c>
      <c r="Y417" s="2">
        <v>45520.0</v>
      </c>
      <c r="AE417" s="1">
        <v>59.99</v>
      </c>
      <c r="AG417" s="3" t="str">
        <f>"2000006186802893"</f>
        <v>2000006186802893</v>
      </c>
      <c r="AH417" s="1" t="s">
        <v>58</v>
      </c>
      <c r="AI417" s="1" t="s">
        <v>59</v>
      </c>
      <c r="AJ417" s="1" t="s">
        <v>59</v>
      </c>
      <c r="AK417" s="1" t="s">
        <v>60</v>
      </c>
      <c r="AL417" s="1" t="s">
        <v>60</v>
      </c>
      <c r="AW417" s="1" t="s">
        <v>165</v>
      </c>
      <c r="AY417" s="1">
        <v>1.0</v>
      </c>
      <c r="AZ417" s="1">
        <v>59.99</v>
      </c>
      <c r="BB417" s="1">
        <v>59.99</v>
      </c>
    </row>
    <row r="418">
      <c r="A418" s="1" t="s">
        <v>966</v>
      </c>
      <c r="C418" s="1" t="s">
        <v>56</v>
      </c>
      <c r="D418" s="1" t="s">
        <v>967</v>
      </c>
      <c r="Y418" s="2">
        <v>45520.0</v>
      </c>
      <c r="AE418" s="1">
        <v>459.99</v>
      </c>
      <c r="AG418" s="3" t="str">
        <f>"2000009057316750"</f>
        <v>2000009057316750</v>
      </c>
      <c r="AH418" s="1" t="s">
        <v>58</v>
      </c>
      <c r="AI418" s="1" t="s">
        <v>59</v>
      </c>
      <c r="AJ418" s="1" t="s">
        <v>59</v>
      </c>
      <c r="AK418" s="1" t="s">
        <v>60</v>
      </c>
      <c r="AL418" s="1" t="s">
        <v>60</v>
      </c>
      <c r="AW418" s="1" t="s">
        <v>968</v>
      </c>
      <c r="AY418" s="1">
        <v>1.0</v>
      </c>
      <c r="AZ418" s="1">
        <v>459.99</v>
      </c>
      <c r="BB418" s="1">
        <v>459.99</v>
      </c>
    </row>
    <row r="419">
      <c r="A419" s="1" t="s">
        <v>403</v>
      </c>
      <c r="C419" s="1" t="s">
        <v>56</v>
      </c>
      <c r="D419" s="1" t="s">
        <v>969</v>
      </c>
      <c r="Y419" s="2">
        <v>45520.0</v>
      </c>
      <c r="AE419" s="1">
        <v>76.99</v>
      </c>
      <c r="AG419" s="3" t="str">
        <f>"2000009057316720"</f>
        <v>2000009057316720</v>
      </c>
      <c r="AH419" s="1" t="s">
        <v>58</v>
      </c>
      <c r="AI419" s="1" t="s">
        <v>59</v>
      </c>
      <c r="AJ419" s="1" t="s">
        <v>59</v>
      </c>
      <c r="AK419" s="1" t="s">
        <v>60</v>
      </c>
      <c r="AL419" s="1" t="s">
        <v>60</v>
      </c>
      <c r="AW419" s="1" t="s">
        <v>405</v>
      </c>
      <c r="AY419" s="1">
        <v>1.0</v>
      </c>
      <c r="AZ419" s="1">
        <v>76.99</v>
      </c>
      <c r="BB419" s="1">
        <v>76.99</v>
      </c>
    </row>
    <row r="420">
      <c r="A420" s="1" t="s">
        <v>970</v>
      </c>
      <c r="C420" s="1" t="s">
        <v>56</v>
      </c>
      <c r="D420" s="1" t="s">
        <v>971</v>
      </c>
      <c r="Y420" s="2">
        <v>45520.0</v>
      </c>
      <c r="AE420" s="1">
        <v>49.99</v>
      </c>
      <c r="AG420" s="3" t="str">
        <f>"2000009057318354"</f>
        <v>2000009057318354</v>
      </c>
      <c r="AH420" s="1" t="s">
        <v>58</v>
      </c>
      <c r="AI420" s="1" t="s">
        <v>59</v>
      </c>
      <c r="AJ420" s="1" t="s">
        <v>59</v>
      </c>
      <c r="AK420" s="1" t="s">
        <v>60</v>
      </c>
      <c r="AL420" s="1" t="s">
        <v>60</v>
      </c>
      <c r="AW420" s="1" t="s">
        <v>972</v>
      </c>
      <c r="AY420" s="1">
        <v>1.0</v>
      </c>
      <c r="AZ420" s="1">
        <v>49.99</v>
      </c>
      <c r="BB420" s="1">
        <v>49.99</v>
      </c>
    </row>
    <row r="421">
      <c r="A421" s="1" t="s">
        <v>757</v>
      </c>
      <c r="C421" s="1" t="s">
        <v>56</v>
      </c>
      <c r="D421" s="1" t="s">
        <v>973</v>
      </c>
      <c r="Y421" s="2">
        <v>45520.0</v>
      </c>
      <c r="AE421" s="1">
        <v>499.99</v>
      </c>
      <c r="AG421" s="3" t="str">
        <f>"2000009057274722"</f>
        <v>2000009057274722</v>
      </c>
      <c r="AH421" s="1" t="s">
        <v>58</v>
      </c>
      <c r="AI421" s="1" t="s">
        <v>59</v>
      </c>
      <c r="AJ421" s="1" t="s">
        <v>59</v>
      </c>
      <c r="AK421" s="1" t="s">
        <v>60</v>
      </c>
      <c r="AL421" s="1" t="s">
        <v>60</v>
      </c>
      <c r="AW421" s="1" t="s">
        <v>759</v>
      </c>
      <c r="AY421" s="1">
        <v>1.0</v>
      </c>
      <c r="AZ421" s="1">
        <v>499.99</v>
      </c>
      <c r="BB421" s="1">
        <v>499.99</v>
      </c>
    </row>
    <row r="422">
      <c r="A422" s="1" t="s">
        <v>974</v>
      </c>
      <c r="C422" s="1" t="s">
        <v>56</v>
      </c>
      <c r="D422" s="1" t="s">
        <v>444</v>
      </c>
      <c r="Y422" s="2">
        <v>45520.0</v>
      </c>
      <c r="AE422" s="1">
        <v>89.99</v>
      </c>
      <c r="AG422" s="3" t="str">
        <f>"2000006186745029"</f>
        <v>2000006186745029</v>
      </c>
      <c r="AH422" s="1" t="s">
        <v>58</v>
      </c>
      <c r="AI422" s="1" t="s">
        <v>59</v>
      </c>
      <c r="AJ422" s="1" t="s">
        <v>59</v>
      </c>
      <c r="AK422" s="1" t="s">
        <v>60</v>
      </c>
      <c r="AL422" s="1" t="s">
        <v>60</v>
      </c>
      <c r="AW422" s="1" t="s">
        <v>975</v>
      </c>
      <c r="AY422" s="1">
        <v>1.0</v>
      </c>
      <c r="AZ422" s="1">
        <v>89.99</v>
      </c>
      <c r="BB422" s="1">
        <v>89.99</v>
      </c>
    </row>
    <row r="423">
      <c r="A423" s="1" t="s">
        <v>976</v>
      </c>
      <c r="C423" s="1" t="s">
        <v>56</v>
      </c>
      <c r="D423" s="1" t="s">
        <v>977</v>
      </c>
      <c r="Y423" s="2">
        <v>45520.0</v>
      </c>
      <c r="AE423" s="1">
        <v>89.99</v>
      </c>
      <c r="AG423" s="3" t="str">
        <f>"2000006182093449"</f>
        <v>2000006182093449</v>
      </c>
      <c r="AH423" s="1" t="s">
        <v>58</v>
      </c>
      <c r="AI423" s="1" t="s">
        <v>59</v>
      </c>
      <c r="AJ423" s="1" t="s">
        <v>59</v>
      </c>
      <c r="AK423" s="1" t="s">
        <v>60</v>
      </c>
      <c r="AL423" s="1" t="s">
        <v>60</v>
      </c>
      <c r="AW423" s="1" t="s">
        <v>978</v>
      </c>
      <c r="AY423" s="1">
        <v>1.0</v>
      </c>
      <c r="AZ423" s="1">
        <v>89.99</v>
      </c>
      <c r="BB423" s="1">
        <v>89.99</v>
      </c>
    </row>
    <row r="424">
      <c r="A424" s="1" t="s">
        <v>407</v>
      </c>
      <c r="C424" s="1" t="s">
        <v>56</v>
      </c>
      <c r="D424" s="1" t="s">
        <v>979</v>
      </c>
      <c r="Y424" s="2">
        <v>45520.0</v>
      </c>
      <c r="AE424" s="1">
        <v>94.99</v>
      </c>
      <c r="AG424" s="3" t="str">
        <f>"2000006186715249"</f>
        <v>2000006186715249</v>
      </c>
      <c r="AH424" s="1" t="s">
        <v>58</v>
      </c>
      <c r="AI424" s="1" t="s">
        <v>59</v>
      </c>
      <c r="AJ424" s="1" t="s">
        <v>59</v>
      </c>
      <c r="AK424" s="1" t="s">
        <v>60</v>
      </c>
      <c r="AL424" s="1" t="s">
        <v>60</v>
      </c>
      <c r="AW424" s="1" t="s">
        <v>409</v>
      </c>
      <c r="AY424" s="1">
        <v>1.0</v>
      </c>
      <c r="AZ424" s="1">
        <v>94.99</v>
      </c>
      <c r="BB424" s="1">
        <v>94.99</v>
      </c>
    </row>
    <row r="425">
      <c r="A425" s="1" t="s">
        <v>893</v>
      </c>
      <c r="C425" s="1" t="s">
        <v>56</v>
      </c>
      <c r="D425" s="1" t="s">
        <v>980</v>
      </c>
      <c r="Y425" s="2">
        <v>45520.0</v>
      </c>
      <c r="AE425" s="1">
        <v>99.99</v>
      </c>
      <c r="AG425" s="3" t="str">
        <f>"2000006186711767"</f>
        <v>2000006186711767</v>
      </c>
      <c r="AH425" s="1" t="s">
        <v>58</v>
      </c>
      <c r="AI425" s="1" t="s">
        <v>59</v>
      </c>
      <c r="AJ425" s="1" t="s">
        <v>59</v>
      </c>
      <c r="AK425" s="1" t="s">
        <v>60</v>
      </c>
      <c r="AL425" s="1" t="s">
        <v>60</v>
      </c>
      <c r="AW425" s="1" t="s">
        <v>895</v>
      </c>
      <c r="AY425" s="1">
        <v>1.0</v>
      </c>
      <c r="AZ425" s="1">
        <v>99.99</v>
      </c>
      <c r="BB425" s="1">
        <v>99.99</v>
      </c>
    </row>
    <row r="426">
      <c r="A426" s="1" t="s">
        <v>721</v>
      </c>
      <c r="C426" s="1" t="s">
        <v>56</v>
      </c>
      <c r="D426" s="1" t="s">
        <v>981</v>
      </c>
      <c r="Y426" s="2">
        <v>45520.0</v>
      </c>
      <c r="AE426" s="1">
        <v>54.99</v>
      </c>
      <c r="AG426" s="3" t="str">
        <f>"2000006186650047"</f>
        <v>2000006186650047</v>
      </c>
      <c r="AH426" s="1" t="s">
        <v>58</v>
      </c>
      <c r="AI426" s="1" t="s">
        <v>59</v>
      </c>
      <c r="AJ426" s="1" t="s">
        <v>59</v>
      </c>
      <c r="AK426" s="1" t="s">
        <v>60</v>
      </c>
      <c r="AL426" s="1" t="s">
        <v>60</v>
      </c>
      <c r="AW426" s="1" t="s">
        <v>723</v>
      </c>
      <c r="AY426" s="1">
        <v>1.0</v>
      </c>
      <c r="AZ426" s="1">
        <v>54.99</v>
      </c>
      <c r="BB426" s="1">
        <v>54.99</v>
      </c>
    </row>
    <row r="427">
      <c r="A427" s="1" t="s">
        <v>982</v>
      </c>
      <c r="C427" s="1" t="s">
        <v>56</v>
      </c>
      <c r="D427" s="1" t="s">
        <v>983</v>
      </c>
      <c r="Y427" s="2">
        <v>45520.0</v>
      </c>
      <c r="AE427" s="1">
        <v>89.99</v>
      </c>
      <c r="AG427" s="3" t="str">
        <f>"2000006186632437"</f>
        <v>2000006186632437</v>
      </c>
      <c r="AH427" s="1" t="s">
        <v>58</v>
      </c>
      <c r="AI427" s="1" t="s">
        <v>59</v>
      </c>
      <c r="AJ427" s="1" t="s">
        <v>59</v>
      </c>
      <c r="AK427" s="1" t="s">
        <v>60</v>
      </c>
      <c r="AL427" s="1" t="s">
        <v>60</v>
      </c>
      <c r="AW427" s="1" t="s">
        <v>984</v>
      </c>
      <c r="AY427" s="1">
        <v>1.0</v>
      </c>
      <c r="AZ427" s="1">
        <v>89.99</v>
      </c>
      <c r="BB427" s="1">
        <v>89.99</v>
      </c>
    </row>
    <row r="428">
      <c r="A428" s="1" t="s">
        <v>390</v>
      </c>
      <c r="C428" s="1" t="s">
        <v>56</v>
      </c>
      <c r="D428" s="1" t="s">
        <v>985</v>
      </c>
      <c r="Y428" s="2">
        <v>45520.0</v>
      </c>
      <c r="AE428" s="1">
        <v>79.99</v>
      </c>
      <c r="AG428" s="3" t="str">
        <f>"2000006186581151"</f>
        <v>2000006186581151</v>
      </c>
      <c r="AH428" s="1" t="s">
        <v>58</v>
      </c>
      <c r="AI428" s="1" t="s">
        <v>59</v>
      </c>
      <c r="AJ428" s="1" t="s">
        <v>59</v>
      </c>
      <c r="AK428" s="1" t="s">
        <v>60</v>
      </c>
      <c r="AL428" s="1" t="s">
        <v>60</v>
      </c>
      <c r="AW428" s="1" t="s">
        <v>392</v>
      </c>
      <c r="AY428" s="1">
        <v>1.0</v>
      </c>
      <c r="AZ428" s="1">
        <v>79.99</v>
      </c>
      <c r="BB428" s="1">
        <v>79.99</v>
      </c>
    </row>
    <row r="429">
      <c r="A429" s="1" t="s">
        <v>986</v>
      </c>
      <c r="C429" s="1" t="s">
        <v>56</v>
      </c>
      <c r="D429" s="1" t="s">
        <v>987</v>
      </c>
      <c r="Y429" s="2">
        <v>45520.0</v>
      </c>
      <c r="AE429" s="1">
        <v>84.99</v>
      </c>
      <c r="AG429" s="3" t="str">
        <f>"2000006186550199"</f>
        <v>2000006186550199</v>
      </c>
      <c r="AH429" s="1" t="s">
        <v>58</v>
      </c>
      <c r="AI429" s="1" t="s">
        <v>59</v>
      </c>
      <c r="AJ429" s="1" t="s">
        <v>59</v>
      </c>
      <c r="AK429" s="1" t="s">
        <v>60</v>
      </c>
      <c r="AL429" s="1" t="s">
        <v>60</v>
      </c>
      <c r="AW429" s="1" t="s">
        <v>988</v>
      </c>
      <c r="AY429" s="1">
        <v>1.0</v>
      </c>
      <c r="AZ429" s="1">
        <v>84.99</v>
      </c>
      <c r="BB429" s="1">
        <v>84.99</v>
      </c>
    </row>
    <row r="430">
      <c r="A430" s="1" t="s">
        <v>262</v>
      </c>
      <c r="C430" s="1" t="s">
        <v>56</v>
      </c>
      <c r="D430" s="1" t="s">
        <v>989</v>
      </c>
      <c r="Y430" s="2">
        <v>45520.0</v>
      </c>
      <c r="AE430" s="1">
        <v>129.99</v>
      </c>
      <c r="AG430" s="3" t="str">
        <f>"2000006186548121"</f>
        <v>2000006186548121</v>
      </c>
      <c r="AH430" s="1" t="s">
        <v>58</v>
      </c>
      <c r="AI430" s="1" t="s">
        <v>59</v>
      </c>
      <c r="AJ430" s="1" t="s">
        <v>59</v>
      </c>
      <c r="AK430" s="1" t="s">
        <v>60</v>
      </c>
      <c r="AL430" s="1" t="s">
        <v>60</v>
      </c>
      <c r="AW430" s="1" t="s">
        <v>264</v>
      </c>
      <c r="AY430" s="1">
        <v>1.0</v>
      </c>
      <c r="AZ430" s="1">
        <v>129.99</v>
      </c>
      <c r="BB430" s="1">
        <v>129.99</v>
      </c>
    </row>
    <row r="431">
      <c r="A431" s="1" t="s">
        <v>360</v>
      </c>
      <c r="C431" s="1" t="s">
        <v>56</v>
      </c>
      <c r="D431" s="1" t="s">
        <v>990</v>
      </c>
      <c r="Y431" s="2">
        <v>45520.0</v>
      </c>
      <c r="AE431" s="1">
        <v>47.18</v>
      </c>
      <c r="AG431" s="3" t="str">
        <f>"2000006186539063"</f>
        <v>2000006186539063</v>
      </c>
      <c r="AH431" s="1" t="s">
        <v>58</v>
      </c>
      <c r="AI431" s="1" t="s">
        <v>59</v>
      </c>
      <c r="AJ431" s="1" t="s">
        <v>59</v>
      </c>
      <c r="AK431" s="1" t="s">
        <v>60</v>
      </c>
      <c r="AL431" s="1" t="s">
        <v>60</v>
      </c>
      <c r="AW431" s="1" t="s">
        <v>155</v>
      </c>
      <c r="AY431" s="1">
        <v>1.0</v>
      </c>
      <c r="AZ431" s="1">
        <v>47.18</v>
      </c>
      <c r="BB431" s="1">
        <v>47.18</v>
      </c>
    </row>
    <row r="432">
      <c r="A432" s="1" t="s">
        <v>991</v>
      </c>
      <c r="C432" s="1" t="s">
        <v>56</v>
      </c>
      <c r="D432" s="1" t="s">
        <v>992</v>
      </c>
      <c r="Y432" s="2">
        <v>45520.0</v>
      </c>
      <c r="AE432" s="1">
        <v>64.99</v>
      </c>
      <c r="AG432" s="3" t="str">
        <f t="shared" ref="AG432:AG433" si="17">"2000006186539579"</f>
        <v>2000006186539579</v>
      </c>
      <c r="AH432" s="1" t="s">
        <v>58</v>
      </c>
      <c r="AI432" s="1" t="s">
        <v>59</v>
      </c>
      <c r="AJ432" s="1" t="s">
        <v>59</v>
      </c>
      <c r="AK432" s="1" t="s">
        <v>60</v>
      </c>
      <c r="AL432" s="1" t="s">
        <v>60</v>
      </c>
      <c r="AW432" s="1" t="s">
        <v>993</v>
      </c>
      <c r="AY432" s="1">
        <v>1.0</v>
      </c>
      <c r="AZ432" s="1">
        <v>64.99</v>
      </c>
      <c r="BB432" s="1">
        <v>64.99</v>
      </c>
    </row>
    <row r="433">
      <c r="A433" s="1" t="s">
        <v>994</v>
      </c>
      <c r="C433" s="1" t="s">
        <v>56</v>
      </c>
      <c r="D433" s="1" t="s">
        <v>992</v>
      </c>
      <c r="Y433" s="2">
        <v>45520.0</v>
      </c>
      <c r="AE433" s="1">
        <v>64.99</v>
      </c>
      <c r="AG433" s="3" t="str">
        <f t="shared" si="17"/>
        <v>2000006186539579</v>
      </c>
      <c r="AH433" s="1" t="s">
        <v>58</v>
      </c>
      <c r="AI433" s="1" t="s">
        <v>59</v>
      </c>
      <c r="AJ433" s="1" t="s">
        <v>59</v>
      </c>
      <c r="AK433" s="1" t="s">
        <v>60</v>
      </c>
      <c r="AL433" s="1" t="s">
        <v>60</v>
      </c>
      <c r="AW433" s="1" t="s">
        <v>313</v>
      </c>
      <c r="AY433" s="1">
        <v>1.0</v>
      </c>
      <c r="AZ433" s="1">
        <v>64.99</v>
      </c>
      <c r="BB433" s="1">
        <v>64.99</v>
      </c>
    </row>
    <row r="434">
      <c r="A434" s="1" t="s">
        <v>426</v>
      </c>
      <c r="C434" s="1" t="s">
        <v>56</v>
      </c>
      <c r="D434" s="1" t="s">
        <v>995</v>
      </c>
      <c r="Y434" s="2">
        <v>45520.0</v>
      </c>
      <c r="AE434" s="1">
        <v>54.99</v>
      </c>
      <c r="AG434" s="3" t="str">
        <f>"2000006186516235"</f>
        <v>2000006186516235</v>
      </c>
      <c r="AH434" s="1" t="s">
        <v>58</v>
      </c>
      <c r="AI434" s="1" t="s">
        <v>59</v>
      </c>
      <c r="AJ434" s="1" t="s">
        <v>59</v>
      </c>
      <c r="AK434" s="1" t="s">
        <v>60</v>
      </c>
      <c r="AL434" s="1" t="s">
        <v>60</v>
      </c>
      <c r="AW434" s="1" t="s">
        <v>85</v>
      </c>
      <c r="AY434" s="1">
        <v>1.0</v>
      </c>
      <c r="AZ434" s="1">
        <v>54.99</v>
      </c>
      <c r="BB434" s="1">
        <v>54.99</v>
      </c>
    </row>
    <row r="435">
      <c r="A435" s="1" t="s">
        <v>474</v>
      </c>
      <c r="C435" s="1" t="s">
        <v>56</v>
      </c>
      <c r="D435" s="1" t="s">
        <v>996</v>
      </c>
      <c r="Y435" s="2">
        <v>45520.0</v>
      </c>
      <c r="AE435" s="1">
        <v>164.99</v>
      </c>
      <c r="AG435" s="3" t="str">
        <f>"2000006186511679"</f>
        <v>2000006186511679</v>
      </c>
      <c r="AH435" s="1" t="s">
        <v>58</v>
      </c>
      <c r="AI435" s="1" t="s">
        <v>59</v>
      </c>
      <c r="AJ435" s="1" t="s">
        <v>59</v>
      </c>
      <c r="AK435" s="1" t="s">
        <v>60</v>
      </c>
      <c r="AL435" s="1" t="s">
        <v>60</v>
      </c>
      <c r="AW435" s="1" t="s">
        <v>476</v>
      </c>
      <c r="AY435" s="1">
        <v>1.0</v>
      </c>
      <c r="AZ435" s="1">
        <v>164.99</v>
      </c>
      <c r="BB435" s="1">
        <v>164.99</v>
      </c>
    </row>
    <row r="436">
      <c r="A436" s="1" t="s">
        <v>166</v>
      </c>
      <c r="C436" s="1" t="s">
        <v>235</v>
      </c>
      <c r="D436" s="1" t="s">
        <v>965</v>
      </c>
      <c r="Y436" s="2">
        <v>45520.0</v>
      </c>
      <c r="AE436" s="1">
        <v>59.99</v>
      </c>
      <c r="AG436" s="3" t="str">
        <f>"2000006186475685"</f>
        <v>2000006186475685</v>
      </c>
      <c r="AH436" s="1" t="s">
        <v>58</v>
      </c>
      <c r="AI436" s="1" t="s">
        <v>59</v>
      </c>
      <c r="AJ436" s="1" t="s">
        <v>59</v>
      </c>
      <c r="AK436" s="1" t="s">
        <v>60</v>
      </c>
      <c r="AL436" s="1" t="s">
        <v>60</v>
      </c>
      <c r="AW436" s="1" t="s">
        <v>165</v>
      </c>
      <c r="AY436" s="1">
        <v>1.0</v>
      </c>
      <c r="AZ436" s="1">
        <v>59.99</v>
      </c>
      <c r="BB436" s="1">
        <v>59.99</v>
      </c>
    </row>
    <row r="437">
      <c r="A437" s="1" t="s">
        <v>997</v>
      </c>
      <c r="C437" s="1" t="s">
        <v>56</v>
      </c>
      <c r="D437" s="1" t="s">
        <v>998</v>
      </c>
      <c r="Y437" s="2">
        <v>45520.0</v>
      </c>
      <c r="AE437" s="1">
        <v>69.99</v>
      </c>
      <c r="AG437" s="3" t="str">
        <f>"2000006186491591"</f>
        <v>2000006186491591</v>
      </c>
      <c r="AH437" s="1" t="s">
        <v>58</v>
      </c>
      <c r="AI437" s="1" t="s">
        <v>59</v>
      </c>
      <c r="AJ437" s="1" t="s">
        <v>59</v>
      </c>
      <c r="AK437" s="1" t="s">
        <v>60</v>
      </c>
      <c r="AL437" s="1" t="s">
        <v>60</v>
      </c>
      <c r="AW437" s="1" t="s">
        <v>999</v>
      </c>
      <c r="AY437" s="1">
        <v>1.0</v>
      </c>
      <c r="AZ437" s="1">
        <v>69.99</v>
      </c>
      <c r="BB437" s="1">
        <v>69.99</v>
      </c>
    </row>
    <row r="438">
      <c r="A438" s="1" t="s">
        <v>120</v>
      </c>
      <c r="C438" s="1" t="s">
        <v>56</v>
      </c>
      <c r="D438" s="1" t="s">
        <v>1000</v>
      </c>
      <c r="Y438" s="2">
        <v>45520.0</v>
      </c>
      <c r="AE438" s="1">
        <v>58.99</v>
      </c>
      <c r="AG438" s="3" t="str">
        <f t="shared" ref="AG438:AG439" si="18">"2000006186421291"</f>
        <v>2000006186421291</v>
      </c>
      <c r="AH438" s="1" t="s">
        <v>58</v>
      </c>
      <c r="AI438" s="1" t="s">
        <v>59</v>
      </c>
      <c r="AJ438" s="1" t="s">
        <v>59</v>
      </c>
      <c r="AK438" s="1" t="s">
        <v>60</v>
      </c>
      <c r="AL438" s="1" t="s">
        <v>60</v>
      </c>
      <c r="AW438" s="1" t="s">
        <v>110</v>
      </c>
      <c r="AY438" s="1">
        <v>1.0</v>
      </c>
      <c r="AZ438" s="1">
        <v>58.99</v>
      </c>
      <c r="BB438" s="1">
        <v>58.99</v>
      </c>
    </row>
    <row r="439">
      <c r="A439" s="1" t="s">
        <v>1001</v>
      </c>
      <c r="C439" s="1" t="s">
        <v>56</v>
      </c>
      <c r="D439" s="1" t="s">
        <v>1000</v>
      </c>
      <c r="Y439" s="2">
        <v>45520.0</v>
      </c>
      <c r="AE439" s="1">
        <v>54.99</v>
      </c>
      <c r="AG439" s="3" t="str">
        <f t="shared" si="18"/>
        <v>2000006186421291</v>
      </c>
      <c r="AH439" s="1" t="s">
        <v>58</v>
      </c>
      <c r="AI439" s="1" t="s">
        <v>59</v>
      </c>
      <c r="AJ439" s="1" t="s">
        <v>59</v>
      </c>
      <c r="AK439" s="1" t="s">
        <v>60</v>
      </c>
      <c r="AL439" s="1" t="s">
        <v>60</v>
      </c>
      <c r="AW439" s="1" t="s">
        <v>85</v>
      </c>
      <c r="AY439" s="1">
        <v>1.0</v>
      </c>
      <c r="AZ439" s="1">
        <v>54.99</v>
      </c>
      <c r="BB439" s="1">
        <v>54.99</v>
      </c>
    </row>
    <row r="440">
      <c r="A440" s="1" t="s">
        <v>1002</v>
      </c>
      <c r="C440" s="1" t="s">
        <v>56</v>
      </c>
      <c r="D440" s="1" t="s">
        <v>1003</v>
      </c>
      <c r="Y440" s="2">
        <v>45520.0</v>
      </c>
      <c r="AE440" s="1">
        <v>49.99</v>
      </c>
      <c r="AG440" s="3" t="str">
        <f>"2000006186383269"</f>
        <v>2000006186383269</v>
      </c>
      <c r="AH440" s="1" t="s">
        <v>58</v>
      </c>
      <c r="AI440" s="1" t="s">
        <v>59</v>
      </c>
      <c r="AJ440" s="1" t="s">
        <v>59</v>
      </c>
      <c r="AK440" s="1" t="s">
        <v>60</v>
      </c>
      <c r="AL440" s="1" t="s">
        <v>60</v>
      </c>
      <c r="AW440" s="1" t="s">
        <v>1004</v>
      </c>
      <c r="AY440" s="1">
        <v>1.0</v>
      </c>
      <c r="AZ440" s="1">
        <v>49.99</v>
      </c>
      <c r="BB440" s="1">
        <v>49.99</v>
      </c>
    </row>
    <row r="441">
      <c r="A441" s="1" t="s">
        <v>236</v>
      </c>
      <c r="C441" s="1" t="s">
        <v>56</v>
      </c>
      <c r="D441" s="1" t="s">
        <v>891</v>
      </c>
      <c r="Y441" s="2">
        <v>45520.0</v>
      </c>
      <c r="AE441" s="1">
        <v>119.99</v>
      </c>
      <c r="AG441" s="3" t="str">
        <f>"2000006186351507"</f>
        <v>2000006186351507</v>
      </c>
      <c r="AH441" s="1" t="s">
        <v>58</v>
      </c>
      <c r="AI441" s="1" t="s">
        <v>59</v>
      </c>
      <c r="AJ441" s="1" t="s">
        <v>59</v>
      </c>
      <c r="AK441" s="1" t="s">
        <v>60</v>
      </c>
      <c r="AL441" s="1" t="s">
        <v>60</v>
      </c>
      <c r="AW441" s="1" t="s">
        <v>238</v>
      </c>
      <c r="AY441" s="1">
        <v>1.0</v>
      </c>
      <c r="AZ441" s="1">
        <v>119.99</v>
      </c>
      <c r="BB441" s="1">
        <v>119.99</v>
      </c>
    </row>
    <row r="442">
      <c r="A442" s="1" t="s">
        <v>1005</v>
      </c>
      <c r="C442" s="1" t="s">
        <v>56</v>
      </c>
      <c r="D442" s="1" t="s">
        <v>1006</v>
      </c>
      <c r="Y442" s="2">
        <v>45520.0</v>
      </c>
      <c r="AE442" s="1">
        <v>46.99</v>
      </c>
      <c r="AG442" s="3" t="str">
        <f>"2000006186342667"</f>
        <v>2000006186342667</v>
      </c>
      <c r="AH442" s="1" t="s">
        <v>58</v>
      </c>
      <c r="AI442" s="1" t="s">
        <v>59</v>
      </c>
      <c r="AJ442" s="1" t="s">
        <v>59</v>
      </c>
      <c r="AK442" s="1" t="s">
        <v>60</v>
      </c>
      <c r="AL442" s="1" t="s">
        <v>60</v>
      </c>
      <c r="AW442" s="1" t="s">
        <v>1007</v>
      </c>
      <c r="AY442" s="1">
        <v>1.0</v>
      </c>
      <c r="AZ442" s="1">
        <v>46.99</v>
      </c>
      <c r="BB442" s="1">
        <v>46.99</v>
      </c>
    </row>
    <row r="443">
      <c r="A443" s="1" t="s">
        <v>1008</v>
      </c>
      <c r="C443" s="1" t="s">
        <v>56</v>
      </c>
      <c r="D443" s="1" t="s">
        <v>1009</v>
      </c>
      <c r="Y443" s="2">
        <v>45520.0</v>
      </c>
      <c r="AE443" s="1">
        <v>124.99</v>
      </c>
      <c r="AG443" s="3" t="str">
        <f>"2000006186315385"</f>
        <v>2000006186315385</v>
      </c>
      <c r="AH443" s="1" t="s">
        <v>58</v>
      </c>
      <c r="AI443" s="1" t="s">
        <v>59</v>
      </c>
      <c r="AJ443" s="1" t="s">
        <v>59</v>
      </c>
      <c r="AK443" s="1" t="s">
        <v>60</v>
      </c>
      <c r="AL443" s="1" t="s">
        <v>60</v>
      </c>
      <c r="AW443" s="1" t="s">
        <v>1010</v>
      </c>
      <c r="AY443" s="1">
        <v>1.0</v>
      </c>
      <c r="AZ443" s="1">
        <v>124.99</v>
      </c>
      <c r="BB443" s="1">
        <v>124.99</v>
      </c>
    </row>
    <row r="444">
      <c r="A444" s="1" t="s">
        <v>1011</v>
      </c>
      <c r="C444" s="1" t="s">
        <v>56</v>
      </c>
      <c r="D444" s="1" t="s">
        <v>1012</v>
      </c>
      <c r="Y444" s="2">
        <v>45520.0</v>
      </c>
      <c r="AE444" s="1">
        <v>54.99</v>
      </c>
      <c r="AG444" s="3" t="str">
        <f>"2000006186210877"</f>
        <v>2000006186210877</v>
      </c>
      <c r="AH444" s="1" t="s">
        <v>58</v>
      </c>
      <c r="AI444" s="1" t="s">
        <v>59</v>
      </c>
      <c r="AJ444" s="1" t="s">
        <v>59</v>
      </c>
      <c r="AK444" s="1" t="s">
        <v>60</v>
      </c>
      <c r="AL444" s="1" t="s">
        <v>60</v>
      </c>
      <c r="AW444" s="1" t="s">
        <v>1013</v>
      </c>
      <c r="AY444" s="1">
        <v>1.0</v>
      </c>
      <c r="AZ444" s="1">
        <v>54.99</v>
      </c>
      <c r="BB444" s="1">
        <v>54.99</v>
      </c>
    </row>
    <row r="445">
      <c r="A445" s="1" t="s">
        <v>1014</v>
      </c>
      <c r="C445" s="1" t="s">
        <v>56</v>
      </c>
      <c r="D445" s="1" t="s">
        <v>1015</v>
      </c>
      <c r="Y445" s="2">
        <v>45520.0</v>
      </c>
      <c r="AE445" s="1">
        <v>279.99</v>
      </c>
      <c r="AG445" s="3" t="str">
        <f>"2000006186226037"</f>
        <v>2000006186226037</v>
      </c>
      <c r="AH445" s="1" t="s">
        <v>58</v>
      </c>
      <c r="AI445" s="1" t="s">
        <v>59</v>
      </c>
      <c r="AJ445" s="1" t="s">
        <v>59</v>
      </c>
      <c r="AK445" s="1" t="s">
        <v>60</v>
      </c>
      <c r="AL445" s="1" t="s">
        <v>60</v>
      </c>
      <c r="AW445" s="1" t="s">
        <v>1016</v>
      </c>
      <c r="AY445" s="1">
        <v>1.0</v>
      </c>
      <c r="AZ445" s="1">
        <v>279.99</v>
      </c>
      <c r="BB445" s="1">
        <v>279.99</v>
      </c>
    </row>
    <row r="446">
      <c r="A446" s="1" t="s">
        <v>86</v>
      </c>
      <c r="C446" s="1" t="s">
        <v>56</v>
      </c>
      <c r="D446" s="1" t="s">
        <v>1017</v>
      </c>
      <c r="Y446" s="2">
        <v>45520.0</v>
      </c>
      <c r="AE446" s="1">
        <v>64.99</v>
      </c>
      <c r="AG446" s="3" t="str">
        <f>"2000006186277717"</f>
        <v>2000006186277717</v>
      </c>
      <c r="AH446" s="1" t="s">
        <v>58</v>
      </c>
      <c r="AI446" s="1" t="s">
        <v>59</v>
      </c>
      <c r="AJ446" s="1" t="s">
        <v>59</v>
      </c>
      <c r="AK446" s="1" t="s">
        <v>60</v>
      </c>
      <c r="AL446" s="1" t="s">
        <v>60</v>
      </c>
      <c r="AW446" s="1" t="s">
        <v>88</v>
      </c>
      <c r="AY446" s="1">
        <v>1.0</v>
      </c>
      <c r="AZ446" s="1">
        <v>64.99</v>
      </c>
      <c r="BB446" s="1">
        <v>64.99</v>
      </c>
    </row>
    <row r="447">
      <c r="A447" s="1" t="s">
        <v>114</v>
      </c>
      <c r="C447" s="1" t="s">
        <v>56</v>
      </c>
      <c r="D447" s="1" t="s">
        <v>1018</v>
      </c>
      <c r="Y447" s="2">
        <v>45520.0</v>
      </c>
      <c r="AE447" s="1">
        <v>84.99</v>
      </c>
      <c r="AG447" s="3" t="str">
        <f>"2000006185904549"</f>
        <v>2000006185904549</v>
      </c>
      <c r="AH447" s="1" t="s">
        <v>58</v>
      </c>
      <c r="AI447" s="1" t="s">
        <v>59</v>
      </c>
      <c r="AJ447" s="1" t="s">
        <v>59</v>
      </c>
      <c r="AK447" s="1" t="s">
        <v>60</v>
      </c>
      <c r="AL447" s="1" t="s">
        <v>60</v>
      </c>
      <c r="AW447" s="1" t="s">
        <v>116</v>
      </c>
      <c r="AY447" s="1">
        <v>1.0</v>
      </c>
      <c r="AZ447" s="1">
        <v>84.99</v>
      </c>
      <c r="BB447" s="1">
        <v>84.99</v>
      </c>
    </row>
    <row r="448">
      <c r="A448" s="1" t="s">
        <v>1019</v>
      </c>
      <c r="C448" s="1" t="s">
        <v>56</v>
      </c>
      <c r="D448" s="1" t="s">
        <v>1020</v>
      </c>
      <c r="Y448" s="2">
        <v>45520.0</v>
      </c>
      <c r="AE448" s="1">
        <v>59.99</v>
      </c>
      <c r="AG448" s="3" t="str">
        <f>"2000006186213311"</f>
        <v>2000006186213311</v>
      </c>
      <c r="AH448" s="1" t="s">
        <v>58</v>
      </c>
      <c r="AI448" s="1" t="s">
        <v>59</v>
      </c>
      <c r="AJ448" s="1" t="s">
        <v>59</v>
      </c>
      <c r="AK448" s="1" t="s">
        <v>60</v>
      </c>
      <c r="AL448" s="1" t="s">
        <v>60</v>
      </c>
      <c r="AW448" s="1" t="s">
        <v>703</v>
      </c>
      <c r="AY448" s="1">
        <v>1.0</v>
      </c>
      <c r="AZ448" s="1">
        <v>59.99</v>
      </c>
      <c r="BB448" s="1">
        <v>59.99</v>
      </c>
    </row>
    <row r="449">
      <c r="A449" s="1" t="s">
        <v>1021</v>
      </c>
      <c r="C449" s="1" t="s">
        <v>56</v>
      </c>
      <c r="D449" s="1" t="s">
        <v>1022</v>
      </c>
      <c r="Y449" s="2">
        <v>45520.0</v>
      </c>
      <c r="AE449" s="1">
        <v>139.99</v>
      </c>
      <c r="AG449" s="3" t="str">
        <f>"2000009056259410"</f>
        <v>2000009056259410</v>
      </c>
      <c r="AH449" s="1" t="s">
        <v>58</v>
      </c>
      <c r="AI449" s="1" t="s">
        <v>59</v>
      </c>
      <c r="AJ449" s="1" t="s">
        <v>59</v>
      </c>
      <c r="AK449" s="1" t="s">
        <v>60</v>
      </c>
      <c r="AL449" s="1" t="s">
        <v>60</v>
      </c>
      <c r="AW449" s="1" t="s">
        <v>1023</v>
      </c>
      <c r="AY449" s="1">
        <v>1.0</v>
      </c>
      <c r="AZ449" s="1">
        <v>139.99</v>
      </c>
      <c r="BB449" s="1">
        <v>139.99</v>
      </c>
    </row>
    <row r="450">
      <c r="A450" s="1" t="s">
        <v>1024</v>
      </c>
      <c r="C450" s="1" t="s">
        <v>56</v>
      </c>
      <c r="D450" s="1" t="s">
        <v>1025</v>
      </c>
      <c r="Y450" s="2">
        <v>45520.0</v>
      </c>
      <c r="AE450" s="1">
        <v>144.99</v>
      </c>
      <c r="AG450" s="3" t="str">
        <f>"2000006186178041"</f>
        <v>2000006186178041</v>
      </c>
      <c r="AH450" s="1" t="s">
        <v>58</v>
      </c>
      <c r="AI450" s="1" t="s">
        <v>59</v>
      </c>
      <c r="AJ450" s="1" t="s">
        <v>59</v>
      </c>
      <c r="AK450" s="1" t="s">
        <v>60</v>
      </c>
      <c r="AL450" s="1" t="s">
        <v>60</v>
      </c>
      <c r="AW450" s="1" t="s">
        <v>1026</v>
      </c>
      <c r="AY450" s="1">
        <v>1.0</v>
      </c>
      <c r="AZ450" s="1">
        <v>144.99</v>
      </c>
      <c r="BB450" s="1">
        <v>144.99</v>
      </c>
    </row>
    <row r="451">
      <c r="A451" s="1" t="s">
        <v>259</v>
      </c>
      <c r="C451" s="1" t="s">
        <v>56</v>
      </c>
      <c r="D451" s="1" t="s">
        <v>1027</v>
      </c>
      <c r="Y451" s="2">
        <v>45520.0</v>
      </c>
      <c r="AE451" s="1">
        <v>239.99</v>
      </c>
      <c r="AG451" s="3" t="str">
        <f>"2000006186165249"</f>
        <v>2000006186165249</v>
      </c>
      <c r="AH451" s="1" t="s">
        <v>58</v>
      </c>
      <c r="AI451" s="1" t="s">
        <v>59</v>
      </c>
      <c r="AJ451" s="1" t="s">
        <v>59</v>
      </c>
      <c r="AK451" s="1" t="s">
        <v>60</v>
      </c>
      <c r="AL451" s="1" t="s">
        <v>60</v>
      </c>
      <c r="AW451" s="1" t="s">
        <v>261</v>
      </c>
      <c r="AY451" s="1">
        <v>1.0</v>
      </c>
      <c r="AZ451" s="1">
        <v>239.99</v>
      </c>
      <c r="BB451" s="1">
        <v>239.99</v>
      </c>
    </row>
    <row r="452">
      <c r="A452" s="1" t="s">
        <v>834</v>
      </c>
      <c r="C452" s="1" t="s">
        <v>56</v>
      </c>
      <c r="D452" s="1" t="s">
        <v>1028</v>
      </c>
      <c r="Y452" s="2">
        <v>45520.0</v>
      </c>
      <c r="AE452" s="1">
        <v>107.48</v>
      </c>
      <c r="AG452" s="3" t="str">
        <f>"2000006186161829"</f>
        <v>2000006186161829</v>
      </c>
      <c r="AH452" s="1" t="s">
        <v>58</v>
      </c>
      <c r="AI452" s="1" t="s">
        <v>59</v>
      </c>
      <c r="AJ452" s="1" t="s">
        <v>59</v>
      </c>
      <c r="AK452" s="1" t="s">
        <v>60</v>
      </c>
      <c r="AL452" s="1" t="s">
        <v>60</v>
      </c>
      <c r="AW452" s="1" t="s">
        <v>836</v>
      </c>
      <c r="AY452" s="1">
        <v>1.0</v>
      </c>
      <c r="AZ452" s="1">
        <v>107.48</v>
      </c>
      <c r="BB452" s="1">
        <v>107.48</v>
      </c>
    </row>
    <row r="453">
      <c r="A453" s="1" t="s">
        <v>462</v>
      </c>
      <c r="C453" s="1" t="s">
        <v>56</v>
      </c>
      <c r="D453" s="1" t="s">
        <v>1029</v>
      </c>
      <c r="Y453" s="2">
        <v>45520.0</v>
      </c>
      <c r="AE453" s="1">
        <v>89.99</v>
      </c>
      <c r="AG453" s="3" t="str">
        <f>"2000006186109627"</f>
        <v>2000006186109627</v>
      </c>
      <c r="AH453" s="1" t="s">
        <v>58</v>
      </c>
      <c r="AI453" s="1" t="s">
        <v>59</v>
      </c>
      <c r="AJ453" s="1" t="s">
        <v>59</v>
      </c>
      <c r="AK453" s="1" t="s">
        <v>60</v>
      </c>
      <c r="AL453" s="1" t="s">
        <v>60</v>
      </c>
      <c r="AW453" s="1" t="s">
        <v>464</v>
      </c>
      <c r="AY453" s="1">
        <v>1.0</v>
      </c>
      <c r="AZ453" s="1">
        <v>89.99</v>
      </c>
      <c r="BB453" s="1">
        <v>89.99</v>
      </c>
    </row>
    <row r="454">
      <c r="A454" s="1" t="s">
        <v>834</v>
      </c>
      <c r="C454" s="1" t="s">
        <v>56</v>
      </c>
      <c r="D454" s="1" t="s">
        <v>1030</v>
      </c>
      <c r="Y454" s="2">
        <v>45520.0</v>
      </c>
      <c r="AE454" s="1">
        <v>107.48</v>
      </c>
      <c r="AG454" s="3" t="str">
        <f>"2000006186095743"</f>
        <v>2000006186095743</v>
      </c>
      <c r="AH454" s="1" t="s">
        <v>58</v>
      </c>
      <c r="AI454" s="1" t="s">
        <v>59</v>
      </c>
      <c r="AJ454" s="1" t="s">
        <v>59</v>
      </c>
      <c r="AK454" s="1" t="s">
        <v>60</v>
      </c>
      <c r="AL454" s="1" t="s">
        <v>60</v>
      </c>
      <c r="AW454" s="1" t="s">
        <v>836</v>
      </c>
      <c r="AY454" s="1">
        <v>1.0</v>
      </c>
      <c r="AZ454" s="1">
        <v>107.48</v>
      </c>
      <c r="BB454" s="1">
        <v>107.48</v>
      </c>
    </row>
    <row r="455">
      <c r="A455" s="1" t="s">
        <v>1031</v>
      </c>
      <c r="C455" s="1" t="s">
        <v>56</v>
      </c>
      <c r="D455" s="1" t="s">
        <v>1032</v>
      </c>
      <c r="Y455" s="2">
        <v>45520.0</v>
      </c>
      <c r="AE455" s="1">
        <v>69.99</v>
      </c>
      <c r="AG455" s="3" t="str">
        <f>"2000006186036311"</f>
        <v>2000006186036311</v>
      </c>
      <c r="AH455" s="1" t="s">
        <v>58</v>
      </c>
      <c r="AI455" s="1" t="s">
        <v>59</v>
      </c>
      <c r="AJ455" s="1" t="s">
        <v>59</v>
      </c>
      <c r="AK455" s="1" t="s">
        <v>60</v>
      </c>
      <c r="AL455" s="1" t="s">
        <v>60</v>
      </c>
      <c r="AW455" s="1" t="s">
        <v>1033</v>
      </c>
      <c r="AY455" s="1">
        <v>1.0</v>
      </c>
      <c r="AZ455" s="1">
        <v>69.99</v>
      </c>
      <c r="BB455" s="1">
        <v>69.99</v>
      </c>
    </row>
    <row r="456">
      <c r="A456" s="1" t="s">
        <v>1034</v>
      </c>
      <c r="C456" s="1" t="s">
        <v>56</v>
      </c>
      <c r="D456" s="1" t="s">
        <v>1035</v>
      </c>
      <c r="Y456" s="2">
        <v>45520.0</v>
      </c>
      <c r="AE456" s="1">
        <v>69.98</v>
      </c>
      <c r="AG456" s="3" t="str">
        <f>"2000009055951274"</f>
        <v>2000009055951274</v>
      </c>
      <c r="AH456" s="1" t="s">
        <v>58</v>
      </c>
      <c r="AI456" s="1" t="s">
        <v>59</v>
      </c>
      <c r="AJ456" s="1" t="s">
        <v>59</v>
      </c>
      <c r="AK456" s="1" t="s">
        <v>60</v>
      </c>
      <c r="AL456" s="1" t="s">
        <v>60</v>
      </c>
      <c r="AW456" s="1" t="s">
        <v>1036</v>
      </c>
      <c r="AY456" s="1">
        <v>1.0</v>
      </c>
      <c r="AZ456" s="1">
        <v>69.98</v>
      </c>
      <c r="BB456" s="1">
        <v>69.98</v>
      </c>
    </row>
    <row r="457">
      <c r="A457" s="1" t="s">
        <v>390</v>
      </c>
      <c r="C457" s="1" t="s">
        <v>56</v>
      </c>
      <c r="D457" s="1" t="s">
        <v>1037</v>
      </c>
      <c r="Y457" s="2">
        <v>45520.0</v>
      </c>
      <c r="AE457" s="1">
        <v>79.99</v>
      </c>
      <c r="AG457" s="3" t="str">
        <f>"2000006186030129"</f>
        <v>2000006186030129</v>
      </c>
      <c r="AH457" s="1" t="s">
        <v>58</v>
      </c>
      <c r="AI457" s="1" t="s">
        <v>59</v>
      </c>
      <c r="AJ457" s="1" t="s">
        <v>59</v>
      </c>
      <c r="AK457" s="1" t="s">
        <v>60</v>
      </c>
      <c r="AL457" s="1" t="s">
        <v>60</v>
      </c>
      <c r="AW457" s="1" t="s">
        <v>392</v>
      </c>
      <c r="AY457" s="1">
        <v>1.0</v>
      </c>
      <c r="AZ457" s="1">
        <v>79.99</v>
      </c>
      <c r="BB457" s="1">
        <v>79.99</v>
      </c>
    </row>
    <row r="458">
      <c r="A458" s="1" t="s">
        <v>1038</v>
      </c>
      <c r="C458" s="1" t="s">
        <v>56</v>
      </c>
      <c r="D458" s="1" t="s">
        <v>1039</v>
      </c>
      <c r="Y458" s="2">
        <v>45520.0</v>
      </c>
      <c r="AE458" s="1">
        <v>64.48</v>
      </c>
      <c r="AG458" s="3" t="str">
        <f>"2000006186009599"</f>
        <v>2000006186009599</v>
      </c>
      <c r="AH458" s="1" t="s">
        <v>58</v>
      </c>
      <c r="AI458" s="1" t="s">
        <v>59</v>
      </c>
      <c r="AJ458" s="1" t="s">
        <v>59</v>
      </c>
      <c r="AK458" s="1" t="s">
        <v>60</v>
      </c>
      <c r="AL458" s="1" t="s">
        <v>60</v>
      </c>
      <c r="AW458" s="1" t="s">
        <v>1040</v>
      </c>
      <c r="AY458" s="1">
        <v>1.0</v>
      </c>
      <c r="AZ458" s="1">
        <v>64.48</v>
      </c>
      <c r="BB458" s="1">
        <v>64.48</v>
      </c>
    </row>
    <row r="459">
      <c r="A459" s="1" t="s">
        <v>1041</v>
      </c>
      <c r="C459" s="1" t="s">
        <v>56</v>
      </c>
      <c r="D459" s="1" t="s">
        <v>1042</v>
      </c>
      <c r="Y459" s="2">
        <v>45520.0</v>
      </c>
      <c r="AE459" s="1">
        <v>499.99</v>
      </c>
      <c r="AG459" s="3" t="str">
        <f>"2000006185897471"</f>
        <v>2000006185897471</v>
      </c>
      <c r="AH459" s="1" t="s">
        <v>58</v>
      </c>
      <c r="AI459" s="1" t="s">
        <v>59</v>
      </c>
      <c r="AJ459" s="1" t="s">
        <v>59</v>
      </c>
      <c r="AK459" s="1" t="s">
        <v>60</v>
      </c>
      <c r="AL459" s="1" t="s">
        <v>60</v>
      </c>
      <c r="AW459" s="1" t="s">
        <v>1043</v>
      </c>
      <c r="AY459" s="1">
        <v>1.0</v>
      </c>
      <c r="AZ459" s="1">
        <v>499.99</v>
      </c>
      <c r="BB459" s="1">
        <v>499.99</v>
      </c>
    </row>
    <row r="460">
      <c r="A460" s="1" t="s">
        <v>335</v>
      </c>
      <c r="C460" s="1" t="s">
        <v>56</v>
      </c>
      <c r="D460" s="1" t="s">
        <v>1044</v>
      </c>
      <c r="Y460" s="2">
        <v>45520.0</v>
      </c>
      <c r="AE460" s="1">
        <v>64.99</v>
      </c>
      <c r="AG460" s="3" t="str">
        <f>"2000006185992891"</f>
        <v>2000006185992891</v>
      </c>
      <c r="AH460" s="1" t="s">
        <v>58</v>
      </c>
      <c r="AI460" s="1" t="s">
        <v>59</v>
      </c>
      <c r="AJ460" s="1" t="s">
        <v>59</v>
      </c>
      <c r="AK460" s="1" t="s">
        <v>60</v>
      </c>
      <c r="AL460" s="1" t="s">
        <v>60</v>
      </c>
      <c r="AW460" s="1" t="s">
        <v>209</v>
      </c>
      <c r="AY460" s="1">
        <v>1.0</v>
      </c>
      <c r="AZ460" s="1">
        <v>64.99</v>
      </c>
      <c r="BB460" s="1">
        <v>64.99</v>
      </c>
    </row>
    <row r="461">
      <c r="A461" s="1" t="s">
        <v>1045</v>
      </c>
      <c r="C461" s="1" t="s">
        <v>56</v>
      </c>
      <c r="D461" s="1" t="s">
        <v>1046</v>
      </c>
      <c r="Y461" s="2">
        <v>45520.0</v>
      </c>
      <c r="AE461" s="1">
        <v>179.98</v>
      </c>
      <c r="AG461" s="3" t="str">
        <f>"2000006185966707"</f>
        <v>2000006185966707</v>
      </c>
      <c r="AH461" s="1" t="s">
        <v>58</v>
      </c>
      <c r="AI461" s="1" t="s">
        <v>59</v>
      </c>
      <c r="AJ461" s="1" t="s">
        <v>59</v>
      </c>
      <c r="AK461" s="1" t="s">
        <v>60</v>
      </c>
      <c r="AL461" s="1" t="s">
        <v>60</v>
      </c>
      <c r="AW461" s="1" t="s">
        <v>1047</v>
      </c>
      <c r="AY461" s="1">
        <v>2.0</v>
      </c>
      <c r="AZ461" s="1">
        <v>89.99</v>
      </c>
      <c r="BB461" s="1">
        <v>179.98</v>
      </c>
    </row>
    <row r="462">
      <c r="A462" s="1" t="s">
        <v>1048</v>
      </c>
      <c r="C462" s="1" t="s">
        <v>56</v>
      </c>
      <c r="D462" s="1" t="s">
        <v>1049</v>
      </c>
      <c r="Y462" s="2">
        <v>45520.0</v>
      </c>
      <c r="AE462" s="1">
        <v>119.99</v>
      </c>
      <c r="AG462" s="3" t="str">
        <f>"2000006185936199"</f>
        <v>2000006185936199</v>
      </c>
      <c r="AH462" s="1" t="s">
        <v>58</v>
      </c>
      <c r="AI462" s="1" t="s">
        <v>59</v>
      </c>
      <c r="AJ462" s="1" t="s">
        <v>59</v>
      </c>
      <c r="AK462" s="1" t="s">
        <v>60</v>
      </c>
      <c r="AL462" s="1" t="s">
        <v>60</v>
      </c>
      <c r="AW462" s="1" t="s">
        <v>1050</v>
      </c>
      <c r="AY462" s="1">
        <v>1.0</v>
      </c>
      <c r="AZ462" s="1">
        <v>119.99</v>
      </c>
      <c r="BB462" s="1">
        <v>119.99</v>
      </c>
    </row>
    <row r="463">
      <c r="A463" s="1" t="s">
        <v>1051</v>
      </c>
      <c r="C463" s="1" t="s">
        <v>56</v>
      </c>
      <c r="D463" s="1" t="s">
        <v>1052</v>
      </c>
      <c r="Y463" s="2">
        <v>45520.0</v>
      </c>
      <c r="AE463" s="1">
        <v>69.99</v>
      </c>
      <c r="AG463" s="3" t="str">
        <f>"2000006185915663"</f>
        <v>2000006185915663</v>
      </c>
      <c r="AH463" s="1" t="s">
        <v>58</v>
      </c>
      <c r="AI463" s="1" t="s">
        <v>59</v>
      </c>
      <c r="AJ463" s="1" t="s">
        <v>59</v>
      </c>
      <c r="AK463" s="1" t="s">
        <v>60</v>
      </c>
      <c r="AL463" s="1" t="s">
        <v>60</v>
      </c>
      <c r="AW463" s="1" t="s">
        <v>1053</v>
      </c>
      <c r="AY463" s="1">
        <v>1.0</v>
      </c>
      <c r="AZ463" s="1">
        <v>69.99</v>
      </c>
      <c r="BB463" s="1">
        <v>69.99</v>
      </c>
    </row>
    <row r="464">
      <c r="A464" s="1" t="s">
        <v>1054</v>
      </c>
      <c r="C464" s="1" t="s">
        <v>56</v>
      </c>
      <c r="D464" s="1" t="s">
        <v>1055</v>
      </c>
      <c r="Y464" s="2">
        <v>45520.0</v>
      </c>
      <c r="AE464" s="1">
        <v>54.99</v>
      </c>
      <c r="AG464" s="3" t="str">
        <f>"2000006185895985"</f>
        <v>2000006185895985</v>
      </c>
      <c r="AH464" s="1" t="s">
        <v>58</v>
      </c>
      <c r="AI464" s="1" t="s">
        <v>59</v>
      </c>
      <c r="AJ464" s="1" t="s">
        <v>59</v>
      </c>
      <c r="AK464" s="1" t="s">
        <v>60</v>
      </c>
      <c r="AL464" s="1" t="s">
        <v>60</v>
      </c>
      <c r="AW464" s="1" t="s">
        <v>1056</v>
      </c>
      <c r="AY464" s="1">
        <v>1.0</v>
      </c>
      <c r="AZ464" s="1">
        <v>54.99</v>
      </c>
      <c r="BB464" s="1">
        <v>54.99</v>
      </c>
    </row>
    <row r="465">
      <c r="A465" s="1" t="s">
        <v>1057</v>
      </c>
      <c r="C465" s="1" t="s">
        <v>56</v>
      </c>
      <c r="D465" s="1" t="s">
        <v>1058</v>
      </c>
      <c r="Y465" s="2">
        <v>45520.0</v>
      </c>
      <c r="AE465" s="1">
        <v>289.99</v>
      </c>
      <c r="AG465" s="3" t="str">
        <f>"2000009055680662"</f>
        <v>2000009055680662</v>
      </c>
      <c r="AH465" s="1" t="s">
        <v>58</v>
      </c>
      <c r="AI465" s="1" t="s">
        <v>59</v>
      </c>
      <c r="AJ465" s="1" t="s">
        <v>59</v>
      </c>
      <c r="AK465" s="1" t="s">
        <v>60</v>
      </c>
      <c r="AL465" s="1" t="s">
        <v>60</v>
      </c>
      <c r="AW465" s="1" t="s">
        <v>1059</v>
      </c>
      <c r="AY465" s="1">
        <v>1.0</v>
      </c>
      <c r="AZ465" s="1">
        <v>289.99</v>
      </c>
      <c r="BB465" s="1">
        <v>289.99</v>
      </c>
    </row>
    <row r="466">
      <c r="A466" s="1" t="s">
        <v>335</v>
      </c>
      <c r="C466" s="1" t="s">
        <v>235</v>
      </c>
      <c r="D466" s="1" t="s">
        <v>1044</v>
      </c>
      <c r="Y466" s="2">
        <v>45520.0</v>
      </c>
      <c r="AE466" s="1">
        <v>64.99</v>
      </c>
      <c r="AG466" s="3" t="str">
        <f>"2000006185889261"</f>
        <v>2000006185889261</v>
      </c>
      <c r="AH466" s="1" t="s">
        <v>58</v>
      </c>
      <c r="AI466" s="1" t="s">
        <v>59</v>
      </c>
      <c r="AJ466" s="1" t="s">
        <v>59</v>
      </c>
      <c r="AK466" s="1" t="s">
        <v>60</v>
      </c>
      <c r="AL466" s="1" t="s">
        <v>60</v>
      </c>
      <c r="AW466" s="1" t="s">
        <v>209</v>
      </c>
      <c r="AY466" s="1">
        <v>1.0</v>
      </c>
      <c r="AZ466" s="1">
        <v>64.99</v>
      </c>
      <c r="BB466" s="1">
        <v>64.99</v>
      </c>
    </row>
    <row r="467">
      <c r="A467" s="1" t="s">
        <v>1060</v>
      </c>
      <c r="C467" s="1" t="s">
        <v>56</v>
      </c>
      <c r="D467" s="1" t="s">
        <v>1061</v>
      </c>
      <c r="Y467" s="2">
        <v>45520.0</v>
      </c>
      <c r="AE467" s="1">
        <v>64.48</v>
      </c>
      <c r="AG467" s="3" t="str">
        <f>"2000009055626716"</f>
        <v>2000009055626716</v>
      </c>
      <c r="AH467" s="1" t="s">
        <v>58</v>
      </c>
      <c r="AI467" s="1" t="s">
        <v>59</v>
      </c>
      <c r="AJ467" s="1" t="s">
        <v>59</v>
      </c>
      <c r="AK467" s="1" t="s">
        <v>60</v>
      </c>
      <c r="AL467" s="1" t="s">
        <v>60</v>
      </c>
      <c r="AW467" s="1" t="s">
        <v>1062</v>
      </c>
      <c r="AY467" s="1">
        <v>1.0</v>
      </c>
      <c r="AZ467" s="1">
        <v>64.48</v>
      </c>
      <c r="BB467" s="1">
        <v>64.48</v>
      </c>
    </row>
    <row r="468">
      <c r="A468" s="1" t="s">
        <v>1063</v>
      </c>
      <c r="C468" s="1" t="s">
        <v>56</v>
      </c>
      <c r="D468" s="1" t="s">
        <v>1064</v>
      </c>
      <c r="Y468" s="2">
        <v>45520.0</v>
      </c>
      <c r="AE468" s="1">
        <v>99.99</v>
      </c>
      <c r="AG468" s="3" t="str">
        <f>"2000009055612688"</f>
        <v>2000009055612688</v>
      </c>
      <c r="AH468" s="1" t="s">
        <v>58</v>
      </c>
      <c r="AI468" s="1" t="s">
        <v>59</v>
      </c>
      <c r="AJ468" s="1" t="s">
        <v>59</v>
      </c>
      <c r="AK468" s="1" t="s">
        <v>60</v>
      </c>
      <c r="AL468" s="1" t="s">
        <v>60</v>
      </c>
      <c r="AW468" s="1" t="s">
        <v>617</v>
      </c>
      <c r="AY468" s="1">
        <v>1.0</v>
      </c>
      <c r="AZ468" s="1">
        <v>99.99</v>
      </c>
      <c r="BB468" s="1">
        <v>99.99</v>
      </c>
    </row>
    <row r="469">
      <c r="A469" s="1" t="s">
        <v>1041</v>
      </c>
      <c r="C469" s="1" t="s">
        <v>56</v>
      </c>
      <c r="D469" s="1" t="s">
        <v>1065</v>
      </c>
      <c r="Y469" s="2">
        <v>45520.0</v>
      </c>
      <c r="AE469" s="1">
        <v>499.99</v>
      </c>
      <c r="AG469" s="3" t="str">
        <f>"2000009055606836"</f>
        <v>2000009055606836</v>
      </c>
      <c r="AH469" s="1" t="s">
        <v>58</v>
      </c>
      <c r="AI469" s="1" t="s">
        <v>59</v>
      </c>
      <c r="AJ469" s="1" t="s">
        <v>59</v>
      </c>
      <c r="AK469" s="1" t="s">
        <v>60</v>
      </c>
      <c r="AL469" s="1" t="s">
        <v>60</v>
      </c>
      <c r="AW469" s="1" t="s">
        <v>1043</v>
      </c>
      <c r="AY469" s="1">
        <v>1.0</v>
      </c>
      <c r="AZ469" s="1">
        <v>499.99</v>
      </c>
      <c r="BB469" s="1">
        <v>499.99</v>
      </c>
    </row>
    <row r="470">
      <c r="A470" s="1" t="s">
        <v>195</v>
      </c>
      <c r="C470" s="1" t="s">
        <v>56</v>
      </c>
      <c r="D470" s="1" t="s">
        <v>1066</v>
      </c>
      <c r="Y470" s="2">
        <v>45520.0</v>
      </c>
      <c r="AE470" s="1">
        <v>47.99</v>
      </c>
      <c r="AG470" s="3" t="str">
        <f>"2000006185768677"</f>
        <v>2000006185768677</v>
      </c>
      <c r="AH470" s="1" t="s">
        <v>58</v>
      </c>
      <c r="AI470" s="1" t="s">
        <v>59</v>
      </c>
      <c r="AJ470" s="1" t="s">
        <v>59</v>
      </c>
      <c r="AK470" s="1" t="s">
        <v>60</v>
      </c>
      <c r="AL470" s="1" t="s">
        <v>60</v>
      </c>
      <c r="AW470" s="1" t="s">
        <v>197</v>
      </c>
      <c r="AY470" s="1">
        <v>1.0</v>
      </c>
      <c r="AZ470" s="1">
        <v>47.99</v>
      </c>
      <c r="BB470" s="1">
        <v>47.99</v>
      </c>
    </row>
    <row r="471">
      <c r="A471" s="1" t="s">
        <v>390</v>
      </c>
      <c r="C471" s="1" t="s">
        <v>56</v>
      </c>
      <c r="D471" s="1" t="s">
        <v>1067</v>
      </c>
      <c r="Y471" s="2">
        <v>45520.0</v>
      </c>
      <c r="AE471" s="1">
        <v>79.99</v>
      </c>
      <c r="AG471" s="3" t="str">
        <f>"2000006185733049"</f>
        <v>2000006185733049</v>
      </c>
      <c r="AH471" s="1" t="s">
        <v>58</v>
      </c>
      <c r="AI471" s="1" t="s">
        <v>59</v>
      </c>
      <c r="AJ471" s="1" t="s">
        <v>59</v>
      </c>
      <c r="AK471" s="1" t="s">
        <v>60</v>
      </c>
      <c r="AL471" s="1" t="s">
        <v>60</v>
      </c>
      <c r="AW471" s="1" t="s">
        <v>392</v>
      </c>
      <c r="AY471" s="1">
        <v>1.0</v>
      </c>
      <c r="AZ471" s="1">
        <v>79.99</v>
      </c>
      <c r="BB471" s="1">
        <v>79.99</v>
      </c>
    </row>
    <row r="472">
      <c r="A472" s="1" t="s">
        <v>1068</v>
      </c>
      <c r="C472" s="1" t="s">
        <v>56</v>
      </c>
      <c r="D472" s="1" t="s">
        <v>1069</v>
      </c>
      <c r="Y472" s="2">
        <v>45520.0</v>
      </c>
      <c r="AE472" s="1">
        <v>219.99</v>
      </c>
      <c r="AG472" s="3" t="str">
        <f t="shared" ref="AG472:AG473" si="19">"2000006185712423"</f>
        <v>2000006185712423</v>
      </c>
      <c r="AH472" s="1" t="s">
        <v>58</v>
      </c>
      <c r="AI472" s="1" t="s">
        <v>59</v>
      </c>
      <c r="AJ472" s="1" t="s">
        <v>59</v>
      </c>
      <c r="AK472" s="1" t="s">
        <v>60</v>
      </c>
      <c r="AL472" s="1" t="s">
        <v>60</v>
      </c>
      <c r="AW472" s="1" t="s">
        <v>1070</v>
      </c>
      <c r="AY472" s="1">
        <v>1.0</v>
      </c>
      <c r="AZ472" s="1">
        <v>219.99</v>
      </c>
      <c r="BB472" s="1">
        <v>219.99</v>
      </c>
    </row>
    <row r="473">
      <c r="A473" s="1" t="s">
        <v>438</v>
      </c>
      <c r="C473" s="1" t="s">
        <v>56</v>
      </c>
      <c r="D473" s="1" t="s">
        <v>1069</v>
      </c>
      <c r="Y473" s="2">
        <v>45520.0</v>
      </c>
      <c r="AE473" s="1">
        <v>64.99</v>
      </c>
      <c r="AG473" s="3" t="str">
        <f t="shared" si="19"/>
        <v>2000006185712423</v>
      </c>
      <c r="AH473" s="1" t="s">
        <v>58</v>
      </c>
      <c r="AI473" s="1" t="s">
        <v>59</v>
      </c>
      <c r="AJ473" s="1" t="s">
        <v>59</v>
      </c>
      <c r="AK473" s="1" t="s">
        <v>60</v>
      </c>
      <c r="AL473" s="1" t="s">
        <v>60</v>
      </c>
      <c r="AW473" s="1" t="s">
        <v>440</v>
      </c>
      <c r="AY473" s="1">
        <v>1.0</v>
      </c>
      <c r="AZ473" s="1">
        <v>64.99</v>
      </c>
      <c r="BB473" s="1">
        <v>64.99</v>
      </c>
    </row>
    <row r="474">
      <c r="A474" s="1" t="s">
        <v>862</v>
      </c>
      <c r="C474" s="1" t="s">
        <v>56</v>
      </c>
      <c r="D474" s="1" t="s">
        <v>1071</v>
      </c>
      <c r="Y474" s="2">
        <v>45520.0</v>
      </c>
      <c r="AE474" s="1">
        <v>94.49</v>
      </c>
      <c r="AG474" s="3" t="str">
        <f t="shared" ref="AG474:AG475" si="20">"2000006185687909"</f>
        <v>2000006185687909</v>
      </c>
      <c r="AH474" s="1" t="s">
        <v>58</v>
      </c>
      <c r="AI474" s="1" t="s">
        <v>59</v>
      </c>
      <c r="AJ474" s="1" t="s">
        <v>59</v>
      </c>
      <c r="AK474" s="1" t="s">
        <v>60</v>
      </c>
      <c r="AL474" s="1" t="s">
        <v>60</v>
      </c>
      <c r="AW474" s="1" t="s">
        <v>864</v>
      </c>
      <c r="AY474" s="1">
        <v>1.0</v>
      </c>
      <c r="AZ474" s="1">
        <v>94.49</v>
      </c>
      <c r="BB474" s="1">
        <v>94.49</v>
      </c>
    </row>
    <row r="475">
      <c r="A475" s="1" t="s">
        <v>1072</v>
      </c>
      <c r="C475" s="1" t="s">
        <v>56</v>
      </c>
      <c r="D475" s="1" t="s">
        <v>1071</v>
      </c>
      <c r="Y475" s="2">
        <v>45520.0</v>
      </c>
      <c r="AE475" s="1">
        <v>94.49</v>
      </c>
      <c r="AG475" s="3" t="str">
        <f t="shared" si="20"/>
        <v>2000006185687909</v>
      </c>
      <c r="AH475" s="1" t="s">
        <v>58</v>
      </c>
      <c r="AI475" s="1" t="s">
        <v>59</v>
      </c>
      <c r="AJ475" s="1" t="s">
        <v>59</v>
      </c>
      <c r="AK475" s="1" t="s">
        <v>60</v>
      </c>
      <c r="AL475" s="1" t="s">
        <v>60</v>
      </c>
      <c r="AW475" s="1" t="s">
        <v>864</v>
      </c>
      <c r="AY475" s="1">
        <v>1.0</v>
      </c>
      <c r="AZ475" s="1">
        <v>94.49</v>
      </c>
      <c r="BB475" s="1">
        <v>94.49</v>
      </c>
    </row>
    <row r="476">
      <c r="A476" s="1" t="s">
        <v>1073</v>
      </c>
      <c r="C476" s="1" t="s">
        <v>56</v>
      </c>
      <c r="D476" s="1" t="s">
        <v>1074</v>
      </c>
      <c r="Y476" s="2">
        <v>45520.0</v>
      </c>
      <c r="AE476" s="1">
        <v>129.99</v>
      </c>
      <c r="AG476" s="3" t="str">
        <f>"2000006185684525"</f>
        <v>2000006185684525</v>
      </c>
      <c r="AH476" s="1" t="s">
        <v>58</v>
      </c>
      <c r="AI476" s="1" t="s">
        <v>59</v>
      </c>
      <c r="AJ476" s="1" t="s">
        <v>59</v>
      </c>
      <c r="AK476" s="1" t="s">
        <v>60</v>
      </c>
      <c r="AL476" s="1" t="s">
        <v>60</v>
      </c>
      <c r="AW476" s="1" t="s">
        <v>1075</v>
      </c>
      <c r="AY476" s="1">
        <v>1.0</v>
      </c>
      <c r="AZ476" s="1">
        <v>129.99</v>
      </c>
      <c r="BB476" s="1">
        <v>129.99</v>
      </c>
    </row>
    <row r="477">
      <c r="A477" s="1" t="s">
        <v>851</v>
      </c>
      <c r="C477" s="1" t="s">
        <v>56</v>
      </c>
      <c r="D477" s="1" t="s">
        <v>1076</v>
      </c>
      <c r="Y477" s="2">
        <v>45520.0</v>
      </c>
      <c r="AE477" s="1">
        <v>76.99</v>
      </c>
      <c r="AG477" s="3" t="str">
        <f>"2000006185658843"</f>
        <v>2000006185658843</v>
      </c>
      <c r="AH477" s="1" t="s">
        <v>58</v>
      </c>
      <c r="AI477" s="1" t="s">
        <v>59</v>
      </c>
      <c r="AJ477" s="1" t="s">
        <v>59</v>
      </c>
      <c r="AK477" s="1" t="s">
        <v>60</v>
      </c>
      <c r="AL477" s="1" t="s">
        <v>60</v>
      </c>
      <c r="AW477" s="1" t="s">
        <v>853</v>
      </c>
      <c r="AY477" s="1">
        <v>1.0</v>
      </c>
      <c r="AZ477" s="1">
        <v>76.99</v>
      </c>
      <c r="BB477" s="1">
        <v>76.99</v>
      </c>
    </row>
    <row r="478">
      <c r="A478" s="1" t="s">
        <v>505</v>
      </c>
      <c r="C478" s="1" t="s">
        <v>56</v>
      </c>
      <c r="D478" s="1" t="s">
        <v>1077</v>
      </c>
      <c r="Y478" s="2">
        <v>45520.0</v>
      </c>
      <c r="AE478" s="1">
        <v>294.99</v>
      </c>
      <c r="AG478" s="3" t="str">
        <f>"2000009055246598"</f>
        <v>2000009055246598</v>
      </c>
      <c r="AH478" s="1" t="s">
        <v>58</v>
      </c>
      <c r="AI478" s="1" t="s">
        <v>59</v>
      </c>
      <c r="AJ478" s="1" t="s">
        <v>59</v>
      </c>
      <c r="AK478" s="1" t="s">
        <v>60</v>
      </c>
      <c r="AL478" s="1" t="s">
        <v>60</v>
      </c>
      <c r="AW478" s="1" t="s">
        <v>507</v>
      </c>
      <c r="AY478" s="1">
        <v>1.0</v>
      </c>
      <c r="AZ478" s="1">
        <v>294.99</v>
      </c>
      <c r="BB478" s="1">
        <v>294.99</v>
      </c>
    </row>
    <row r="479">
      <c r="A479" s="1" t="s">
        <v>420</v>
      </c>
      <c r="C479" s="1" t="s">
        <v>56</v>
      </c>
      <c r="D479" s="1" t="s">
        <v>1078</v>
      </c>
      <c r="Y479" s="2">
        <v>45520.0</v>
      </c>
      <c r="AE479" s="1">
        <v>579.99</v>
      </c>
      <c r="AG479" s="3" t="str">
        <f>"2000009055198482"</f>
        <v>2000009055198482</v>
      </c>
      <c r="AH479" s="1" t="s">
        <v>58</v>
      </c>
      <c r="AI479" s="1" t="s">
        <v>59</v>
      </c>
      <c r="AJ479" s="1" t="s">
        <v>59</v>
      </c>
      <c r="AK479" s="1" t="s">
        <v>60</v>
      </c>
      <c r="AL479" s="1" t="s">
        <v>60</v>
      </c>
      <c r="AW479" s="1" t="s">
        <v>422</v>
      </c>
      <c r="AY479" s="1">
        <v>1.0</v>
      </c>
      <c r="AZ479" s="1">
        <v>579.99</v>
      </c>
      <c r="BB479" s="1">
        <v>579.99</v>
      </c>
    </row>
    <row r="480">
      <c r="A480" s="1" t="s">
        <v>1079</v>
      </c>
      <c r="C480" s="1" t="s">
        <v>56</v>
      </c>
      <c r="D480" s="1" t="s">
        <v>1080</v>
      </c>
      <c r="Y480" s="2">
        <v>45520.0</v>
      </c>
      <c r="AE480" s="1">
        <v>64.99</v>
      </c>
      <c r="AG480" s="3" t="str">
        <f>"2000006185629113"</f>
        <v>2000006185629113</v>
      </c>
      <c r="AH480" s="1" t="s">
        <v>58</v>
      </c>
      <c r="AI480" s="1" t="s">
        <v>59</v>
      </c>
      <c r="AJ480" s="1" t="s">
        <v>59</v>
      </c>
      <c r="AK480" s="1" t="s">
        <v>60</v>
      </c>
      <c r="AL480" s="1" t="s">
        <v>60</v>
      </c>
      <c r="AW480" s="1" t="s">
        <v>1081</v>
      </c>
      <c r="AY480" s="1">
        <v>1.0</v>
      </c>
      <c r="AZ480" s="1">
        <v>64.99</v>
      </c>
      <c r="BB480" s="1">
        <v>64.99</v>
      </c>
    </row>
    <row r="481">
      <c r="A481" s="1" t="s">
        <v>357</v>
      </c>
      <c r="C481" s="1" t="s">
        <v>56</v>
      </c>
      <c r="D481" s="1" t="s">
        <v>1082</v>
      </c>
      <c r="Y481" s="2">
        <v>45520.0</v>
      </c>
      <c r="AE481" s="1">
        <v>179.98</v>
      </c>
      <c r="AG481" s="3" t="str">
        <f>"2000006185624173"</f>
        <v>2000006185624173</v>
      </c>
      <c r="AH481" s="1" t="s">
        <v>58</v>
      </c>
      <c r="AI481" s="1" t="s">
        <v>59</v>
      </c>
      <c r="AJ481" s="1" t="s">
        <v>59</v>
      </c>
      <c r="AK481" s="1" t="s">
        <v>60</v>
      </c>
      <c r="AL481" s="1" t="s">
        <v>60</v>
      </c>
      <c r="AW481" s="1" t="s">
        <v>359</v>
      </c>
      <c r="AY481" s="1">
        <v>2.0</v>
      </c>
      <c r="AZ481" s="1">
        <v>89.99</v>
      </c>
      <c r="BB481" s="1">
        <v>179.98</v>
      </c>
    </row>
    <row r="482">
      <c r="A482" s="1" t="s">
        <v>305</v>
      </c>
      <c r="C482" s="1" t="s">
        <v>56</v>
      </c>
      <c r="D482" s="1" t="s">
        <v>1083</v>
      </c>
      <c r="Y482" s="2">
        <v>45520.0</v>
      </c>
      <c r="AE482" s="1">
        <v>39.99</v>
      </c>
      <c r="AG482" s="3" t="str">
        <f>"2000006185615823"</f>
        <v>2000006185615823</v>
      </c>
      <c r="AH482" s="1" t="s">
        <v>58</v>
      </c>
      <c r="AI482" s="1" t="s">
        <v>59</v>
      </c>
      <c r="AJ482" s="1" t="s">
        <v>59</v>
      </c>
      <c r="AK482" s="1" t="s">
        <v>60</v>
      </c>
      <c r="AL482" s="1" t="s">
        <v>60</v>
      </c>
      <c r="AW482" s="1" t="s">
        <v>306</v>
      </c>
      <c r="AY482" s="1">
        <v>1.0</v>
      </c>
      <c r="AZ482" s="1">
        <v>39.99</v>
      </c>
      <c r="BB482" s="1">
        <v>39.99</v>
      </c>
    </row>
    <row r="483">
      <c r="A483" s="1" t="s">
        <v>305</v>
      </c>
      <c r="C483" s="1" t="s">
        <v>56</v>
      </c>
      <c r="D483" s="1" t="s">
        <v>1083</v>
      </c>
      <c r="Y483" s="2">
        <v>45520.0</v>
      </c>
      <c r="AE483" s="1">
        <v>39.99</v>
      </c>
      <c r="AG483" s="3" t="str">
        <f>"2000006185615825"</f>
        <v>2000006185615825</v>
      </c>
      <c r="AH483" s="1" t="s">
        <v>58</v>
      </c>
      <c r="AI483" s="1" t="s">
        <v>59</v>
      </c>
      <c r="AJ483" s="1" t="s">
        <v>59</v>
      </c>
      <c r="AK483" s="1" t="s">
        <v>60</v>
      </c>
      <c r="AL483" s="1" t="s">
        <v>60</v>
      </c>
      <c r="AW483" s="1" t="s">
        <v>306</v>
      </c>
      <c r="AY483" s="1">
        <v>1.0</v>
      </c>
      <c r="AZ483" s="1">
        <v>39.99</v>
      </c>
      <c r="BB483" s="1">
        <v>39.99</v>
      </c>
    </row>
    <row r="484">
      <c r="A484" s="1" t="s">
        <v>1084</v>
      </c>
      <c r="C484" s="1" t="s">
        <v>56</v>
      </c>
      <c r="D484" s="1" t="s">
        <v>1085</v>
      </c>
      <c r="Y484" s="2">
        <v>45520.0</v>
      </c>
      <c r="AE484" s="1">
        <v>49.99</v>
      </c>
      <c r="AG484" s="3" t="str">
        <f>"2000006185571601"</f>
        <v>2000006185571601</v>
      </c>
      <c r="AH484" s="1" t="s">
        <v>58</v>
      </c>
      <c r="AI484" s="1" t="s">
        <v>59</v>
      </c>
      <c r="AJ484" s="1" t="s">
        <v>59</v>
      </c>
      <c r="AK484" s="1" t="s">
        <v>60</v>
      </c>
      <c r="AL484" s="1" t="s">
        <v>60</v>
      </c>
      <c r="AW484" s="1" t="s">
        <v>1086</v>
      </c>
      <c r="AY484" s="1">
        <v>1.0</v>
      </c>
      <c r="AZ484" s="1">
        <v>49.99</v>
      </c>
      <c r="BB484" s="1">
        <v>49.99</v>
      </c>
    </row>
    <row r="485">
      <c r="A485" s="1" t="s">
        <v>639</v>
      </c>
      <c r="C485" s="1" t="s">
        <v>56</v>
      </c>
      <c r="D485" s="1" t="s">
        <v>1087</v>
      </c>
      <c r="Y485" s="2">
        <v>45520.0</v>
      </c>
      <c r="AE485" s="1">
        <v>289.99</v>
      </c>
      <c r="AG485" s="3" t="str">
        <f>"2000006185535263"</f>
        <v>2000006185535263</v>
      </c>
      <c r="AH485" s="1" t="s">
        <v>58</v>
      </c>
      <c r="AI485" s="1" t="s">
        <v>59</v>
      </c>
      <c r="AJ485" s="1" t="s">
        <v>59</v>
      </c>
      <c r="AK485" s="1" t="s">
        <v>60</v>
      </c>
      <c r="AL485" s="1" t="s">
        <v>60</v>
      </c>
      <c r="AW485" s="1" t="s">
        <v>641</v>
      </c>
      <c r="AY485" s="1">
        <v>1.0</v>
      </c>
      <c r="AZ485" s="1">
        <v>289.99</v>
      </c>
      <c r="BB485" s="1">
        <v>289.99</v>
      </c>
    </row>
    <row r="486">
      <c r="A486" s="1" t="s">
        <v>536</v>
      </c>
      <c r="C486" s="1" t="s">
        <v>56</v>
      </c>
      <c r="D486" s="1" t="s">
        <v>1088</v>
      </c>
      <c r="Y486" s="2">
        <v>45520.0</v>
      </c>
      <c r="AE486" s="1">
        <v>89.99</v>
      </c>
      <c r="AG486" s="3" t="str">
        <f>"2000009055018212"</f>
        <v>2000009055018212</v>
      </c>
      <c r="AH486" s="1" t="s">
        <v>58</v>
      </c>
      <c r="AI486" s="1" t="s">
        <v>59</v>
      </c>
      <c r="AJ486" s="1" t="s">
        <v>59</v>
      </c>
      <c r="AK486" s="1" t="s">
        <v>60</v>
      </c>
      <c r="AL486" s="1" t="s">
        <v>60</v>
      </c>
      <c r="AW486" s="1" t="s">
        <v>538</v>
      </c>
      <c r="AY486" s="1">
        <v>1.0</v>
      </c>
      <c r="AZ486" s="1">
        <v>89.99</v>
      </c>
      <c r="BB486" s="1">
        <v>89.99</v>
      </c>
    </row>
    <row r="487">
      <c r="A487" s="1" t="s">
        <v>210</v>
      </c>
      <c r="C487" s="1" t="s">
        <v>56</v>
      </c>
      <c r="D487" s="1" t="s">
        <v>1089</v>
      </c>
      <c r="Y487" s="2">
        <v>45520.0</v>
      </c>
      <c r="AE487" s="1">
        <v>61.99</v>
      </c>
      <c r="AG487" s="3" t="str">
        <f>"2000006185494219"</f>
        <v>2000006185494219</v>
      </c>
      <c r="AH487" s="1" t="s">
        <v>58</v>
      </c>
      <c r="AI487" s="1" t="s">
        <v>59</v>
      </c>
      <c r="AJ487" s="1" t="s">
        <v>59</v>
      </c>
      <c r="AK487" s="1" t="s">
        <v>60</v>
      </c>
      <c r="AL487" s="1" t="s">
        <v>60</v>
      </c>
      <c r="AW487" s="1" t="s">
        <v>211</v>
      </c>
      <c r="AY487" s="1">
        <v>1.0</v>
      </c>
      <c r="AZ487" s="1">
        <v>61.99</v>
      </c>
      <c r="BB487" s="1">
        <v>61.99</v>
      </c>
    </row>
    <row r="488">
      <c r="A488" s="1" t="s">
        <v>1090</v>
      </c>
      <c r="C488" s="1" t="s">
        <v>56</v>
      </c>
      <c r="D488" s="1" t="s">
        <v>1091</v>
      </c>
      <c r="Y488" s="2">
        <v>45520.0</v>
      </c>
      <c r="AE488" s="1">
        <v>79.99</v>
      </c>
      <c r="AG488" s="3" t="str">
        <f>"2000006185465875"</f>
        <v>2000006185465875</v>
      </c>
      <c r="AH488" s="1" t="s">
        <v>58</v>
      </c>
      <c r="AI488" s="1" t="s">
        <v>59</v>
      </c>
      <c r="AJ488" s="1" t="s">
        <v>59</v>
      </c>
      <c r="AK488" s="1" t="s">
        <v>60</v>
      </c>
      <c r="AL488" s="1" t="s">
        <v>60</v>
      </c>
      <c r="AW488" s="1" t="s">
        <v>868</v>
      </c>
      <c r="AY488" s="1">
        <v>1.0</v>
      </c>
      <c r="AZ488" s="1">
        <v>79.99</v>
      </c>
      <c r="BB488" s="1">
        <v>79.99</v>
      </c>
    </row>
    <row r="489">
      <c r="A489" s="1" t="s">
        <v>709</v>
      </c>
      <c r="C489" s="1" t="s">
        <v>56</v>
      </c>
      <c r="D489" s="1" t="s">
        <v>1092</v>
      </c>
      <c r="Y489" s="2">
        <v>45520.0</v>
      </c>
      <c r="AE489" s="1">
        <v>479.99</v>
      </c>
      <c r="AG489" s="3" t="str">
        <f>"2000009054864732"</f>
        <v>2000009054864732</v>
      </c>
      <c r="AH489" s="1" t="s">
        <v>58</v>
      </c>
      <c r="AI489" s="1" t="s">
        <v>59</v>
      </c>
      <c r="AJ489" s="1" t="s">
        <v>59</v>
      </c>
      <c r="AK489" s="1" t="s">
        <v>60</v>
      </c>
      <c r="AL489" s="1" t="s">
        <v>60</v>
      </c>
      <c r="AW489" s="1" t="s">
        <v>711</v>
      </c>
      <c r="AY489" s="1">
        <v>1.0</v>
      </c>
      <c r="AZ489" s="1">
        <v>479.99</v>
      </c>
      <c r="BB489" s="1">
        <v>479.99</v>
      </c>
    </row>
    <row r="490">
      <c r="A490" s="1" t="s">
        <v>694</v>
      </c>
      <c r="C490" s="1" t="s">
        <v>56</v>
      </c>
      <c r="D490" s="1" t="s">
        <v>1093</v>
      </c>
      <c r="Y490" s="2">
        <v>45520.0</v>
      </c>
      <c r="AE490" s="1">
        <v>64.99</v>
      </c>
      <c r="AG490" s="3" t="str">
        <f>"2000006185419395"</f>
        <v>2000006185419395</v>
      </c>
      <c r="AH490" s="1" t="s">
        <v>58</v>
      </c>
      <c r="AI490" s="1" t="s">
        <v>59</v>
      </c>
      <c r="AJ490" s="1" t="s">
        <v>59</v>
      </c>
      <c r="AK490" s="1" t="s">
        <v>60</v>
      </c>
      <c r="AL490" s="1" t="s">
        <v>60</v>
      </c>
      <c r="AW490" s="1" t="s">
        <v>328</v>
      </c>
      <c r="AY490" s="1">
        <v>1.0</v>
      </c>
      <c r="AZ490" s="1">
        <v>64.99</v>
      </c>
      <c r="BB490" s="1">
        <v>64.99</v>
      </c>
    </row>
    <row r="491">
      <c r="A491" s="1" t="s">
        <v>851</v>
      </c>
      <c r="C491" s="1" t="s">
        <v>56</v>
      </c>
      <c r="D491" s="1" t="s">
        <v>1094</v>
      </c>
      <c r="Y491" s="2">
        <v>45520.0</v>
      </c>
      <c r="AE491" s="1">
        <v>76.99</v>
      </c>
      <c r="AG491" s="3" t="str">
        <f>"2000006185294661"</f>
        <v>2000006185294661</v>
      </c>
      <c r="AH491" s="1" t="s">
        <v>58</v>
      </c>
      <c r="AI491" s="1" t="s">
        <v>59</v>
      </c>
      <c r="AJ491" s="1" t="s">
        <v>59</v>
      </c>
      <c r="AK491" s="1" t="s">
        <v>60</v>
      </c>
      <c r="AL491" s="1" t="s">
        <v>60</v>
      </c>
      <c r="AW491" s="1" t="s">
        <v>853</v>
      </c>
      <c r="AY491" s="1">
        <v>1.0</v>
      </c>
      <c r="AZ491" s="1">
        <v>76.99</v>
      </c>
      <c r="BB491" s="1">
        <v>76.99</v>
      </c>
    </row>
    <row r="492">
      <c r="A492" s="1" t="s">
        <v>1095</v>
      </c>
      <c r="C492" s="1" t="s">
        <v>56</v>
      </c>
      <c r="D492" s="1" t="s">
        <v>1096</v>
      </c>
      <c r="Y492" s="2">
        <v>45520.0</v>
      </c>
      <c r="AE492" s="1">
        <v>99.99</v>
      </c>
      <c r="AG492" s="3" t="str">
        <f>"2000006185126175"</f>
        <v>2000006185126175</v>
      </c>
      <c r="AH492" s="1" t="s">
        <v>58</v>
      </c>
      <c r="AI492" s="1" t="s">
        <v>59</v>
      </c>
      <c r="AJ492" s="1" t="s">
        <v>59</v>
      </c>
      <c r="AK492" s="1" t="s">
        <v>60</v>
      </c>
      <c r="AL492" s="1" t="s">
        <v>60</v>
      </c>
      <c r="AW492" s="1" t="s">
        <v>1097</v>
      </c>
      <c r="AY492" s="1">
        <v>1.0</v>
      </c>
      <c r="AZ492" s="1">
        <v>99.99</v>
      </c>
      <c r="BB492" s="1">
        <v>99.99</v>
      </c>
    </row>
    <row r="493">
      <c r="A493" s="1" t="s">
        <v>957</v>
      </c>
      <c r="C493" s="1" t="s">
        <v>56</v>
      </c>
      <c r="D493" s="1" t="s">
        <v>1098</v>
      </c>
      <c r="Y493" s="2">
        <v>45520.0</v>
      </c>
      <c r="AE493" s="1">
        <v>139.99</v>
      </c>
      <c r="AG493" s="3" t="str">
        <f>"2000006185263645"</f>
        <v>2000006185263645</v>
      </c>
      <c r="AH493" s="1" t="s">
        <v>58</v>
      </c>
      <c r="AI493" s="1" t="s">
        <v>59</v>
      </c>
      <c r="AJ493" s="1" t="s">
        <v>59</v>
      </c>
      <c r="AK493" s="1" t="s">
        <v>60</v>
      </c>
      <c r="AL493" s="1" t="s">
        <v>60</v>
      </c>
      <c r="AW493" s="1" t="s">
        <v>959</v>
      </c>
      <c r="AY493" s="1">
        <v>1.0</v>
      </c>
      <c r="AZ493" s="1">
        <v>139.99</v>
      </c>
      <c r="BB493" s="1">
        <v>139.99</v>
      </c>
    </row>
    <row r="494">
      <c r="A494" s="1" t="s">
        <v>280</v>
      </c>
      <c r="C494" s="1" t="s">
        <v>56</v>
      </c>
      <c r="D494" s="1" t="s">
        <v>1099</v>
      </c>
      <c r="Y494" s="2">
        <v>45520.0</v>
      </c>
      <c r="AE494" s="1">
        <v>119.99</v>
      </c>
      <c r="AG494" s="3" t="str">
        <f>"2000006185250509"</f>
        <v>2000006185250509</v>
      </c>
      <c r="AH494" s="1" t="s">
        <v>58</v>
      </c>
      <c r="AI494" s="1" t="s">
        <v>59</v>
      </c>
      <c r="AJ494" s="1" t="s">
        <v>59</v>
      </c>
      <c r="AK494" s="1" t="s">
        <v>60</v>
      </c>
      <c r="AL494" s="1" t="s">
        <v>60</v>
      </c>
      <c r="AW494" s="1" t="s">
        <v>282</v>
      </c>
      <c r="AY494" s="1">
        <v>1.0</v>
      </c>
      <c r="AZ494" s="1">
        <v>119.99</v>
      </c>
      <c r="BB494" s="1">
        <v>119.99</v>
      </c>
    </row>
    <row r="495">
      <c r="A495" s="1" t="s">
        <v>390</v>
      </c>
      <c r="C495" s="1" t="s">
        <v>56</v>
      </c>
      <c r="D495" s="1" t="s">
        <v>1100</v>
      </c>
      <c r="Y495" s="2">
        <v>45520.0</v>
      </c>
      <c r="AE495" s="1">
        <v>79.99</v>
      </c>
      <c r="AG495" s="3" t="str">
        <f>"2000006185193469"</f>
        <v>2000006185193469</v>
      </c>
      <c r="AH495" s="1" t="s">
        <v>58</v>
      </c>
      <c r="AI495" s="1" t="s">
        <v>59</v>
      </c>
      <c r="AJ495" s="1" t="s">
        <v>59</v>
      </c>
      <c r="AK495" s="1" t="s">
        <v>60</v>
      </c>
      <c r="AL495" s="1" t="s">
        <v>60</v>
      </c>
      <c r="AW495" s="1" t="s">
        <v>392</v>
      </c>
      <c r="AY495" s="1">
        <v>1.0</v>
      </c>
      <c r="AZ495" s="1">
        <v>79.99</v>
      </c>
      <c r="BB495" s="1">
        <v>79.99</v>
      </c>
    </row>
    <row r="496">
      <c r="A496" s="1" t="s">
        <v>62</v>
      </c>
      <c r="C496" s="1" t="s">
        <v>56</v>
      </c>
      <c r="D496" s="1" t="s">
        <v>1101</v>
      </c>
      <c r="Y496" s="2">
        <v>45520.0</v>
      </c>
      <c r="AE496" s="1">
        <v>249.49</v>
      </c>
      <c r="AG496" s="3" t="str">
        <f>"2000006185149777"</f>
        <v>2000006185149777</v>
      </c>
      <c r="AH496" s="1" t="s">
        <v>58</v>
      </c>
      <c r="AI496" s="1" t="s">
        <v>59</v>
      </c>
      <c r="AJ496" s="1" t="s">
        <v>59</v>
      </c>
      <c r="AK496" s="1" t="s">
        <v>60</v>
      </c>
      <c r="AL496" s="1" t="s">
        <v>60</v>
      </c>
      <c r="AW496" s="1" t="s">
        <v>64</v>
      </c>
      <c r="AY496" s="1">
        <v>1.0</v>
      </c>
      <c r="AZ496" s="1">
        <v>249.49</v>
      </c>
      <c r="BB496" s="1">
        <v>249.49</v>
      </c>
    </row>
    <row r="497">
      <c r="A497" s="1" t="s">
        <v>153</v>
      </c>
      <c r="C497" s="1" t="s">
        <v>56</v>
      </c>
      <c r="D497" s="1" t="s">
        <v>1102</v>
      </c>
      <c r="Y497" s="2">
        <v>45520.0</v>
      </c>
      <c r="AE497" s="1">
        <v>47.18</v>
      </c>
      <c r="AG497" s="3" t="str">
        <f>"2000006185137593"</f>
        <v>2000006185137593</v>
      </c>
      <c r="AH497" s="1" t="s">
        <v>58</v>
      </c>
      <c r="AI497" s="1" t="s">
        <v>59</v>
      </c>
      <c r="AJ497" s="1" t="s">
        <v>59</v>
      </c>
      <c r="AK497" s="1" t="s">
        <v>60</v>
      </c>
      <c r="AL497" s="1" t="s">
        <v>60</v>
      </c>
      <c r="AW497" s="1" t="s">
        <v>155</v>
      </c>
      <c r="AY497" s="1">
        <v>1.0</v>
      </c>
      <c r="AZ497" s="1">
        <v>47.18</v>
      </c>
      <c r="BB497" s="1">
        <v>47.18</v>
      </c>
    </row>
    <row r="498">
      <c r="A498" s="1" t="s">
        <v>1103</v>
      </c>
      <c r="C498" s="1" t="s">
        <v>56</v>
      </c>
      <c r="D498" s="1" t="s">
        <v>1104</v>
      </c>
      <c r="Y498" s="2">
        <v>45520.0</v>
      </c>
      <c r="AE498" s="1">
        <v>59.99</v>
      </c>
      <c r="AG498" s="3" t="str">
        <f>"2000006185096321"</f>
        <v>2000006185096321</v>
      </c>
      <c r="AH498" s="1" t="s">
        <v>58</v>
      </c>
      <c r="AI498" s="1" t="s">
        <v>59</v>
      </c>
      <c r="AJ498" s="1" t="s">
        <v>59</v>
      </c>
      <c r="AK498" s="1" t="s">
        <v>60</v>
      </c>
      <c r="AL498" s="1" t="s">
        <v>60</v>
      </c>
      <c r="AW498" s="1" t="s">
        <v>1105</v>
      </c>
      <c r="AY498" s="1">
        <v>1.0</v>
      </c>
      <c r="AZ498" s="1">
        <v>59.99</v>
      </c>
      <c r="BB498" s="1">
        <v>59.99</v>
      </c>
    </row>
    <row r="499">
      <c r="A499" s="1" t="s">
        <v>1106</v>
      </c>
      <c r="C499" s="1" t="s">
        <v>56</v>
      </c>
      <c r="D499" s="1" t="s">
        <v>1107</v>
      </c>
      <c r="Y499" s="2">
        <v>45520.0</v>
      </c>
      <c r="AE499" s="1">
        <v>99.98</v>
      </c>
      <c r="AG499" s="3" t="str">
        <f>"2000006185083285"</f>
        <v>2000006185083285</v>
      </c>
      <c r="AH499" s="1" t="s">
        <v>58</v>
      </c>
      <c r="AI499" s="1" t="s">
        <v>59</v>
      </c>
      <c r="AJ499" s="1" t="s">
        <v>59</v>
      </c>
      <c r="AK499" s="1" t="s">
        <v>60</v>
      </c>
      <c r="AL499" s="1" t="s">
        <v>60</v>
      </c>
      <c r="AW499" s="1" t="s">
        <v>97</v>
      </c>
      <c r="AY499" s="1">
        <v>2.0</v>
      </c>
      <c r="AZ499" s="1">
        <v>49.99</v>
      </c>
      <c r="BB499" s="1">
        <v>99.98</v>
      </c>
    </row>
    <row r="500">
      <c r="A500" s="1" t="s">
        <v>1108</v>
      </c>
      <c r="C500" s="1" t="s">
        <v>56</v>
      </c>
      <c r="D500" s="1" t="s">
        <v>250</v>
      </c>
      <c r="Y500" s="2">
        <v>45520.0</v>
      </c>
      <c r="AE500" s="1">
        <v>159.99</v>
      </c>
      <c r="AG500" s="3" t="str">
        <f>"2000006185006715"</f>
        <v>2000006185006715</v>
      </c>
      <c r="AH500" s="1" t="s">
        <v>58</v>
      </c>
      <c r="AI500" s="1" t="s">
        <v>59</v>
      </c>
      <c r="AJ500" s="1" t="s">
        <v>59</v>
      </c>
      <c r="AK500" s="1" t="s">
        <v>60</v>
      </c>
      <c r="AL500" s="1" t="s">
        <v>60</v>
      </c>
      <c r="AW500" s="1" t="s">
        <v>1109</v>
      </c>
      <c r="AY500" s="1">
        <v>1.0</v>
      </c>
      <c r="AZ500" s="1">
        <v>159.99</v>
      </c>
      <c r="BB500" s="1">
        <v>159.99</v>
      </c>
    </row>
    <row r="501">
      <c r="A501" s="1" t="s">
        <v>249</v>
      </c>
      <c r="C501" s="1" t="s">
        <v>56</v>
      </c>
      <c r="D501" s="1" t="s">
        <v>1110</v>
      </c>
      <c r="Y501" s="2">
        <v>45520.0</v>
      </c>
      <c r="AE501" s="1">
        <v>64.99</v>
      </c>
      <c r="AG501" s="3" t="str">
        <f>"2000009053929106"</f>
        <v>2000009053929106</v>
      </c>
      <c r="AH501" s="1" t="s">
        <v>58</v>
      </c>
      <c r="AI501" s="1" t="s">
        <v>59</v>
      </c>
      <c r="AJ501" s="1" t="s">
        <v>59</v>
      </c>
      <c r="AK501" s="1" t="s">
        <v>60</v>
      </c>
      <c r="AL501" s="1" t="s">
        <v>60</v>
      </c>
      <c r="AW501" s="1" t="s">
        <v>251</v>
      </c>
      <c r="AY501" s="1">
        <v>1.0</v>
      </c>
      <c r="AZ501" s="1">
        <v>64.99</v>
      </c>
      <c r="BB501" s="1">
        <v>64.99</v>
      </c>
    </row>
    <row r="502">
      <c r="A502" s="1" t="s">
        <v>636</v>
      </c>
      <c r="C502" s="1" t="s">
        <v>56</v>
      </c>
      <c r="D502" s="1" t="s">
        <v>1111</v>
      </c>
      <c r="Y502" s="2">
        <v>45520.0</v>
      </c>
      <c r="AE502" s="1">
        <v>109.99</v>
      </c>
      <c r="AG502" s="3" t="str">
        <f>"2000006184922851"</f>
        <v>2000006184922851</v>
      </c>
      <c r="AH502" s="1" t="s">
        <v>58</v>
      </c>
      <c r="AI502" s="1" t="s">
        <v>59</v>
      </c>
      <c r="AJ502" s="1" t="s">
        <v>59</v>
      </c>
      <c r="AK502" s="1" t="s">
        <v>60</v>
      </c>
      <c r="AL502" s="1" t="s">
        <v>60</v>
      </c>
      <c r="AW502" s="1" t="s">
        <v>638</v>
      </c>
      <c r="AY502" s="1">
        <v>1.0</v>
      </c>
      <c r="AZ502" s="1">
        <v>109.99</v>
      </c>
      <c r="BB502" s="1">
        <v>109.99</v>
      </c>
    </row>
    <row r="503">
      <c r="A503" s="1" t="s">
        <v>1112</v>
      </c>
      <c r="C503" s="1" t="s">
        <v>56</v>
      </c>
      <c r="D503" s="1" t="s">
        <v>1113</v>
      </c>
      <c r="Y503" s="2">
        <v>45520.0</v>
      </c>
      <c r="AE503" s="1">
        <v>69.99</v>
      </c>
      <c r="AG503" s="3" t="str">
        <f>"2000006184903725"</f>
        <v>2000006184903725</v>
      </c>
      <c r="AH503" s="1" t="s">
        <v>58</v>
      </c>
      <c r="AI503" s="1" t="s">
        <v>59</v>
      </c>
      <c r="AJ503" s="1" t="s">
        <v>59</v>
      </c>
      <c r="AK503" s="1" t="s">
        <v>60</v>
      </c>
      <c r="AL503" s="1" t="s">
        <v>60</v>
      </c>
      <c r="AW503" s="1" t="s">
        <v>1114</v>
      </c>
      <c r="AY503" s="1">
        <v>1.0</v>
      </c>
      <c r="AZ503" s="1">
        <v>69.99</v>
      </c>
      <c r="BB503" s="1">
        <v>69.99</v>
      </c>
    </row>
    <row r="504">
      <c r="A504" s="1" t="s">
        <v>236</v>
      </c>
      <c r="C504" s="1" t="s">
        <v>56</v>
      </c>
      <c r="D504" s="1" t="s">
        <v>1115</v>
      </c>
      <c r="Y504" s="2">
        <v>45520.0</v>
      </c>
      <c r="AE504" s="1">
        <v>119.99</v>
      </c>
      <c r="AG504" s="3" t="str">
        <f>"2000006184882633"</f>
        <v>2000006184882633</v>
      </c>
      <c r="AH504" s="1" t="s">
        <v>58</v>
      </c>
      <c r="AI504" s="1" t="s">
        <v>59</v>
      </c>
      <c r="AJ504" s="1" t="s">
        <v>59</v>
      </c>
      <c r="AK504" s="1" t="s">
        <v>60</v>
      </c>
      <c r="AL504" s="1" t="s">
        <v>60</v>
      </c>
      <c r="AW504" s="1" t="s">
        <v>238</v>
      </c>
      <c r="AY504" s="1">
        <v>1.0</v>
      </c>
      <c r="AZ504" s="1">
        <v>119.99</v>
      </c>
      <c r="BB504" s="1">
        <v>119.99</v>
      </c>
    </row>
    <row r="505">
      <c r="A505" s="1" t="s">
        <v>457</v>
      </c>
      <c r="C505" s="1" t="s">
        <v>56</v>
      </c>
      <c r="D505" s="1" t="s">
        <v>1116</v>
      </c>
      <c r="Y505" s="2">
        <v>45520.0</v>
      </c>
      <c r="AE505" s="1">
        <v>139.99</v>
      </c>
      <c r="AG505" s="3" t="str">
        <f>"2000006184875425"</f>
        <v>2000006184875425</v>
      </c>
      <c r="AH505" s="1" t="s">
        <v>58</v>
      </c>
      <c r="AI505" s="1" t="s">
        <v>59</v>
      </c>
      <c r="AJ505" s="1" t="s">
        <v>59</v>
      </c>
      <c r="AK505" s="1" t="s">
        <v>60</v>
      </c>
      <c r="AL505" s="1" t="s">
        <v>60</v>
      </c>
      <c r="AW505" s="1" t="s">
        <v>279</v>
      </c>
      <c r="AY505" s="1">
        <v>1.0</v>
      </c>
      <c r="AZ505" s="1">
        <v>139.99</v>
      </c>
      <c r="BB505" s="1">
        <v>139.99</v>
      </c>
    </row>
    <row r="506">
      <c r="A506" s="1" t="s">
        <v>1117</v>
      </c>
      <c r="C506" s="1" t="s">
        <v>56</v>
      </c>
      <c r="D506" s="1" t="s">
        <v>1118</v>
      </c>
      <c r="Y506" s="2">
        <v>45520.0</v>
      </c>
      <c r="AE506" s="1">
        <v>59.99</v>
      </c>
      <c r="AG506" s="3" t="str">
        <f>"2000006184805093"</f>
        <v>2000006184805093</v>
      </c>
      <c r="AH506" s="1" t="s">
        <v>58</v>
      </c>
      <c r="AI506" s="1" t="s">
        <v>59</v>
      </c>
      <c r="AJ506" s="1" t="s">
        <v>59</v>
      </c>
      <c r="AK506" s="1" t="s">
        <v>60</v>
      </c>
      <c r="AL506" s="1" t="s">
        <v>60</v>
      </c>
      <c r="AW506" s="1" t="s">
        <v>254</v>
      </c>
      <c r="AY506" s="1">
        <v>1.0</v>
      </c>
      <c r="AZ506" s="1">
        <v>59.99</v>
      </c>
      <c r="BB506" s="1">
        <v>59.99</v>
      </c>
    </row>
    <row r="507">
      <c r="A507" s="1" t="s">
        <v>976</v>
      </c>
      <c r="C507" s="1" t="s">
        <v>56</v>
      </c>
      <c r="D507" s="1" t="s">
        <v>1119</v>
      </c>
      <c r="Y507" s="2">
        <v>45520.0</v>
      </c>
      <c r="AE507" s="1">
        <v>89.99</v>
      </c>
      <c r="AG507" s="3" t="str">
        <f>"2000006184793839"</f>
        <v>2000006184793839</v>
      </c>
      <c r="AH507" s="1" t="s">
        <v>58</v>
      </c>
      <c r="AI507" s="1" t="s">
        <v>59</v>
      </c>
      <c r="AJ507" s="1" t="s">
        <v>59</v>
      </c>
      <c r="AK507" s="1" t="s">
        <v>60</v>
      </c>
      <c r="AL507" s="1" t="s">
        <v>60</v>
      </c>
      <c r="AW507" s="1" t="s">
        <v>978</v>
      </c>
      <c r="AY507" s="1">
        <v>1.0</v>
      </c>
      <c r="AZ507" s="1">
        <v>89.99</v>
      </c>
      <c r="BB507" s="1">
        <v>89.99</v>
      </c>
    </row>
    <row r="508">
      <c r="A508" s="1" t="s">
        <v>1120</v>
      </c>
      <c r="C508" s="1" t="s">
        <v>56</v>
      </c>
      <c r="D508" s="1" t="s">
        <v>1121</v>
      </c>
      <c r="Y508" s="2">
        <v>45520.0</v>
      </c>
      <c r="AE508" s="1">
        <v>59.99</v>
      </c>
      <c r="AG508" s="3" t="str">
        <f>"2000006184739633"</f>
        <v>2000006184739633</v>
      </c>
      <c r="AH508" s="1" t="s">
        <v>58</v>
      </c>
      <c r="AI508" s="1" t="s">
        <v>59</v>
      </c>
      <c r="AJ508" s="1" t="s">
        <v>59</v>
      </c>
      <c r="AK508" s="1" t="s">
        <v>60</v>
      </c>
      <c r="AL508" s="1" t="s">
        <v>60</v>
      </c>
      <c r="AW508" s="1" t="s">
        <v>1122</v>
      </c>
      <c r="AY508" s="1">
        <v>1.0</v>
      </c>
      <c r="AZ508" s="1">
        <v>59.99</v>
      </c>
      <c r="BB508" s="1">
        <v>59.99</v>
      </c>
    </row>
    <row r="509">
      <c r="A509" s="1" t="s">
        <v>360</v>
      </c>
      <c r="C509" s="1" t="s">
        <v>56</v>
      </c>
      <c r="D509" s="1" t="s">
        <v>1123</v>
      </c>
      <c r="Y509" s="2">
        <v>45520.0</v>
      </c>
      <c r="AE509" s="1">
        <v>47.18</v>
      </c>
      <c r="AG509" s="3" t="str">
        <f>"2000006184736073"</f>
        <v>2000006184736073</v>
      </c>
      <c r="AH509" s="1" t="s">
        <v>58</v>
      </c>
      <c r="AI509" s="1" t="s">
        <v>59</v>
      </c>
      <c r="AJ509" s="1" t="s">
        <v>59</v>
      </c>
      <c r="AK509" s="1" t="s">
        <v>60</v>
      </c>
      <c r="AL509" s="1" t="s">
        <v>60</v>
      </c>
      <c r="AW509" s="1" t="s">
        <v>155</v>
      </c>
      <c r="AY509" s="1">
        <v>1.0</v>
      </c>
      <c r="AZ509" s="1">
        <v>47.18</v>
      </c>
      <c r="BB509" s="1">
        <v>47.18</v>
      </c>
    </row>
    <row r="510">
      <c r="A510" s="1" t="s">
        <v>360</v>
      </c>
      <c r="C510" s="1" t="s">
        <v>56</v>
      </c>
      <c r="D510" s="1" t="s">
        <v>1124</v>
      </c>
      <c r="Y510" s="2">
        <v>45520.0</v>
      </c>
      <c r="AE510" s="1">
        <v>47.18</v>
      </c>
      <c r="AG510" s="3" t="str">
        <f>"2000006184724921"</f>
        <v>2000006184724921</v>
      </c>
      <c r="AH510" s="1" t="s">
        <v>58</v>
      </c>
      <c r="AI510" s="1" t="s">
        <v>59</v>
      </c>
      <c r="AJ510" s="1" t="s">
        <v>59</v>
      </c>
      <c r="AK510" s="1" t="s">
        <v>60</v>
      </c>
      <c r="AL510" s="1" t="s">
        <v>60</v>
      </c>
      <c r="AW510" s="1" t="s">
        <v>155</v>
      </c>
      <c r="AY510" s="1">
        <v>1.0</v>
      </c>
      <c r="AZ510" s="1">
        <v>47.18</v>
      </c>
      <c r="BB510" s="1">
        <v>47.18</v>
      </c>
    </row>
    <row r="511">
      <c r="A511" s="1" t="s">
        <v>1125</v>
      </c>
      <c r="C511" s="1" t="s">
        <v>56</v>
      </c>
      <c r="D511" s="1" t="s">
        <v>1126</v>
      </c>
      <c r="Y511" s="2">
        <v>45520.0</v>
      </c>
      <c r="AE511" s="1">
        <v>77.99</v>
      </c>
      <c r="AG511" s="3" t="str">
        <f>"2000006184690037"</f>
        <v>2000006184690037</v>
      </c>
      <c r="AH511" s="1" t="s">
        <v>58</v>
      </c>
      <c r="AI511" s="1" t="s">
        <v>59</v>
      </c>
      <c r="AJ511" s="1" t="s">
        <v>59</v>
      </c>
      <c r="AK511" s="1" t="s">
        <v>60</v>
      </c>
      <c r="AL511" s="1" t="s">
        <v>60</v>
      </c>
      <c r="AW511" s="1" t="s">
        <v>1127</v>
      </c>
      <c r="AY511" s="1">
        <v>1.0</v>
      </c>
      <c r="AZ511" s="1">
        <v>77.99</v>
      </c>
      <c r="BB511" s="1">
        <v>77.99</v>
      </c>
    </row>
    <row r="512">
      <c r="A512" s="1" t="s">
        <v>1128</v>
      </c>
      <c r="C512" s="1" t="s">
        <v>56</v>
      </c>
      <c r="D512" s="1" t="s">
        <v>1129</v>
      </c>
      <c r="Y512" s="2">
        <v>45520.0</v>
      </c>
      <c r="AE512" s="1">
        <v>99.99</v>
      </c>
      <c r="AG512" s="3" t="str">
        <f>"2000006184589669"</f>
        <v>2000006184589669</v>
      </c>
      <c r="AH512" s="1" t="s">
        <v>58</v>
      </c>
      <c r="AI512" s="1" t="s">
        <v>59</v>
      </c>
      <c r="AJ512" s="1" t="s">
        <v>59</v>
      </c>
      <c r="AK512" s="1" t="s">
        <v>60</v>
      </c>
      <c r="AL512" s="1" t="s">
        <v>60</v>
      </c>
      <c r="AW512" s="1" t="s">
        <v>1130</v>
      </c>
      <c r="AY512" s="1">
        <v>1.0</v>
      </c>
      <c r="AZ512" s="1">
        <v>99.99</v>
      </c>
      <c r="BB512" s="1">
        <v>99.99</v>
      </c>
    </row>
    <row r="513">
      <c r="A513" s="1" t="s">
        <v>655</v>
      </c>
      <c r="C513" s="1" t="s">
        <v>56</v>
      </c>
      <c r="D513" s="1" t="s">
        <v>1131</v>
      </c>
      <c r="Y513" s="2">
        <v>45520.0</v>
      </c>
      <c r="AE513" s="1">
        <v>74.99</v>
      </c>
      <c r="AG513" s="3" t="str">
        <f>"2000006184609853"</f>
        <v>2000006184609853</v>
      </c>
      <c r="AH513" s="1" t="s">
        <v>58</v>
      </c>
      <c r="AI513" s="1" t="s">
        <v>59</v>
      </c>
      <c r="AJ513" s="1" t="s">
        <v>59</v>
      </c>
      <c r="AK513" s="1" t="s">
        <v>60</v>
      </c>
      <c r="AL513" s="1" t="s">
        <v>60</v>
      </c>
      <c r="AW513" s="1" t="s">
        <v>657</v>
      </c>
      <c r="AY513" s="1">
        <v>1.0</v>
      </c>
      <c r="AZ513" s="1">
        <v>74.99</v>
      </c>
      <c r="BB513" s="1">
        <v>74.99</v>
      </c>
    </row>
    <row r="514">
      <c r="A514" s="1" t="s">
        <v>536</v>
      </c>
      <c r="C514" s="1" t="s">
        <v>56</v>
      </c>
      <c r="D514" s="1" t="s">
        <v>1132</v>
      </c>
      <c r="Y514" s="2">
        <v>45520.0</v>
      </c>
      <c r="AE514" s="1">
        <v>89.99</v>
      </c>
      <c r="AG514" s="3" t="str">
        <f>"2000009053091706"</f>
        <v>2000009053091706</v>
      </c>
      <c r="AH514" s="1" t="s">
        <v>58</v>
      </c>
      <c r="AI514" s="1" t="s">
        <v>59</v>
      </c>
      <c r="AJ514" s="1" t="s">
        <v>59</v>
      </c>
      <c r="AK514" s="1" t="s">
        <v>60</v>
      </c>
      <c r="AL514" s="1" t="s">
        <v>60</v>
      </c>
      <c r="AW514" s="1" t="s">
        <v>538</v>
      </c>
      <c r="AY514" s="1">
        <v>1.0</v>
      </c>
      <c r="AZ514" s="1">
        <v>89.99</v>
      </c>
      <c r="BB514" s="1">
        <v>89.99</v>
      </c>
    </row>
    <row r="515">
      <c r="A515" s="1" t="s">
        <v>803</v>
      </c>
      <c r="C515" s="1" t="s">
        <v>56</v>
      </c>
      <c r="D515" s="1" t="s">
        <v>1133</v>
      </c>
      <c r="Y515" s="2">
        <v>45520.0</v>
      </c>
      <c r="AE515" s="1">
        <v>64.99</v>
      </c>
      <c r="AG515" s="3" t="str">
        <f>"2000006184504649"</f>
        <v>2000006184504649</v>
      </c>
      <c r="AH515" s="1" t="s">
        <v>58</v>
      </c>
      <c r="AI515" s="1" t="s">
        <v>59</v>
      </c>
      <c r="AJ515" s="1" t="s">
        <v>59</v>
      </c>
      <c r="AK515" s="1" t="s">
        <v>60</v>
      </c>
      <c r="AL515" s="1" t="s">
        <v>60</v>
      </c>
      <c r="AW515" s="1" t="s">
        <v>805</v>
      </c>
      <c r="AY515" s="1">
        <v>1.0</v>
      </c>
      <c r="AZ515" s="1">
        <v>64.99</v>
      </c>
      <c r="BB515" s="1">
        <v>64.99</v>
      </c>
    </row>
    <row r="516">
      <c r="A516" s="1" t="s">
        <v>1134</v>
      </c>
      <c r="C516" s="1" t="s">
        <v>56</v>
      </c>
      <c r="D516" s="1" t="s">
        <v>1135</v>
      </c>
      <c r="Y516" s="2">
        <v>45520.0</v>
      </c>
      <c r="AE516" s="1">
        <v>49.99</v>
      </c>
      <c r="AG516" s="3" t="str">
        <f>"2000006184460685"</f>
        <v>2000006184460685</v>
      </c>
      <c r="AH516" s="1" t="s">
        <v>58</v>
      </c>
      <c r="AI516" s="1" t="s">
        <v>59</v>
      </c>
      <c r="AJ516" s="1" t="s">
        <v>59</v>
      </c>
      <c r="AK516" s="1" t="s">
        <v>60</v>
      </c>
      <c r="AL516" s="1" t="s">
        <v>60</v>
      </c>
      <c r="AW516" s="1" t="s">
        <v>1136</v>
      </c>
      <c r="AY516" s="1">
        <v>1.0</v>
      </c>
      <c r="AZ516" s="1">
        <v>49.99</v>
      </c>
      <c r="BB516" s="1">
        <v>49.99</v>
      </c>
    </row>
    <row r="517">
      <c r="A517" s="1" t="s">
        <v>1137</v>
      </c>
      <c r="C517" s="1" t="s">
        <v>235</v>
      </c>
      <c r="D517" s="1" t="s">
        <v>1138</v>
      </c>
      <c r="Y517" s="2">
        <v>45520.0</v>
      </c>
      <c r="AE517" s="1">
        <v>79.99</v>
      </c>
      <c r="AG517" s="3" t="str">
        <f>"2000006182637997"</f>
        <v>2000006182637997</v>
      </c>
      <c r="AH517" s="1" t="s">
        <v>58</v>
      </c>
      <c r="AI517" s="1" t="s">
        <v>59</v>
      </c>
      <c r="AJ517" s="1" t="s">
        <v>59</v>
      </c>
      <c r="AK517" s="1" t="s">
        <v>60</v>
      </c>
      <c r="AL517" s="1" t="s">
        <v>60</v>
      </c>
      <c r="AW517" s="1" t="s">
        <v>1139</v>
      </c>
      <c r="AY517" s="1">
        <v>1.0</v>
      </c>
      <c r="AZ517" s="1">
        <v>79.99</v>
      </c>
      <c r="BB517" s="1">
        <v>79.99</v>
      </c>
    </row>
    <row r="518">
      <c r="A518" s="1" t="s">
        <v>757</v>
      </c>
      <c r="C518" s="1" t="s">
        <v>56</v>
      </c>
      <c r="D518" s="1" t="s">
        <v>1140</v>
      </c>
      <c r="Y518" s="2">
        <v>45520.0</v>
      </c>
      <c r="AE518" s="1">
        <v>499.99</v>
      </c>
      <c r="AG518" s="3" t="str">
        <f>"2000009052951568"</f>
        <v>2000009052951568</v>
      </c>
      <c r="AH518" s="1" t="s">
        <v>58</v>
      </c>
      <c r="AI518" s="1" t="s">
        <v>59</v>
      </c>
      <c r="AJ518" s="1" t="s">
        <v>59</v>
      </c>
      <c r="AK518" s="1" t="s">
        <v>60</v>
      </c>
      <c r="AL518" s="1" t="s">
        <v>60</v>
      </c>
      <c r="AW518" s="1" t="s">
        <v>759</v>
      </c>
      <c r="AY518" s="1">
        <v>1.0</v>
      </c>
      <c r="AZ518" s="1">
        <v>499.99</v>
      </c>
      <c r="BB518" s="1">
        <v>499.99</v>
      </c>
    </row>
    <row r="519">
      <c r="A519" s="1" t="s">
        <v>918</v>
      </c>
      <c r="C519" s="1" t="s">
        <v>56</v>
      </c>
      <c r="D519" s="1" t="s">
        <v>1141</v>
      </c>
      <c r="Y519" s="2">
        <v>45520.0</v>
      </c>
      <c r="AE519" s="1">
        <v>139.99</v>
      </c>
      <c r="AG519" s="3" t="str">
        <f>"2000006184423095"</f>
        <v>2000006184423095</v>
      </c>
      <c r="AH519" s="1" t="s">
        <v>58</v>
      </c>
      <c r="AI519" s="1" t="s">
        <v>59</v>
      </c>
      <c r="AJ519" s="1" t="s">
        <v>59</v>
      </c>
      <c r="AK519" s="1" t="s">
        <v>60</v>
      </c>
      <c r="AL519" s="1" t="s">
        <v>60</v>
      </c>
      <c r="AW519" s="1" t="s">
        <v>920</v>
      </c>
      <c r="AY519" s="1">
        <v>1.0</v>
      </c>
      <c r="AZ519" s="1">
        <v>139.99</v>
      </c>
      <c r="BB519" s="1">
        <v>139.99</v>
      </c>
    </row>
    <row r="520">
      <c r="A520" s="1" t="s">
        <v>1142</v>
      </c>
      <c r="C520" s="1" t="s">
        <v>56</v>
      </c>
      <c r="D520" s="1" t="s">
        <v>1143</v>
      </c>
      <c r="Y520" s="2">
        <v>45520.0</v>
      </c>
      <c r="AE520" s="1">
        <v>89.99</v>
      </c>
      <c r="AG520" s="3" t="str">
        <f>"2000006184294319"</f>
        <v>2000006184294319</v>
      </c>
      <c r="AH520" s="1" t="s">
        <v>58</v>
      </c>
      <c r="AI520" s="1" t="s">
        <v>59</v>
      </c>
      <c r="AJ520" s="1" t="s">
        <v>59</v>
      </c>
      <c r="AK520" s="1" t="s">
        <v>60</v>
      </c>
      <c r="AL520" s="1" t="s">
        <v>60</v>
      </c>
      <c r="AW520" s="1" t="s">
        <v>1144</v>
      </c>
      <c r="AY520" s="1">
        <v>1.0</v>
      </c>
      <c r="AZ520" s="1">
        <v>89.99</v>
      </c>
      <c r="BB520" s="1">
        <v>89.99</v>
      </c>
    </row>
    <row r="521">
      <c r="A521" s="1" t="s">
        <v>207</v>
      </c>
      <c r="C521" s="1" t="s">
        <v>235</v>
      </c>
      <c r="D521" s="1" t="s">
        <v>1145</v>
      </c>
      <c r="Y521" s="2">
        <v>45520.0</v>
      </c>
      <c r="AE521" s="1">
        <v>64.99</v>
      </c>
      <c r="AG521" s="3" t="str">
        <f>"2000006184275517"</f>
        <v>2000006184275517</v>
      </c>
      <c r="AH521" s="1" t="s">
        <v>58</v>
      </c>
      <c r="AI521" s="1" t="s">
        <v>59</v>
      </c>
      <c r="AJ521" s="1" t="s">
        <v>59</v>
      </c>
      <c r="AK521" s="1" t="s">
        <v>60</v>
      </c>
      <c r="AL521" s="1" t="s">
        <v>60</v>
      </c>
      <c r="AW521" s="1" t="s">
        <v>209</v>
      </c>
      <c r="AY521" s="1">
        <v>1.0</v>
      </c>
      <c r="AZ521" s="1">
        <v>64.99</v>
      </c>
      <c r="BB521" s="1">
        <v>64.99</v>
      </c>
    </row>
    <row r="522">
      <c r="A522" s="1" t="s">
        <v>466</v>
      </c>
      <c r="C522" s="1" t="s">
        <v>56</v>
      </c>
      <c r="D522" s="1" t="s">
        <v>1146</v>
      </c>
      <c r="Y522" s="2">
        <v>45520.0</v>
      </c>
      <c r="AE522" s="1">
        <v>94.99</v>
      </c>
      <c r="AG522" s="3" t="str">
        <f>"2000006184254111"</f>
        <v>2000006184254111</v>
      </c>
      <c r="AH522" s="1" t="s">
        <v>58</v>
      </c>
      <c r="AI522" s="1" t="s">
        <v>59</v>
      </c>
      <c r="AJ522" s="1" t="s">
        <v>59</v>
      </c>
      <c r="AK522" s="1" t="s">
        <v>60</v>
      </c>
      <c r="AL522" s="1" t="s">
        <v>60</v>
      </c>
      <c r="AW522" s="1" t="s">
        <v>468</v>
      </c>
      <c r="AY522" s="1">
        <v>1.0</v>
      </c>
      <c r="AZ522" s="1">
        <v>94.99</v>
      </c>
      <c r="BB522" s="1">
        <v>94.99</v>
      </c>
    </row>
    <row r="523">
      <c r="A523" s="1" t="s">
        <v>642</v>
      </c>
      <c r="C523" s="1" t="s">
        <v>56</v>
      </c>
      <c r="D523" s="1" t="s">
        <v>1147</v>
      </c>
      <c r="Y523" s="2">
        <v>45520.0</v>
      </c>
      <c r="AE523" s="1">
        <v>249.99</v>
      </c>
      <c r="AG523" s="3" t="str">
        <f>"2000006184179339"</f>
        <v>2000006184179339</v>
      </c>
      <c r="AH523" s="1" t="s">
        <v>58</v>
      </c>
      <c r="AI523" s="1" t="s">
        <v>59</v>
      </c>
      <c r="AJ523" s="1" t="s">
        <v>59</v>
      </c>
      <c r="AK523" s="1" t="s">
        <v>60</v>
      </c>
      <c r="AL523" s="1" t="s">
        <v>60</v>
      </c>
      <c r="AW523" s="1" t="s">
        <v>644</v>
      </c>
      <c r="AY523" s="1">
        <v>1.0</v>
      </c>
      <c r="AZ523" s="1">
        <v>249.99</v>
      </c>
      <c r="BB523" s="1">
        <v>249.99</v>
      </c>
    </row>
    <row r="524">
      <c r="A524" s="1" t="s">
        <v>1148</v>
      </c>
      <c r="C524" s="1" t="s">
        <v>56</v>
      </c>
      <c r="D524" s="1" t="s">
        <v>1149</v>
      </c>
      <c r="Y524" s="2">
        <v>45520.0</v>
      </c>
      <c r="AE524" s="1">
        <v>64.99</v>
      </c>
      <c r="AG524" s="3" t="str">
        <f>"2000006184031669"</f>
        <v>2000006184031669</v>
      </c>
      <c r="AH524" s="1" t="s">
        <v>58</v>
      </c>
      <c r="AI524" s="1" t="s">
        <v>59</v>
      </c>
      <c r="AJ524" s="1" t="s">
        <v>59</v>
      </c>
      <c r="AK524" s="1" t="s">
        <v>60</v>
      </c>
      <c r="AL524" s="1" t="s">
        <v>60</v>
      </c>
      <c r="AW524" s="1" t="s">
        <v>1150</v>
      </c>
      <c r="AY524" s="1">
        <v>1.0</v>
      </c>
      <c r="AZ524" s="1">
        <v>64.99</v>
      </c>
      <c r="BB524" s="1">
        <v>64.99</v>
      </c>
    </row>
    <row r="525">
      <c r="A525" s="1" t="s">
        <v>71</v>
      </c>
      <c r="C525" s="1" t="s">
        <v>56</v>
      </c>
      <c r="D525" s="1" t="s">
        <v>620</v>
      </c>
      <c r="Y525" s="2">
        <v>45520.0</v>
      </c>
      <c r="AE525" s="1">
        <v>84.99</v>
      </c>
      <c r="AG525" s="3" t="str">
        <f>"2000006183837839"</f>
        <v>2000006183837839</v>
      </c>
      <c r="AH525" s="1" t="s">
        <v>58</v>
      </c>
      <c r="AI525" s="1" t="s">
        <v>59</v>
      </c>
      <c r="AJ525" s="1" t="s">
        <v>59</v>
      </c>
      <c r="AK525" s="1" t="s">
        <v>60</v>
      </c>
      <c r="AL525" s="1" t="s">
        <v>60</v>
      </c>
      <c r="AW525" s="1" t="s">
        <v>73</v>
      </c>
      <c r="AY525" s="1">
        <v>1.0</v>
      </c>
      <c r="AZ525" s="1">
        <v>84.99</v>
      </c>
      <c r="BB525" s="1">
        <v>84.99</v>
      </c>
    </row>
    <row r="526">
      <c r="A526" s="1" t="s">
        <v>619</v>
      </c>
      <c r="C526" s="1" t="s">
        <v>235</v>
      </c>
      <c r="D526" s="1" t="s">
        <v>620</v>
      </c>
      <c r="Y526" s="2">
        <v>45520.0</v>
      </c>
      <c r="AE526" s="1">
        <v>139.99</v>
      </c>
      <c r="AG526" s="3" t="str">
        <f>"2000006183837841"</f>
        <v>2000006183837841</v>
      </c>
      <c r="AH526" s="1" t="s">
        <v>58</v>
      </c>
      <c r="AI526" s="1" t="s">
        <v>59</v>
      </c>
      <c r="AJ526" s="1" t="s">
        <v>59</v>
      </c>
      <c r="AK526" s="1" t="s">
        <v>60</v>
      </c>
      <c r="AL526" s="1" t="s">
        <v>60</v>
      </c>
      <c r="AW526" s="1" t="s">
        <v>621</v>
      </c>
      <c r="AY526" s="1">
        <v>1.0</v>
      </c>
      <c r="AZ526" s="1">
        <v>139.99</v>
      </c>
      <c r="BB526" s="1">
        <v>139.99</v>
      </c>
    </row>
    <row r="527">
      <c r="A527" s="1" t="s">
        <v>505</v>
      </c>
      <c r="C527" s="1" t="s">
        <v>56</v>
      </c>
      <c r="D527" s="1" t="s">
        <v>1151</v>
      </c>
      <c r="Y527" s="2">
        <v>45520.0</v>
      </c>
      <c r="AE527" s="1">
        <v>294.99</v>
      </c>
      <c r="AG527" s="3" t="str">
        <f>"2000009051575560"</f>
        <v>2000009051575560</v>
      </c>
      <c r="AH527" s="1" t="s">
        <v>58</v>
      </c>
      <c r="AI527" s="1" t="s">
        <v>59</v>
      </c>
      <c r="AJ527" s="1" t="s">
        <v>59</v>
      </c>
      <c r="AK527" s="1" t="s">
        <v>60</v>
      </c>
      <c r="AL527" s="1" t="s">
        <v>60</v>
      </c>
      <c r="AW527" s="1" t="s">
        <v>507</v>
      </c>
      <c r="AY527" s="1">
        <v>1.0</v>
      </c>
      <c r="AZ527" s="1">
        <v>294.99</v>
      </c>
      <c r="BB527" s="1">
        <v>294.99</v>
      </c>
    </row>
    <row r="528">
      <c r="A528" s="1" t="s">
        <v>1152</v>
      </c>
      <c r="C528" s="1" t="s">
        <v>56</v>
      </c>
      <c r="D528" s="1" t="s">
        <v>1153</v>
      </c>
      <c r="Y528" s="2">
        <v>45520.0</v>
      </c>
      <c r="AE528" s="1">
        <v>189.99</v>
      </c>
      <c r="AG528" s="3" t="str">
        <f>"2000006183705603"</f>
        <v>2000006183705603</v>
      </c>
      <c r="AH528" s="1" t="s">
        <v>58</v>
      </c>
      <c r="AI528" s="1" t="s">
        <v>59</v>
      </c>
      <c r="AJ528" s="1" t="s">
        <v>59</v>
      </c>
      <c r="AK528" s="1" t="s">
        <v>60</v>
      </c>
      <c r="AL528" s="1" t="s">
        <v>60</v>
      </c>
      <c r="AW528" s="1" t="s">
        <v>1154</v>
      </c>
      <c r="AY528" s="1">
        <v>1.0</v>
      </c>
      <c r="AZ528" s="1">
        <v>189.99</v>
      </c>
      <c r="BB528" s="1">
        <v>189.99</v>
      </c>
    </row>
    <row r="529">
      <c r="A529" s="1" t="s">
        <v>1155</v>
      </c>
      <c r="C529" s="1" t="s">
        <v>56</v>
      </c>
      <c r="D529" s="1" t="s">
        <v>1156</v>
      </c>
      <c r="Y529" s="2">
        <v>45520.0</v>
      </c>
      <c r="AE529" s="1">
        <v>99.99</v>
      </c>
      <c r="AG529" s="3" t="str">
        <f>"2000006183650109"</f>
        <v>2000006183650109</v>
      </c>
      <c r="AH529" s="1" t="s">
        <v>58</v>
      </c>
      <c r="AI529" s="1" t="s">
        <v>59</v>
      </c>
      <c r="AJ529" s="1" t="s">
        <v>59</v>
      </c>
      <c r="AK529" s="1" t="s">
        <v>60</v>
      </c>
      <c r="AL529" s="1" t="s">
        <v>60</v>
      </c>
      <c r="AW529" s="1" t="s">
        <v>1157</v>
      </c>
      <c r="AY529" s="1">
        <v>1.0</v>
      </c>
      <c r="AZ529" s="1">
        <v>99.99</v>
      </c>
      <c r="BB529" s="1">
        <v>99.99</v>
      </c>
    </row>
    <row r="530">
      <c r="A530" s="1" t="s">
        <v>1031</v>
      </c>
      <c r="C530" s="1" t="s">
        <v>56</v>
      </c>
      <c r="D530" s="1" t="s">
        <v>1158</v>
      </c>
      <c r="Y530" s="2">
        <v>45520.0</v>
      </c>
      <c r="AE530" s="1">
        <v>69.99</v>
      </c>
      <c r="AG530" s="3" t="str">
        <f>"2000006183637663"</f>
        <v>2000006183637663</v>
      </c>
      <c r="AH530" s="1" t="s">
        <v>58</v>
      </c>
      <c r="AI530" s="1" t="s">
        <v>59</v>
      </c>
      <c r="AJ530" s="1" t="s">
        <v>59</v>
      </c>
      <c r="AK530" s="1" t="s">
        <v>60</v>
      </c>
      <c r="AL530" s="1" t="s">
        <v>60</v>
      </c>
      <c r="AW530" s="1" t="s">
        <v>1033</v>
      </c>
      <c r="AY530" s="1">
        <v>1.0</v>
      </c>
      <c r="AZ530" s="1">
        <v>69.99</v>
      </c>
      <c r="BB530" s="1">
        <v>69.99</v>
      </c>
    </row>
    <row r="531">
      <c r="A531" s="1" t="s">
        <v>502</v>
      </c>
      <c r="C531" s="1" t="s">
        <v>56</v>
      </c>
      <c r="D531" s="1" t="s">
        <v>1159</v>
      </c>
      <c r="Y531" s="2">
        <v>45520.0</v>
      </c>
      <c r="AE531" s="1">
        <v>99.99</v>
      </c>
      <c r="AG531" s="3" t="str">
        <f>"2000006183603143"</f>
        <v>2000006183603143</v>
      </c>
      <c r="AH531" s="1" t="s">
        <v>58</v>
      </c>
      <c r="AI531" s="1" t="s">
        <v>59</v>
      </c>
      <c r="AJ531" s="1" t="s">
        <v>59</v>
      </c>
      <c r="AK531" s="1" t="s">
        <v>60</v>
      </c>
      <c r="AL531" s="1" t="s">
        <v>60</v>
      </c>
      <c r="AW531" s="1" t="s">
        <v>504</v>
      </c>
      <c r="AY531" s="1">
        <v>1.0</v>
      </c>
      <c r="AZ531" s="1">
        <v>99.99</v>
      </c>
      <c r="BB531" s="1">
        <v>99.99</v>
      </c>
    </row>
    <row r="532">
      <c r="A532" s="1" t="s">
        <v>1160</v>
      </c>
      <c r="C532" s="1" t="s">
        <v>56</v>
      </c>
      <c r="D532" s="1" t="s">
        <v>1161</v>
      </c>
      <c r="Y532" s="2">
        <v>45520.0</v>
      </c>
      <c r="AE532" s="1">
        <v>294.99</v>
      </c>
      <c r="AG532" s="3" t="str">
        <f>"2000009051173130"</f>
        <v>2000009051173130</v>
      </c>
      <c r="AH532" s="1" t="s">
        <v>58</v>
      </c>
      <c r="AI532" s="1" t="s">
        <v>59</v>
      </c>
      <c r="AJ532" s="1" t="s">
        <v>59</v>
      </c>
      <c r="AK532" s="1" t="s">
        <v>60</v>
      </c>
      <c r="AL532" s="1" t="s">
        <v>60</v>
      </c>
      <c r="AW532" s="1" t="s">
        <v>1162</v>
      </c>
      <c r="AY532" s="1">
        <v>1.0</v>
      </c>
      <c r="AZ532" s="1">
        <v>294.99</v>
      </c>
      <c r="BB532" s="1">
        <v>294.99</v>
      </c>
    </row>
    <row r="533">
      <c r="A533" s="1" t="s">
        <v>668</v>
      </c>
      <c r="C533" s="1" t="s">
        <v>56</v>
      </c>
      <c r="D533" s="1" t="s">
        <v>1163</v>
      </c>
      <c r="Y533" s="2">
        <v>45520.0</v>
      </c>
      <c r="AE533" s="1">
        <v>129.99</v>
      </c>
      <c r="AG533" s="3" t="str">
        <f>"2000006183532313"</f>
        <v>2000006183532313</v>
      </c>
      <c r="AH533" s="1" t="s">
        <v>58</v>
      </c>
      <c r="AI533" s="1" t="s">
        <v>59</v>
      </c>
      <c r="AJ533" s="1" t="s">
        <v>59</v>
      </c>
      <c r="AK533" s="1" t="s">
        <v>60</v>
      </c>
      <c r="AL533" s="1" t="s">
        <v>60</v>
      </c>
      <c r="AW533" s="1" t="s">
        <v>670</v>
      </c>
      <c r="AY533" s="1">
        <v>1.0</v>
      </c>
      <c r="AZ533" s="1">
        <v>129.99</v>
      </c>
      <c r="BB533" s="1">
        <v>129.99</v>
      </c>
    </row>
    <row r="534">
      <c r="A534" s="1" t="s">
        <v>721</v>
      </c>
      <c r="C534" s="1" t="s">
        <v>56</v>
      </c>
      <c r="D534" s="1" t="s">
        <v>1164</v>
      </c>
      <c r="Y534" s="2">
        <v>45520.0</v>
      </c>
      <c r="AE534" s="1">
        <v>109.98</v>
      </c>
      <c r="AG534" s="3" t="str">
        <f>"2000006183524851"</f>
        <v>2000006183524851</v>
      </c>
      <c r="AH534" s="1" t="s">
        <v>58</v>
      </c>
      <c r="AI534" s="1" t="s">
        <v>59</v>
      </c>
      <c r="AJ534" s="1" t="s">
        <v>59</v>
      </c>
      <c r="AK534" s="1" t="s">
        <v>60</v>
      </c>
      <c r="AL534" s="1" t="s">
        <v>60</v>
      </c>
      <c r="AW534" s="1" t="s">
        <v>723</v>
      </c>
      <c r="AY534" s="1">
        <v>2.0</v>
      </c>
      <c r="AZ534" s="1">
        <v>54.99</v>
      </c>
      <c r="BB534" s="1">
        <v>109.98</v>
      </c>
    </row>
    <row r="535">
      <c r="A535" s="1" t="s">
        <v>368</v>
      </c>
      <c r="C535" s="1" t="s">
        <v>56</v>
      </c>
      <c r="D535" s="1" t="s">
        <v>863</v>
      </c>
      <c r="Y535" s="2">
        <v>45520.0</v>
      </c>
      <c r="AE535" s="1">
        <v>94.99</v>
      </c>
      <c r="AG535" s="3" t="str">
        <f>"2000006183521893"</f>
        <v>2000006183521893</v>
      </c>
      <c r="AH535" s="1" t="s">
        <v>58</v>
      </c>
      <c r="AI535" s="1" t="s">
        <v>59</v>
      </c>
      <c r="AJ535" s="1" t="s">
        <v>59</v>
      </c>
      <c r="AK535" s="1" t="s">
        <v>60</v>
      </c>
      <c r="AL535" s="1" t="s">
        <v>60</v>
      </c>
      <c r="AW535" s="1" t="s">
        <v>370</v>
      </c>
      <c r="AY535" s="1">
        <v>1.0</v>
      </c>
      <c r="AZ535" s="1">
        <v>94.99</v>
      </c>
      <c r="BB535" s="1">
        <v>94.99</v>
      </c>
    </row>
    <row r="536">
      <c r="A536" s="1" t="s">
        <v>575</v>
      </c>
      <c r="C536" s="1" t="s">
        <v>56</v>
      </c>
      <c r="D536" s="1" t="s">
        <v>1165</v>
      </c>
      <c r="Y536" s="2">
        <v>45520.0</v>
      </c>
      <c r="AE536" s="1">
        <v>49.99</v>
      </c>
      <c r="AG536" s="3" t="str">
        <f>"2000006183510729"</f>
        <v>2000006183510729</v>
      </c>
      <c r="AH536" s="1" t="s">
        <v>58</v>
      </c>
      <c r="AI536" s="1" t="s">
        <v>59</v>
      </c>
      <c r="AJ536" s="1" t="s">
        <v>59</v>
      </c>
      <c r="AK536" s="1" t="s">
        <v>60</v>
      </c>
      <c r="AL536" s="1" t="s">
        <v>60</v>
      </c>
      <c r="AW536" s="1" t="s">
        <v>97</v>
      </c>
      <c r="AY536" s="1">
        <v>1.0</v>
      </c>
      <c r="AZ536" s="1">
        <v>49.99</v>
      </c>
      <c r="BB536" s="1">
        <v>49.99</v>
      </c>
    </row>
    <row r="537">
      <c r="A537" s="1" t="s">
        <v>80</v>
      </c>
      <c r="C537" s="1" t="s">
        <v>56</v>
      </c>
      <c r="D537" s="1" t="s">
        <v>1166</v>
      </c>
      <c r="Y537" s="2">
        <v>45520.0</v>
      </c>
      <c r="AE537" s="1">
        <v>174.99</v>
      </c>
      <c r="AG537" s="3" t="str">
        <f>"2000006183508213"</f>
        <v>2000006183508213</v>
      </c>
      <c r="AH537" s="1" t="s">
        <v>58</v>
      </c>
      <c r="AI537" s="1" t="s">
        <v>59</v>
      </c>
      <c r="AJ537" s="1" t="s">
        <v>59</v>
      </c>
      <c r="AK537" s="1" t="s">
        <v>60</v>
      </c>
      <c r="AL537" s="1" t="s">
        <v>60</v>
      </c>
      <c r="AW537" s="1" t="s">
        <v>82</v>
      </c>
      <c r="AY537" s="1">
        <v>1.0</v>
      </c>
      <c r="AZ537" s="1">
        <v>174.99</v>
      </c>
      <c r="BB537" s="1">
        <v>174.99</v>
      </c>
    </row>
    <row r="538">
      <c r="A538" s="1" t="s">
        <v>293</v>
      </c>
      <c r="C538" s="1" t="s">
        <v>56</v>
      </c>
      <c r="D538" s="1" t="s">
        <v>1167</v>
      </c>
      <c r="Y538" s="2">
        <v>45520.0</v>
      </c>
      <c r="AE538" s="1">
        <v>54.99</v>
      </c>
      <c r="AG538" s="3" t="str">
        <f>"2000006183507035"</f>
        <v>2000006183507035</v>
      </c>
      <c r="AH538" s="1" t="s">
        <v>58</v>
      </c>
      <c r="AI538" s="1" t="s">
        <v>59</v>
      </c>
      <c r="AJ538" s="1" t="s">
        <v>59</v>
      </c>
      <c r="AK538" s="1" t="s">
        <v>60</v>
      </c>
      <c r="AL538" s="1" t="s">
        <v>60</v>
      </c>
      <c r="AW538" s="1" t="s">
        <v>295</v>
      </c>
      <c r="AY538" s="1">
        <v>1.0</v>
      </c>
      <c r="AZ538" s="1">
        <v>54.99</v>
      </c>
      <c r="BB538" s="1">
        <v>54.99</v>
      </c>
    </row>
    <row r="539">
      <c r="A539" s="1" t="s">
        <v>655</v>
      </c>
      <c r="C539" s="1" t="s">
        <v>56</v>
      </c>
      <c r="D539" s="1" t="s">
        <v>1168</v>
      </c>
      <c r="Y539" s="2">
        <v>45520.0</v>
      </c>
      <c r="AE539" s="1">
        <v>74.99</v>
      </c>
      <c r="AG539" s="3" t="str">
        <f>"2000006183513385"</f>
        <v>2000006183513385</v>
      </c>
      <c r="AH539" s="1" t="s">
        <v>58</v>
      </c>
      <c r="AI539" s="1" t="s">
        <v>59</v>
      </c>
      <c r="AJ539" s="1" t="s">
        <v>59</v>
      </c>
      <c r="AK539" s="1" t="s">
        <v>60</v>
      </c>
      <c r="AL539" s="1" t="s">
        <v>60</v>
      </c>
      <c r="AW539" s="1" t="s">
        <v>657</v>
      </c>
      <c r="AY539" s="1">
        <v>1.0</v>
      </c>
      <c r="AZ539" s="1">
        <v>74.99</v>
      </c>
      <c r="BB539" s="1">
        <v>74.99</v>
      </c>
    </row>
    <row r="540">
      <c r="A540" s="1" t="s">
        <v>293</v>
      </c>
      <c r="C540" s="1" t="s">
        <v>56</v>
      </c>
      <c r="D540" s="1" t="s">
        <v>1169</v>
      </c>
      <c r="Y540" s="2">
        <v>45520.0</v>
      </c>
      <c r="AE540" s="1">
        <v>54.99</v>
      </c>
      <c r="AG540" s="3" t="str">
        <f>"2000006183508227"</f>
        <v>2000006183508227</v>
      </c>
      <c r="AH540" s="1" t="s">
        <v>58</v>
      </c>
      <c r="AI540" s="1" t="s">
        <v>59</v>
      </c>
      <c r="AJ540" s="1" t="s">
        <v>59</v>
      </c>
      <c r="AK540" s="1" t="s">
        <v>60</v>
      </c>
      <c r="AL540" s="1" t="s">
        <v>60</v>
      </c>
      <c r="AW540" s="1" t="s">
        <v>295</v>
      </c>
      <c r="AY540" s="1">
        <v>1.0</v>
      </c>
      <c r="AZ540" s="1">
        <v>54.99</v>
      </c>
      <c r="BB540" s="1">
        <v>54.99</v>
      </c>
    </row>
    <row r="541">
      <c r="A541" s="1" t="s">
        <v>1137</v>
      </c>
      <c r="C541" s="1" t="s">
        <v>56</v>
      </c>
      <c r="D541" s="1" t="s">
        <v>1170</v>
      </c>
      <c r="Y541" s="2">
        <v>45520.0</v>
      </c>
      <c r="AE541" s="1">
        <v>79.99</v>
      </c>
      <c r="AG541" s="3" t="str">
        <f>"2000009051093372"</f>
        <v>2000009051093372</v>
      </c>
      <c r="AH541" s="1" t="s">
        <v>58</v>
      </c>
      <c r="AI541" s="1" t="s">
        <v>59</v>
      </c>
      <c r="AJ541" s="1" t="s">
        <v>59</v>
      </c>
      <c r="AK541" s="1" t="s">
        <v>60</v>
      </c>
      <c r="AL541" s="1" t="s">
        <v>60</v>
      </c>
      <c r="AW541" s="1" t="s">
        <v>1139</v>
      </c>
      <c r="AY541" s="1">
        <v>1.0</v>
      </c>
      <c r="AZ541" s="1">
        <v>79.99</v>
      </c>
      <c r="BB541" s="1">
        <v>79.99</v>
      </c>
    </row>
    <row r="542">
      <c r="A542" s="1" t="s">
        <v>872</v>
      </c>
      <c r="C542" s="1" t="s">
        <v>56</v>
      </c>
      <c r="D542" s="1" t="s">
        <v>1171</v>
      </c>
      <c r="Y542" s="2">
        <v>45520.0</v>
      </c>
      <c r="AE542" s="1">
        <v>249.99</v>
      </c>
      <c r="AG542" s="3" t="str">
        <f>"2000009051098654"</f>
        <v>2000009051098654</v>
      </c>
      <c r="AH542" s="1" t="s">
        <v>58</v>
      </c>
      <c r="AI542" s="1" t="s">
        <v>59</v>
      </c>
      <c r="AJ542" s="1" t="s">
        <v>59</v>
      </c>
      <c r="AK542" s="1" t="s">
        <v>60</v>
      </c>
      <c r="AL542" s="1" t="s">
        <v>60</v>
      </c>
      <c r="AW542" s="1" t="s">
        <v>874</v>
      </c>
      <c r="AY542" s="1">
        <v>1.0</v>
      </c>
      <c r="AZ542" s="1">
        <v>249.99</v>
      </c>
      <c r="BB542" s="1">
        <v>249.99</v>
      </c>
    </row>
    <row r="543">
      <c r="A543" s="1" t="s">
        <v>230</v>
      </c>
      <c r="C543" s="1" t="s">
        <v>56</v>
      </c>
      <c r="D543" s="1" t="s">
        <v>1172</v>
      </c>
      <c r="Y543" s="2">
        <v>45520.0</v>
      </c>
      <c r="AE543" s="1">
        <v>54.99</v>
      </c>
      <c r="AG543" s="3" t="str">
        <f>"2000006183460669"</f>
        <v>2000006183460669</v>
      </c>
      <c r="AH543" s="1" t="s">
        <v>58</v>
      </c>
      <c r="AI543" s="1" t="s">
        <v>59</v>
      </c>
      <c r="AJ543" s="1" t="s">
        <v>59</v>
      </c>
      <c r="AK543" s="1" t="s">
        <v>60</v>
      </c>
      <c r="AL543" s="1" t="s">
        <v>60</v>
      </c>
      <c r="AW543" s="1" t="s">
        <v>85</v>
      </c>
      <c r="AY543" s="1">
        <v>1.0</v>
      </c>
      <c r="AZ543" s="1">
        <v>54.99</v>
      </c>
      <c r="BB543" s="1">
        <v>54.99</v>
      </c>
    </row>
    <row r="544">
      <c r="A544" s="1" t="s">
        <v>802</v>
      </c>
      <c r="C544" s="1" t="s">
        <v>56</v>
      </c>
      <c r="D544" s="1" t="s">
        <v>1172</v>
      </c>
      <c r="Y544" s="2">
        <v>45520.0</v>
      </c>
      <c r="AE544" s="1">
        <v>49.99</v>
      </c>
      <c r="AG544" s="3" t="str">
        <f>"2000006183460667"</f>
        <v>2000006183460667</v>
      </c>
      <c r="AH544" s="1" t="s">
        <v>58</v>
      </c>
      <c r="AI544" s="1" t="s">
        <v>59</v>
      </c>
      <c r="AJ544" s="1" t="s">
        <v>59</v>
      </c>
      <c r="AK544" s="1" t="s">
        <v>60</v>
      </c>
      <c r="AL544" s="1" t="s">
        <v>60</v>
      </c>
      <c r="AW544" s="1" t="s">
        <v>70</v>
      </c>
      <c r="AY544" s="1">
        <v>1.0</v>
      </c>
      <c r="AZ544" s="1">
        <v>49.99</v>
      </c>
      <c r="BB544" s="1">
        <v>49.99</v>
      </c>
    </row>
    <row r="545">
      <c r="A545" s="1" t="s">
        <v>83</v>
      </c>
      <c r="C545" s="1" t="s">
        <v>56</v>
      </c>
      <c r="D545" s="1" t="s">
        <v>1173</v>
      </c>
      <c r="Y545" s="2">
        <v>45520.0</v>
      </c>
      <c r="AE545" s="1">
        <v>54.99</v>
      </c>
      <c r="AG545" s="3" t="str">
        <f t="shared" ref="AG545:AG546" si="21">"2000006183450301"</f>
        <v>2000006183450301</v>
      </c>
      <c r="AH545" s="1" t="s">
        <v>58</v>
      </c>
      <c r="AI545" s="1" t="s">
        <v>59</v>
      </c>
      <c r="AJ545" s="1" t="s">
        <v>59</v>
      </c>
      <c r="AK545" s="1" t="s">
        <v>60</v>
      </c>
      <c r="AL545" s="1" t="s">
        <v>60</v>
      </c>
      <c r="AW545" s="1" t="s">
        <v>85</v>
      </c>
      <c r="AY545" s="1">
        <v>1.0</v>
      </c>
      <c r="AZ545" s="1">
        <v>54.99</v>
      </c>
      <c r="BB545" s="1">
        <v>54.99</v>
      </c>
    </row>
    <row r="546">
      <c r="A546" s="1" t="s">
        <v>426</v>
      </c>
      <c r="C546" s="1" t="s">
        <v>56</v>
      </c>
      <c r="D546" s="1" t="s">
        <v>1173</v>
      </c>
      <c r="Y546" s="2">
        <v>45520.0</v>
      </c>
      <c r="AE546" s="1">
        <v>54.99</v>
      </c>
      <c r="AG546" s="3" t="str">
        <f t="shared" si="21"/>
        <v>2000006183450301</v>
      </c>
      <c r="AH546" s="1" t="s">
        <v>58</v>
      </c>
      <c r="AI546" s="1" t="s">
        <v>59</v>
      </c>
      <c r="AJ546" s="1" t="s">
        <v>59</v>
      </c>
      <c r="AK546" s="1" t="s">
        <v>60</v>
      </c>
      <c r="AL546" s="1" t="s">
        <v>60</v>
      </c>
      <c r="AW546" s="1" t="s">
        <v>85</v>
      </c>
      <c r="AY546" s="1">
        <v>1.0</v>
      </c>
      <c r="AZ546" s="1">
        <v>54.99</v>
      </c>
      <c r="BB546" s="1">
        <v>54.99</v>
      </c>
    </row>
    <row r="547">
      <c r="A547" s="1" t="s">
        <v>859</v>
      </c>
      <c r="C547" s="1" t="s">
        <v>56</v>
      </c>
      <c r="D547" s="1" t="s">
        <v>1174</v>
      </c>
      <c r="Y547" s="2">
        <v>45520.0</v>
      </c>
      <c r="AE547" s="1">
        <v>294.99</v>
      </c>
      <c r="AG547" s="3" t="str">
        <f>"2000009051011062"</f>
        <v>2000009051011062</v>
      </c>
      <c r="AH547" s="1" t="s">
        <v>58</v>
      </c>
      <c r="AI547" s="1" t="s">
        <v>59</v>
      </c>
      <c r="AJ547" s="1" t="s">
        <v>59</v>
      </c>
      <c r="AK547" s="1" t="s">
        <v>60</v>
      </c>
      <c r="AL547" s="1" t="s">
        <v>60</v>
      </c>
      <c r="AW547" s="1" t="s">
        <v>861</v>
      </c>
      <c r="AY547" s="1">
        <v>1.0</v>
      </c>
      <c r="AZ547" s="1">
        <v>294.99</v>
      </c>
      <c r="BB547" s="1">
        <v>294.99</v>
      </c>
    </row>
    <row r="548">
      <c r="A548" s="1" t="s">
        <v>390</v>
      </c>
      <c r="C548" s="1" t="s">
        <v>56</v>
      </c>
      <c r="D548" s="1" t="s">
        <v>1175</v>
      </c>
      <c r="Y548" s="2">
        <v>45520.0</v>
      </c>
      <c r="AE548" s="1">
        <v>79.99</v>
      </c>
      <c r="AG548" s="3" t="str">
        <f>"2000006183373557"</f>
        <v>2000006183373557</v>
      </c>
      <c r="AH548" s="1" t="s">
        <v>58</v>
      </c>
      <c r="AI548" s="1" t="s">
        <v>59</v>
      </c>
      <c r="AJ548" s="1" t="s">
        <v>59</v>
      </c>
      <c r="AK548" s="1" t="s">
        <v>60</v>
      </c>
      <c r="AL548" s="1" t="s">
        <v>60</v>
      </c>
      <c r="AW548" s="1" t="s">
        <v>392</v>
      </c>
      <c r="AY548" s="1">
        <v>1.0</v>
      </c>
      <c r="AZ548" s="1">
        <v>79.99</v>
      </c>
      <c r="BB548" s="1">
        <v>79.99</v>
      </c>
    </row>
    <row r="549">
      <c r="A549" s="1" t="s">
        <v>131</v>
      </c>
      <c r="C549" s="1" t="s">
        <v>56</v>
      </c>
      <c r="D549" s="1" t="s">
        <v>1176</v>
      </c>
      <c r="Y549" s="2">
        <v>45520.0</v>
      </c>
      <c r="AE549" s="1">
        <v>54.99</v>
      </c>
      <c r="AG549" s="3" t="str">
        <f>"2000006183352331"</f>
        <v>2000006183352331</v>
      </c>
      <c r="AH549" s="1" t="s">
        <v>58</v>
      </c>
      <c r="AI549" s="1" t="s">
        <v>59</v>
      </c>
      <c r="AJ549" s="1" t="s">
        <v>59</v>
      </c>
      <c r="AK549" s="1" t="s">
        <v>60</v>
      </c>
      <c r="AL549" s="1" t="s">
        <v>60</v>
      </c>
      <c r="AW549" s="1" t="s">
        <v>133</v>
      </c>
      <c r="AY549" s="1">
        <v>1.0</v>
      </c>
      <c r="AZ549" s="1">
        <v>54.99</v>
      </c>
      <c r="BB549" s="1">
        <v>54.99</v>
      </c>
    </row>
    <row r="550">
      <c r="A550" s="1" t="s">
        <v>1177</v>
      </c>
      <c r="C550" s="1" t="s">
        <v>56</v>
      </c>
      <c r="D550" s="1" t="s">
        <v>1178</v>
      </c>
      <c r="Y550" s="2">
        <v>45520.0</v>
      </c>
      <c r="AE550" s="1">
        <v>129.99</v>
      </c>
      <c r="AG550" s="3" t="str">
        <f>"2000006183344273"</f>
        <v>2000006183344273</v>
      </c>
      <c r="AH550" s="1" t="s">
        <v>58</v>
      </c>
      <c r="AI550" s="1" t="s">
        <v>59</v>
      </c>
      <c r="AJ550" s="1" t="s">
        <v>59</v>
      </c>
      <c r="AK550" s="1" t="s">
        <v>60</v>
      </c>
      <c r="AL550" s="1" t="s">
        <v>60</v>
      </c>
      <c r="AW550" s="1" t="s">
        <v>1179</v>
      </c>
      <c r="AY550" s="1">
        <v>1.0</v>
      </c>
      <c r="AZ550" s="1">
        <v>129.99</v>
      </c>
      <c r="BB550" s="1">
        <v>129.99</v>
      </c>
    </row>
    <row r="551">
      <c r="A551" s="1" t="s">
        <v>921</v>
      </c>
      <c r="C551" s="1" t="s">
        <v>56</v>
      </c>
      <c r="D551" s="1" t="s">
        <v>1180</v>
      </c>
      <c r="Y551" s="2">
        <v>45520.0</v>
      </c>
      <c r="AE551" s="1">
        <v>36.68</v>
      </c>
      <c r="AG551" s="3" t="str">
        <f>"2000006183301617"</f>
        <v>2000006183301617</v>
      </c>
      <c r="AH551" s="1" t="s">
        <v>58</v>
      </c>
      <c r="AI551" s="1" t="s">
        <v>59</v>
      </c>
      <c r="AJ551" s="1" t="s">
        <v>59</v>
      </c>
      <c r="AK551" s="1" t="s">
        <v>60</v>
      </c>
      <c r="AL551" s="1" t="s">
        <v>60</v>
      </c>
      <c r="AW551" s="1" t="s">
        <v>923</v>
      </c>
      <c r="AY551" s="1">
        <v>1.0</v>
      </c>
      <c r="AZ551" s="1">
        <v>36.68</v>
      </c>
      <c r="BB551" s="1">
        <v>36.68</v>
      </c>
    </row>
    <row r="552">
      <c r="A552" s="1" t="s">
        <v>1181</v>
      </c>
      <c r="C552" s="1" t="s">
        <v>56</v>
      </c>
      <c r="D552" s="1" t="s">
        <v>1182</v>
      </c>
      <c r="Y552" s="2">
        <v>45520.0</v>
      </c>
      <c r="AE552" s="1">
        <v>79.99</v>
      </c>
      <c r="AG552" s="3" t="str">
        <f>"2000006183297577"</f>
        <v>2000006183297577</v>
      </c>
      <c r="AH552" s="1" t="s">
        <v>58</v>
      </c>
      <c r="AI552" s="1" t="s">
        <v>59</v>
      </c>
      <c r="AJ552" s="1" t="s">
        <v>59</v>
      </c>
      <c r="AK552" s="1" t="s">
        <v>60</v>
      </c>
      <c r="AL552" s="1" t="s">
        <v>60</v>
      </c>
      <c r="AW552" s="1" t="s">
        <v>1183</v>
      </c>
      <c r="AY552" s="1">
        <v>1.0</v>
      </c>
      <c r="AZ552" s="1">
        <v>79.99</v>
      </c>
      <c r="BB552" s="1">
        <v>79.99</v>
      </c>
    </row>
    <row r="553">
      <c r="A553" s="1" t="s">
        <v>1184</v>
      </c>
      <c r="C553" s="1" t="s">
        <v>56</v>
      </c>
      <c r="D553" s="1" t="s">
        <v>1185</v>
      </c>
      <c r="Y553" s="2">
        <v>45520.0</v>
      </c>
      <c r="AE553" s="1">
        <v>49.99</v>
      </c>
      <c r="AG553" s="3" t="str">
        <f>"2000006183287601"</f>
        <v>2000006183287601</v>
      </c>
      <c r="AH553" s="1" t="s">
        <v>58</v>
      </c>
      <c r="AI553" s="1" t="s">
        <v>59</v>
      </c>
      <c r="AJ553" s="1" t="s">
        <v>59</v>
      </c>
      <c r="AK553" s="1" t="s">
        <v>60</v>
      </c>
      <c r="AL553" s="1" t="s">
        <v>60</v>
      </c>
      <c r="AW553" s="1" t="s">
        <v>972</v>
      </c>
      <c r="AY553" s="1">
        <v>1.0</v>
      </c>
      <c r="AZ553" s="1">
        <v>49.99</v>
      </c>
      <c r="BB553" s="1">
        <v>49.99</v>
      </c>
    </row>
    <row r="554">
      <c r="A554" s="1" t="s">
        <v>1155</v>
      </c>
      <c r="C554" s="1" t="s">
        <v>56</v>
      </c>
      <c r="D554" s="1" t="s">
        <v>1185</v>
      </c>
      <c r="Y554" s="2">
        <v>45520.0</v>
      </c>
      <c r="AE554" s="1">
        <v>99.99</v>
      </c>
      <c r="AG554" s="3" t="str">
        <f>"2000006183287599"</f>
        <v>2000006183287599</v>
      </c>
      <c r="AH554" s="1" t="s">
        <v>58</v>
      </c>
      <c r="AI554" s="1" t="s">
        <v>59</v>
      </c>
      <c r="AJ554" s="1" t="s">
        <v>59</v>
      </c>
      <c r="AK554" s="1" t="s">
        <v>60</v>
      </c>
      <c r="AL554" s="1" t="s">
        <v>60</v>
      </c>
      <c r="AW554" s="1" t="s">
        <v>1157</v>
      </c>
      <c r="AY554" s="1">
        <v>1.0</v>
      </c>
      <c r="AZ554" s="1">
        <v>99.99</v>
      </c>
      <c r="BB554" s="1">
        <v>99.99</v>
      </c>
    </row>
    <row r="555">
      <c r="A555" s="1" t="s">
        <v>428</v>
      </c>
      <c r="C555" s="1" t="s">
        <v>56</v>
      </c>
      <c r="D555" s="1" t="s">
        <v>1186</v>
      </c>
      <c r="Y555" s="2">
        <v>45520.0</v>
      </c>
      <c r="AE555" s="1">
        <v>279.99</v>
      </c>
      <c r="AG555" s="3" t="str">
        <f>"2000006183275999"</f>
        <v>2000006183275999</v>
      </c>
      <c r="AH555" s="1" t="s">
        <v>58</v>
      </c>
      <c r="AI555" s="1" t="s">
        <v>59</v>
      </c>
      <c r="AJ555" s="1" t="s">
        <v>59</v>
      </c>
      <c r="AK555" s="1" t="s">
        <v>60</v>
      </c>
      <c r="AL555" s="1" t="s">
        <v>60</v>
      </c>
      <c r="AW555" s="1" t="s">
        <v>430</v>
      </c>
      <c r="AY555" s="1">
        <v>1.0</v>
      </c>
      <c r="AZ555" s="1">
        <v>279.99</v>
      </c>
      <c r="BB555" s="1">
        <v>279.99</v>
      </c>
    </row>
    <row r="556">
      <c r="A556" s="1" t="s">
        <v>169</v>
      </c>
      <c r="C556" s="1" t="s">
        <v>56</v>
      </c>
      <c r="D556" s="1" t="s">
        <v>1187</v>
      </c>
      <c r="Y556" s="2">
        <v>45518.0</v>
      </c>
      <c r="AE556" s="1">
        <v>109.99</v>
      </c>
      <c r="AG556" s="3" t="str">
        <f>"2000009038022518"</f>
        <v>2000009038022518</v>
      </c>
      <c r="AH556" s="1" t="s">
        <v>58</v>
      </c>
      <c r="AI556" s="1" t="s">
        <v>59</v>
      </c>
      <c r="AJ556" s="1" t="s">
        <v>59</v>
      </c>
      <c r="AK556" s="1" t="s">
        <v>60</v>
      </c>
      <c r="AL556" s="1" t="s">
        <v>60</v>
      </c>
      <c r="AW556" s="1" t="s">
        <v>171</v>
      </c>
      <c r="AY556" s="1">
        <v>1.0</v>
      </c>
      <c r="AZ556" s="1">
        <v>109.99</v>
      </c>
      <c r="BB556" s="1">
        <v>109.99</v>
      </c>
    </row>
    <row r="557">
      <c r="A557" s="1" t="s">
        <v>1188</v>
      </c>
      <c r="C557" s="1" t="s">
        <v>56</v>
      </c>
      <c r="D557" s="1" t="s">
        <v>1189</v>
      </c>
      <c r="Y557" s="2">
        <v>45519.0</v>
      </c>
      <c r="AE557" s="1">
        <v>64.99</v>
      </c>
      <c r="AG557" s="3" t="str">
        <f>"2000006183239771"</f>
        <v>2000006183239771</v>
      </c>
      <c r="AH557" s="1" t="s">
        <v>58</v>
      </c>
      <c r="AI557" s="1" t="s">
        <v>59</v>
      </c>
      <c r="AJ557" s="1" t="s">
        <v>59</v>
      </c>
      <c r="AK557" s="1" t="s">
        <v>60</v>
      </c>
      <c r="AL557" s="1" t="s">
        <v>60</v>
      </c>
      <c r="AW557" s="1" t="s">
        <v>1190</v>
      </c>
      <c r="AY557" s="1">
        <v>1.0</v>
      </c>
      <c r="AZ557" s="1">
        <v>64.99</v>
      </c>
      <c r="BB557" s="1">
        <v>64.99</v>
      </c>
    </row>
    <row r="558">
      <c r="A558" s="1" t="s">
        <v>1191</v>
      </c>
      <c r="C558" s="1" t="s">
        <v>56</v>
      </c>
      <c r="D558" s="1" t="s">
        <v>1192</v>
      </c>
      <c r="Y558" s="2">
        <v>45519.0</v>
      </c>
      <c r="AE558" s="1">
        <v>49.99</v>
      </c>
      <c r="AG558" s="3" t="str">
        <f>"2000006183226483"</f>
        <v>2000006183226483</v>
      </c>
      <c r="AH558" s="1" t="s">
        <v>58</v>
      </c>
      <c r="AI558" s="1" t="s">
        <v>59</v>
      </c>
      <c r="AJ558" s="1" t="s">
        <v>59</v>
      </c>
      <c r="AK558" s="1" t="s">
        <v>60</v>
      </c>
      <c r="AL558" s="1" t="s">
        <v>60</v>
      </c>
      <c r="AW558" s="1" t="s">
        <v>1193</v>
      </c>
      <c r="AY558" s="1">
        <v>1.0</v>
      </c>
      <c r="AZ558" s="1">
        <v>49.99</v>
      </c>
      <c r="BB558" s="1">
        <v>49.99</v>
      </c>
    </row>
    <row r="559">
      <c r="A559" s="1" t="s">
        <v>933</v>
      </c>
      <c r="C559" s="1" t="s">
        <v>56</v>
      </c>
      <c r="D559" s="1" t="s">
        <v>1194</v>
      </c>
      <c r="Y559" s="2">
        <v>45519.0</v>
      </c>
      <c r="AE559" s="1">
        <v>79.99</v>
      </c>
      <c r="AG559" s="3" t="str">
        <f>"2000006183222029"</f>
        <v>2000006183222029</v>
      </c>
      <c r="AH559" s="1" t="s">
        <v>58</v>
      </c>
      <c r="AI559" s="1" t="s">
        <v>59</v>
      </c>
      <c r="AJ559" s="1" t="s">
        <v>59</v>
      </c>
      <c r="AK559" s="1" t="s">
        <v>60</v>
      </c>
      <c r="AL559" s="1" t="s">
        <v>60</v>
      </c>
      <c r="AW559" s="1" t="s">
        <v>935</v>
      </c>
      <c r="AY559" s="1">
        <v>1.0</v>
      </c>
      <c r="AZ559" s="1">
        <v>79.99</v>
      </c>
      <c r="BB559" s="1">
        <v>79.99</v>
      </c>
    </row>
    <row r="560">
      <c r="A560" s="1" t="s">
        <v>1195</v>
      </c>
      <c r="C560" s="1" t="s">
        <v>56</v>
      </c>
      <c r="D560" s="1" t="s">
        <v>1196</v>
      </c>
      <c r="Y560" s="2">
        <v>45519.0</v>
      </c>
      <c r="AE560" s="1">
        <v>75.98</v>
      </c>
      <c r="AG560" s="3" t="str">
        <f>"2000006183223375"</f>
        <v>2000006183223375</v>
      </c>
      <c r="AH560" s="1" t="s">
        <v>58</v>
      </c>
      <c r="AI560" s="1" t="s">
        <v>59</v>
      </c>
      <c r="AJ560" s="1" t="s">
        <v>59</v>
      </c>
      <c r="AK560" s="1" t="s">
        <v>60</v>
      </c>
      <c r="AL560" s="1" t="s">
        <v>60</v>
      </c>
      <c r="AW560" s="1" t="s">
        <v>1197</v>
      </c>
      <c r="AY560" s="1">
        <v>2.0</v>
      </c>
      <c r="AZ560" s="1">
        <v>37.99</v>
      </c>
      <c r="BB560" s="1">
        <v>75.98</v>
      </c>
    </row>
    <row r="561">
      <c r="A561" s="1" t="s">
        <v>1198</v>
      </c>
      <c r="C561" s="1" t="s">
        <v>56</v>
      </c>
      <c r="D561" s="1" t="s">
        <v>1199</v>
      </c>
      <c r="Y561" s="2">
        <v>45519.0</v>
      </c>
      <c r="AE561" s="1">
        <v>59.99</v>
      </c>
      <c r="AG561" s="3" t="str">
        <f>"2000006183220021"</f>
        <v>2000006183220021</v>
      </c>
      <c r="AH561" s="1" t="s">
        <v>58</v>
      </c>
      <c r="AI561" s="1" t="s">
        <v>59</v>
      </c>
      <c r="AJ561" s="1" t="s">
        <v>59</v>
      </c>
      <c r="AK561" s="1" t="s">
        <v>60</v>
      </c>
      <c r="AL561" s="1" t="s">
        <v>60</v>
      </c>
      <c r="AW561" s="1" t="s">
        <v>1200</v>
      </c>
      <c r="AY561" s="1">
        <v>1.0</v>
      </c>
      <c r="AZ561" s="1">
        <v>59.99</v>
      </c>
      <c r="BB561" s="1">
        <v>59.99</v>
      </c>
    </row>
    <row r="562">
      <c r="A562" s="1" t="s">
        <v>80</v>
      </c>
      <c r="C562" s="1" t="s">
        <v>56</v>
      </c>
      <c r="D562" s="1" t="s">
        <v>1201</v>
      </c>
      <c r="Y562" s="2">
        <v>45519.0</v>
      </c>
      <c r="AE562" s="1">
        <v>174.99</v>
      </c>
      <c r="AG562" s="3" t="str">
        <f>"2000006183219965"</f>
        <v>2000006183219965</v>
      </c>
      <c r="AH562" s="1" t="s">
        <v>58</v>
      </c>
      <c r="AI562" s="1" t="s">
        <v>59</v>
      </c>
      <c r="AJ562" s="1" t="s">
        <v>59</v>
      </c>
      <c r="AK562" s="1" t="s">
        <v>60</v>
      </c>
      <c r="AL562" s="1" t="s">
        <v>60</v>
      </c>
      <c r="AW562" s="1" t="s">
        <v>82</v>
      </c>
      <c r="AY562" s="1">
        <v>1.0</v>
      </c>
      <c r="AZ562" s="1">
        <v>174.99</v>
      </c>
      <c r="BB562" s="1">
        <v>174.99</v>
      </c>
    </row>
    <row r="563">
      <c r="A563" s="1" t="s">
        <v>1202</v>
      </c>
      <c r="C563" s="1" t="s">
        <v>56</v>
      </c>
      <c r="D563" s="1" t="s">
        <v>1203</v>
      </c>
      <c r="Y563" s="2">
        <v>45519.0</v>
      </c>
      <c r="AE563" s="1">
        <v>39.99</v>
      </c>
      <c r="AG563" s="3" t="str">
        <f>"2000006183214057"</f>
        <v>2000006183214057</v>
      </c>
      <c r="AH563" s="1" t="s">
        <v>58</v>
      </c>
      <c r="AI563" s="1" t="s">
        <v>59</v>
      </c>
      <c r="AJ563" s="1" t="s">
        <v>59</v>
      </c>
      <c r="AK563" s="1" t="s">
        <v>60</v>
      </c>
      <c r="AL563" s="1" t="s">
        <v>60</v>
      </c>
      <c r="AW563" s="1" t="s">
        <v>1204</v>
      </c>
      <c r="AY563" s="1">
        <v>1.0</v>
      </c>
      <c r="AZ563" s="1">
        <v>39.99</v>
      </c>
      <c r="BB563" s="1">
        <v>39.99</v>
      </c>
    </row>
    <row r="564">
      <c r="A564" s="1" t="s">
        <v>191</v>
      </c>
      <c r="C564" s="1" t="s">
        <v>56</v>
      </c>
      <c r="D564" s="1" t="s">
        <v>1205</v>
      </c>
      <c r="Y564" s="2">
        <v>45519.0</v>
      </c>
      <c r="AE564" s="1">
        <v>249.99</v>
      </c>
      <c r="AG564" s="3" t="str">
        <f>"2000009050491516"</f>
        <v>2000009050491516</v>
      </c>
      <c r="AH564" s="1" t="s">
        <v>58</v>
      </c>
      <c r="AI564" s="1" t="s">
        <v>59</v>
      </c>
      <c r="AJ564" s="1" t="s">
        <v>59</v>
      </c>
      <c r="AK564" s="1" t="s">
        <v>60</v>
      </c>
      <c r="AL564" s="1" t="s">
        <v>60</v>
      </c>
      <c r="AW564" s="1" t="s">
        <v>1206</v>
      </c>
      <c r="AY564" s="1">
        <v>1.0</v>
      </c>
      <c r="AZ564" s="1">
        <v>249.99</v>
      </c>
      <c r="BB564" s="1">
        <v>249.99</v>
      </c>
    </row>
    <row r="565">
      <c r="A565" s="1" t="s">
        <v>236</v>
      </c>
      <c r="C565" s="1" t="s">
        <v>56</v>
      </c>
      <c r="D565" s="1" t="s">
        <v>1207</v>
      </c>
      <c r="Y565" s="2">
        <v>45519.0</v>
      </c>
      <c r="AE565" s="1">
        <v>119.99</v>
      </c>
      <c r="AG565" s="3" t="str">
        <f>"2000006183046681"</f>
        <v>2000006183046681</v>
      </c>
      <c r="AH565" s="1" t="s">
        <v>58</v>
      </c>
      <c r="AI565" s="1" t="s">
        <v>59</v>
      </c>
      <c r="AJ565" s="1" t="s">
        <v>59</v>
      </c>
      <c r="AK565" s="1" t="s">
        <v>60</v>
      </c>
      <c r="AL565" s="1" t="s">
        <v>60</v>
      </c>
      <c r="AW565" s="1" t="s">
        <v>238</v>
      </c>
      <c r="AY565" s="1">
        <v>1.0</v>
      </c>
      <c r="AZ565" s="1">
        <v>119.99</v>
      </c>
      <c r="BB565" s="1">
        <v>119.99</v>
      </c>
    </row>
    <row r="566">
      <c r="A566" s="1" t="s">
        <v>668</v>
      </c>
      <c r="C566" s="1" t="s">
        <v>235</v>
      </c>
      <c r="D566" s="1" t="s">
        <v>1208</v>
      </c>
      <c r="Y566" s="2">
        <v>45519.0</v>
      </c>
      <c r="AE566" s="1">
        <v>129.99</v>
      </c>
      <c r="AG566" s="3" t="str">
        <f>"2000009050389294"</f>
        <v>2000009050389294</v>
      </c>
      <c r="AH566" s="1" t="s">
        <v>58</v>
      </c>
      <c r="AI566" s="1" t="s">
        <v>59</v>
      </c>
      <c r="AJ566" s="1" t="s">
        <v>59</v>
      </c>
      <c r="AK566" s="1" t="s">
        <v>60</v>
      </c>
      <c r="AL566" s="1" t="s">
        <v>60</v>
      </c>
      <c r="AW566" s="1" t="s">
        <v>670</v>
      </c>
      <c r="AY566" s="1">
        <v>1.0</v>
      </c>
      <c r="AZ566" s="1">
        <v>129.99</v>
      </c>
      <c r="BB566" s="1">
        <v>129.99</v>
      </c>
    </row>
    <row r="567">
      <c r="A567" s="1" t="s">
        <v>1209</v>
      </c>
      <c r="C567" s="1" t="s">
        <v>56</v>
      </c>
      <c r="D567" s="1" t="s">
        <v>1210</v>
      </c>
      <c r="Y567" s="2">
        <v>45519.0</v>
      </c>
      <c r="AE567" s="1">
        <v>49.99</v>
      </c>
      <c r="AG567" s="3" t="str">
        <f>"2000006183015681"</f>
        <v>2000006183015681</v>
      </c>
      <c r="AH567" s="1" t="s">
        <v>58</v>
      </c>
      <c r="AI567" s="1" t="s">
        <v>59</v>
      </c>
      <c r="AJ567" s="1" t="s">
        <v>59</v>
      </c>
      <c r="AK567" s="1" t="s">
        <v>60</v>
      </c>
      <c r="AL567" s="1" t="s">
        <v>60</v>
      </c>
      <c r="AW567" s="1" t="s">
        <v>1211</v>
      </c>
      <c r="AY567" s="1">
        <v>1.0</v>
      </c>
      <c r="AZ567" s="1">
        <v>49.99</v>
      </c>
      <c r="BB567" s="1">
        <v>49.99</v>
      </c>
    </row>
    <row r="568">
      <c r="A568" s="1" t="s">
        <v>1212</v>
      </c>
      <c r="C568" s="1" t="s">
        <v>56</v>
      </c>
      <c r="D568" s="1" t="s">
        <v>1213</v>
      </c>
      <c r="Y568" s="2">
        <v>45519.0</v>
      </c>
      <c r="AE568" s="1">
        <v>89.99</v>
      </c>
      <c r="AG568" s="3" t="str">
        <f>"2000006183013549"</f>
        <v>2000006183013549</v>
      </c>
      <c r="AH568" s="1" t="s">
        <v>58</v>
      </c>
      <c r="AI568" s="1" t="s">
        <v>59</v>
      </c>
      <c r="AJ568" s="1" t="s">
        <v>59</v>
      </c>
      <c r="AK568" s="1" t="s">
        <v>60</v>
      </c>
      <c r="AL568" s="1" t="s">
        <v>60</v>
      </c>
      <c r="AW568" s="1" t="s">
        <v>1214</v>
      </c>
      <c r="AY568" s="1">
        <v>1.0</v>
      </c>
      <c r="AZ568" s="1">
        <v>89.99</v>
      </c>
      <c r="BB568" s="1">
        <v>89.99</v>
      </c>
    </row>
    <row r="569">
      <c r="A569" s="1" t="s">
        <v>185</v>
      </c>
      <c r="C569" s="1" t="s">
        <v>56</v>
      </c>
      <c r="D569" s="1" t="s">
        <v>1215</v>
      </c>
      <c r="Y569" s="2">
        <v>45519.0</v>
      </c>
      <c r="AE569" s="1">
        <v>124.99</v>
      </c>
      <c r="AG569" s="3" t="str">
        <f>"2000006182999261"</f>
        <v>2000006182999261</v>
      </c>
      <c r="AH569" s="1" t="s">
        <v>58</v>
      </c>
      <c r="AI569" s="1" t="s">
        <v>59</v>
      </c>
      <c r="AJ569" s="1" t="s">
        <v>59</v>
      </c>
      <c r="AK569" s="1" t="s">
        <v>60</v>
      </c>
      <c r="AL569" s="1" t="s">
        <v>60</v>
      </c>
      <c r="AW569" s="1" t="s">
        <v>187</v>
      </c>
      <c r="AY569" s="1">
        <v>1.0</v>
      </c>
      <c r="AZ569" s="1">
        <v>124.99</v>
      </c>
      <c r="BB569" s="1">
        <v>124.99</v>
      </c>
    </row>
    <row r="570">
      <c r="A570" s="1" t="s">
        <v>360</v>
      </c>
      <c r="C570" s="1" t="s">
        <v>56</v>
      </c>
      <c r="D570" s="1" t="s">
        <v>1216</v>
      </c>
      <c r="Y570" s="2">
        <v>45519.0</v>
      </c>
      <c r="AE570" s="1">
        <v>47.18</v>
      </c>
      <c r="AG570" s="3" t="str">
        <f>"2000006182961461"</f>
        <v>2000006182961461</v>
      </c>
      <c r="AH570" s="1" t="s">
        <v>58</v>
      </c>
      <c r="AI570" s="1" t="s">
        <v>59</v>
      </c>
      <c r="AJ570" s="1" t="s">
        <v>59</v>
      </c>
      <c r="AK570" s="1" t="s">
        <v>60</v>
      </c>
      <c r="AL570" s="1" t="s">
        <v>60</v>
      </c>
      <c r="AW570" s="1" t="s">
        <v>155</v>
      </c>
      <c r="AY570" s="1">
        <v>1.0</v>
      </c>
      <c r="AZ570" s="1">
        <v>47.18</v>
      </c>
      <c r="BB570" s="1">
        <v>47.18</v>
      </c>
    </row>
    <row r="571">
      <c r="A571" s="1" t="s">
        <v>1217</v>
      </c>
      <c r="C571" s="1" t="s">
        <v>56</v>
      </c>
      <c r="D571" s="1" t="s">
        <v>1218</v>
      </c>
      <c r="Y571" s="2">
        <v>45519.0</v>
      </c>
      <c r="AE571" s="1">
        <v>42.49</v>
      </c>
      <c r="AG571" s="3" t="str">
        <f>"2000006182947401"</f>
        <v>2000006182947401</v>
      </c>
      <c r="AH571" s="1" t="s">
        <v>58</v>
      </c>
      <c r="AI571" s="1" t="s">
        <v>59</v>
      </c>
      <c r="AJ571" s="1" t="s">
        <v>59</v>
      </c>
      <c r="AK571" s="1" t="s">
        <v>60</v>
      </c>
      <c r="AL571" s="1" t="s">
        <v>60</v>
      </c>
      <c r="AW571" s="1" t="s">
        <v>373</v>
      </c>
      <c r="AY571" s="1">
        <v>1.0</v>
      </c>
      <c r="AZ571" s="1">
        <v>42.49</v>
      </c>
      <c r="BB571" s="1">
        <v>42.49</v>
      </c>
    </row>
    <row r="572">
      <c r="A572" s="1" t="s">
        <v>319</v>
      </c>
      <c r="C572" s="1" t="s">
        <v>235</v>
      </c>
      <c r="D572" s="1" t="s">
        <v>320</v>
      </c>
      <c r="Y572" s="2">
        <v>45519.0</v>
      </c>
      <c r="AE572" s="1">
        <v>74.99</v>
      </c>
      <c r="AG572" s="3" t="str">
        <f>"2000009050244474"</f>
        <v>2000009050244474</v>
      </c>
      <c r="AH572" s="1" t="s">
        <v>58</v>
      </c>
      <c r="AI572" s="1" t="s">
        <v>59</v>
      </c>
      <c r="AJ572" s="1" t="s">
        <v>59</v>
      </c>
      <c r="AK572" s="1" t="s">
        <v>60</v>
      </c>
      <c r="AL572" s="1" t="s">
        <v>60</v>
      </c>
      <c r="AW572" s="1" t="s">
        <v>321</v>
      </c>
      <c r="AY572" s="1">
        <v>1.0</v>
      </c>
      <c r="AZ572" s="1">
        <v>74.99</v>
      </c>
      <c r="BB572" s="1">
        <v>74.99</v>
      </c>
    </row>
    <row r="573">
      <c r="A573" s="1" t="s">
        <v>536</v>
      </c>
      <c r="C573" s="1" t="s">
        <v>56</v>
      </c>
      <c r="D573" s="1" t="s">
        <v>1219</v>
      </c>
      <c r="Y573" s="2">
        <v>45519.0</v>
      </c>
      <c r="AE573" s="1">
        <v>89.99</v>
      </c>
      <c r="AG573" s="3" t="str">
        <f>"2000006182930835"</f>
        <v>2000006182930835</v>
      </c>
      <c r="AH573" s="1" t="s">
        <v>58</v>
      </c>
      <c r="AI573" s="1" t="s">
        <v>59</v>
      </c>
      <c r="AJ573" s="1" t="s">
        <v>59</v>
      </c>
      <c r="AK573" s="1" t="s">
        <v>60</v>
      </c>
      <c r="AL573" s="1" t="s">
        <v>60</v>
      </c>
      <c r="AW573" s="1" t="s">
        <v>538</v>
      </c>
      <c r="AY573" s="1">
        <v>1.0</v>
      </c>
      <c r="AZ573" s="1">
        <v>89.99</v>
      </c>
      <c r="BB573" s="1">
        <v>89.99</v>
      </c>
    </row>
    <row r="574">
      <c r="A574" s="1" t="s">
        <v>1057</v>
      </c>
      <c r="C574" s="1" t="s">
        <v>56</v>
      </c>
      <c r="D574" s="1" t="s">
        <v>1220</v>
      </c>
      <c r="Y574" s="2">
        <v>45519.0</v>
      </c>
      <c r="AE574" s="1">
        <v>289.99</v>
      </c>
      <c r="AG574" s="3" t="str">
        <f>"2000009049694510"</f>
        <v>2000009049694510</v>
      </c>
      <c r="AH574" s="1" t="s">
        <v>58</v>
      </c>
      <c r="AI574" s="1" t="s">
        <v>59</v>
      </c>
      <c r="AJ574" s="1" t="s">
        <v>59</v>
      </c>
      <c r="AK574" s="1" t="s">
        <v>60</v>
      </c>
      <c r="AL574" s="1" t="s">
        <v>60</v>
      </c>
      <c r="AW574" s="1" t="s">
        <v>1059</v>
      </c>
      <c r="AY574" s="1">
        <v>1.0</v>
      </c>
      <c r="AZ574" s="1">
        <v>289.99</v>
      </c>
      <c r="BB574" s="1">
        <v>289.99</v>
      </c>
    </row>
    <row r="575">
      <c r="A575" s="1" t="s">
        <v>709</v>
      </c>
      <c r="C575" s="1" t="s">
        <v>56</v>
      </c>
      <c r="D575" s="1" t="s">
        <v>1221</v>
      </c>
      <c r="Y575" s="2">
        <v>45519.0</v>
      </c>
      <c r="AE575" s="1">
        <v>479.99</v>
      </c>
      <c r="AG575" s="3" t="str">
        <f>"2000009050192242"</f>
        <v>2000009050192242</v>
      </c>
      <c r="AH575" s="1" t="s">
        <v>58</v>
      </c>
      <c r="AI575" s="1" t="s">
        <v>59</v>
      </c>
      <c r="AJ575" s="1" t="s">
        <v>59</v>
      </c>
      <c r="AK575" s="1" t="s">
        <v>60</v>
      </c>
      <c r="AL575" s="1" t="s">
        <v>60</v>
      </c>
      <c r="AW575" s="1" t="s">
        <v>711</v>
      </c>
      <c r="AY575" s="1">
        <v>1.0</v>
      </c>
      <c r="AZ575" s="1">
        <v>479.99</v>
      </c>
      <c r="BB575" s="1">
        <v>479.99</v>
      </c>
    </row>
    <row r="576">
      <c r="A576" s="1" t="s">
        <v>125</v>
      </c>
      <c r="C576" s="1" t="s">
        <v>56</v>
      </c>
      <c r="D576" s="1" t="s">
        <v>1222</v>
      </c>
      <c r="Y576" s="2">
        <v>45519.0</v>
      </c>
      <c r="AE576" s="1">
        <v>49.99</v>
      </c>
      <c r="AG576" s="3" t="str">
        <f>"2000006182909445"</f>
        <v>2000006182909445</v>
      </c>
      <c r="AH576" s="1" t="s">
        <v>58</v>
      </c>
      <c r="AI576" s="1" t="s">
        <v>59</v>
      </c>
      <c r="AJ576" s="1" t="s">
        <v>59</v>
      </c>
      <c r="AK576" s="1" t="s">
        <v>60</v>
      </c>
      <c r="AL576" s="1" t="s">
        <v>60</v>
      </c>
      <c r="AW576" s="1" t="s">
        <v>127</v>
      </c>
      <c r="AY576" s="1">
        <v>1.0</v>
      </c>
      <c r="AZ576" s="1">
        <v>49.99</v>
      </c>
      <c r="BB576" s="1">
        <v>49.99</v>
      </c>
    </row>
    <row r="577">
      <c r="A577" s="1" t="s">
        <v>1223</v>
      </c>
      <c r="C577" s="1" t="s">
        <v>56</v>
      </c>
      <c r="D577" s="1" t="s">
        <v>1224</v>
      </c>
      <c r="Y577" s="2">
        <v>45519.0</v>
      </c>
      <c r="AE577" s="1">
        <v>74.99</v>
      </c>
      <c r="AG577" s="3" t="str">
        <f>"2000009050172372"</f>
        <v>2000009050172372</v>
      </c>
      <c r="AH577" s="1" t="s">
        <v>58</v>
      </c>
      <c r="AI577" s="1" t="s">
        <v>59</v>
      </c>
      <c r="AJ577" s="1" t="s">
        <v>59</v>
      </c>
      <c r="AK577" s="1" t="s">
        <v>60</v>
      </c>
      <c r="AL577" s="1" t="s">
        <v>60</v>
      </c>
      <c r="AW577" s="1" t="s">
        <v>1225</v>
      </c>
      <c r="AY577" s="1">
        <v>1.0</v>
      </c>
      <c r="AZ577" s="1">
        <v>74.99</v>
      </c>
      <c r="BB577" s="1">
        <v>74.99</v>
      </c>
    </row>
    <row r="578">
      <c r="A578" s="1" t="s">
        <v>567</v>
      </c>
      <c r="C578" s="1" t="s">
        <v>56</v>
      </c>
      <c r="D578" s="1" t="s">
        <v>1226</v>
      </c>
      <c r="Y578" s="2">
        <v>45519.0</v>
      </c>
      <c r="AE578" s="1">
        <v>44.99</v>
      </c>
      <c r="AG578" s="3" t="str">
        <f>"2000006182876949"</f>
        <v>2000006182876949</v>
      </c>
      <c r="AH578" s="1" t="s">
        <v>58</v>
      </c>
      <c r="AI578" s="1" t="s">
        <v>59</v>
      </c>
      <c r="AJ578" s="1" t="s">
        <v>59</v>
      </c>
      <c r="AK578" s="1" t="s">
        <v>60</v>
      </c>
      <c r="AL578" s="1" t="s">
        <v>60</v>
      </c>
      <c r="AW578" s="1" t="s">
        <v>569</v>
      </c>
      <c r="AY578" s="1">
        <v>1.0</v>
      </c>
      <c r="AZ578" s="1">
        <v>44.99</v>
      </c>
      <c r="BB578" s="1">
        <v>44.99</v>
      </c>
    </row>
    <row r="579">
      <c r="A579" s="1" t="s">
        <v>997</v>
      </c>
      <c r="C579" s="1" t="s">
        <v>56</v>
      </c>
      <c r="D579" s="1" t="s">
        <v>1227</v>
      </c>
      <c r="Y579" s="2">
        <v>45519.0</v>
      </c>
      <c r="AE579" s="1">
        <v>69.99</v>
      </c>
      <c r="AG579" s="3" t="str">
        <f>"2000006182876045"</f>
        <v>2000006182876045</v>
      </c>
      <c r="AH579" s="1" t="s">
        <v>58</v>
      </c>
      <c r="AI579" s="1" t="s">
        <v>59</v>
      </c>
      <c r="AJ579" s="1" t="s">
        <v>59</v>
      </c>
      <c r="AK579" s="1" t="s">
        <v>60</v>
      </c>
      <c r="AL579" s="1" t="s">
        <v>60</v>
      </c>
      <c r="AW579" s="1" t="s">
        <v>999</v>
      </c>
      <c r="AY579" s="1">
        <v>1.0</v>
      </c>
      <c r="AZ579" s="1">
        <v>69.99</v>
      </c>
      <c r="BB579" s="1">
        <v>69.99</v>
      </c>
    </row>
    <row r="580">
      <c r="A580" s="1" t="s">
        <v>1228</v>
      </c>
      <c r="C580" s="1" t="s">
        <v>56</v>
      </c>
      <c r="D580" s="1" t="s">
        <v>1229</v>
      </c>
      <c r="Y580" s="2">
        <v>45519.0</v>
      </c>
      <c r="AE580" s="1">
        <v>109.99</v>
      </c>
      <c r="AG580" s="3" t="str">
        <f>"2000006182832523"</f>
        <v>2000006182832523</v>
      </c>
      <c r="AH580" s="1" t="s">
        <v>58</v>
      </c>
      <c r="AI580" s="1" t="s">
        <v>59</v>
      </c>
      <c r="AJ580" s="1" t="s">
        <v>59</v>
      </c>
      <c r="AK580" s="1" t="s">
        <v>60</v>
      </c>
      <c r="AL580" s="1" t="s">
        <v>60</v>
      </c>
      <c r="AW580" s="1" t="s">
        <v>1230</v>
      </c>
      <c r="AY580" s="1">
        <v>1.0</v>
      </c>
      <c r="AZ580" s="1">
        <v>109.99</v>
      </c>
      <c r="BB580" s="1">
        <v>109.99</v>
      </c>
    </row>
    <row r="581">
      <c r="A581" s="1" t="s">
        <v>212</v>
      </c>
      <c r="C581" s="1" t="s">
        <v>56</v>
      </c>
      <c r="D581" s="1" t="s">
        <v>1231</v>
      </c>
      <c r="Y581" s="2">
        <v>45519.0</v>
      </c>
      <c r="AE581" s="1">
        <v>49.99</v>
      </c>
      <c r="AG581" s="3" t="str">
        <f>"2000006182818227"</f>
        <v>2000006182818227</v>
      </c>
      <c r="AH581" s="1" t="s">
        <v>58</v>
      </c>
      <c r="AI581" s="1" t="s">
        <v>59</v>
      </c>
      <c r="AJ581" s="1" t="s">
        <v>59</v>
      </c>
      <c r="AK581" s="1" t="s">
        <v>60</v>
      </c>
      <c r="AL581" s="1" t="s">
        <v>60</v>
      </c>
      <c r="AW581" s="1" t="s">
        <v>214</v>
      </c>
      <c r="AY581" s="1">
        <v>1.0</v>
      </c>
      <c r="AZ581" s="1">
        <v>49.99</v>
      </c>
      <c r="BB581" s="1">
        <v>49.99</v>
      </c>
    </row>
    <row r="582">
      <c r="A582" s="1" t="s">
        <v>583</v>
      </c>
      <c r="C582" s="1" t="s">
        <v>56</v>
      </c>
      <c r="D582" s="1" t="s">
        <v>1232</v>
      </c>
      <c r="Y582" s="2">
        <v>45519.0</v>
      </c>
      <c r="AE582" s="1">
        <v>269.99</v>
      </c>
      <c r="AG582" s="3" t="str">
        <f>"2000006182798673"</f>
        <v>2000006182798673</v>
      </c>
      <c r="AH582" s="1" t="s">
        <v>58</v>
      </c>
      <c r="AI582" s="1" t="s">
        <v>59</v>
      </c>
      <c r="AJ582" s="1" t="s">
        <v>59</v>
      </c>
      <c r="AK582" s="1" t="s">
        <v>60</v>
      </c>
      <c r="AL582" s="1" t="s">
        <v>60</v>
      </c>
      <c r="AW582" s="1" t="s">
        <v>585</v>
      </c>
      <c r="AY582" s="1">
        <v>1.0</v>
      </c>
      <c r="AZ582" s="1">
        <v>269.99</v>
      </c>
      <c r="BB582" s="1">
        <v>269.99</v>
      </c>
    </row>
    <row r="583">
      <c r="C583" s="1" t="s">
        <v>56</v>
      </c>
      <c r="D583" s="1" t="s">
        <v>1233</v>
      </c>
      <c r="Y583" s="2">
        <v>45519.0</v>
      </c>
      <c r="AE583" s="1">
        <v>49.99</v>
      </c>
      <c r="AG583" s="3" t="str">
        <f>"2000009049948154"</f>
        <v>2000009049948154</v>
      </c>
      <c r="AH583" s="1" t="s">
        <v>58</v>
      </c>
      <c r="AI583" s="1" t="s">
        <v>59</v>
      </c>
      <c r="AJ583" s="1" t="s">
        <v>59</v>
      </c>
      <c r="AK583" s="1" t="s">
        <v>60</v>
      </c>
      <c r="AL583" s="1" t="s">
        <v>60</v>
      </c>
      <c r="AW583" s="1" t="s">
        <v>1234</v>
      </c>
      <c r="AY583" s="1">
        <v>1.0</v>
      </c>
      <c r="AZ583" s="1">
        <v>49.99</v>
      </c>
      <c r="BB583" s="1">
        <v>49.99</v>
      </c>
    </row>
    <row r="584">
      <c r="A584" s="1" t="s">
        <v>694</v>
      </c>
      <c r="C584" s="1" t="s">
        <v>56</v>
      </c>
      <c r="D584" s="1" t="s">
        <v>1235</v>
      </c>
      <c r="Y584" s="2">
        <v>45519.0</v>
      </c>
      <c r="AE584" s="1">
        <v>64.99</v>
      </c>
      <c r="AG584" s="3" t="str">
        <f>"2000006182745093"</f>
        <v>2000006182745093</v>
      </c>
      <c r="AH584" s="1" t="s">
        <v>58</v>
      </c>
      <c r="AI584" s="1" t="s">
        <v>59</v>
      </c>
      <c r="AJ584" s="1" t="s">
        <v>59</v>
      </c>
      <c r="AK584" s="1" t="s">
        <v>60</v>
      </c>
      <c r="AL584" s="1" t="s">
        <v>60</v>
      </c>
      <c r="AW584" s="1" t="s">
        <v>328</v>
      </c>
      <c r="AY584" s="1">
        <v>1.0</v>
      </c>
      <c r="AZ584" s="1">
        <v>64.99</v>
      </c>
      <c r="BB584" s="1">
        <v>64.99</v>
      </c>
    </row>
    <row r="585">
      <c r="A585" s="1" t="s">
        <v>428</v>
      </c>
      <c r="C585" s="1" t="s">
        <v>56</v>
      </c>
      <c r="D585" s="1" t="s">
        <v>1236</v>
      </c>
      <c r="Y585" s="2">
        <v>45519.0</v>
      </c>
      <c r="AE585" s="1">
        <v>279.99</v>
      </c>
      <c r="AG585" s="3" t="str">
        <f>"2000006182732289"</f>
        <v>2000006182732289</v>
      </c>
      <c r="AH585" s="1" t="s">
        <v>58</v>
      </c>
      <c r="AI585" s="1" t="s">
        <v>59</v>
      </c>
      <c r="AJ585" s="1" t="s">
        <v>59</v>
      </c>
      <c r="AK585" s="1" t="s">
        <v>60</v>
      </c>
      <c r="AL585" s="1" t="s">
        <v>60</v>
      </c>
      <c r="AW585" s="1" t="s">
        <v>430</v>
      </c>
      <c r="AY585" s="1">
        <v>1.0</v>
      </c>
      <c r="AZ585" s="1">
        <v>279.99</v>
      </c>
      <c r="BB585" s="1">
        <v>279.99</v>
      </c>
    </row>
    <row r="586">
      <c r="A586" s="1" t="s">
        <v>77</v>
      </c>
      <c r="C586" s="1" t="s">
        <v>56</v>
      </c>
      <c r="D586" s="1" t="s">
        <v>1237</v>
      </c>
      <c r="Y586" s="2">
        <v>45519.0</v>
      </c>
      <c r="AE586" s="1">
        <v>64.99</v>
      </c>
      <c r="AG586" s="3" t="str">
        <f>"2000006182699657"</f>
        <v>2000006182699657</v>
      </c>
      <c r="AH586" s="1" t="s">
        <v>58</v>
      </c>
      <c r="AI586" s="1" t="s">
        <v>59</v>
      </c>
      <c r="AJ586" s="1" t="s">
        <v>59</v>
      </c>
      <c r="AK586" s="1" t="s">
        <v>60</v>
      </c>
      <c r="AL586" s="1" t="s">
        <v>60</v>
      </c>
      <c r="AW586" s="1" t="s">
        <v>79</v>
      </c>
      <c r="AY586" s="1">
        <v>1.0</v>
      </c>
      <c r="AZ586" s="1">
        <v>64.99</v>
      </c>
      <c r="BB586" s="1">
        <v>64.99</v>
      </c>
    </row>
    <row r="587">
      <c r="A587" s="1" t="s">
        <v>400</v>
      </c>
      <c r="C587" s="1" t="s">
        <v>56</v>
      </c>
      <c r="D587" s="1" t="s">
        <v>1238</v>
      </c>
      <c r="Y587" s="2">
        <v>45519.0</v>
      </c>
      <c r="AE587" s="1">
        <v>109.99</v>
      </c>
      <c r="AG587" s="3" t="str">
        <f>"2000006182636025"</f>
        <v>2000006182636025</v>
      </c>
      <c r="AH587" s="1" t="s">
        <v>58</v>
      </c>
      <c r="AI587" s="1" t="s">
        <v>59</v>
      </c>
      <c r="AJ587" s="1" t="s">
        <v>59</v>
      </c>
      <c r="AK587" s="1" t="s">
        <v>60</v>
      </c>
      <c r="AL587" s="1" t="s">
        <v>60</v>
      </c>
      <c r="AW587" s="1" t="s">
        <v>402</v>
      </c>
      <c r="AY587" s="1">
        <v>1.0</v>
      </c>
      <c r="AZ587" s="1">
        <v>109.99</v>
      </c>
      <c r="BB587" s="1">
        <v>109.99</v>
      </c>
    </row>
    <row r="588">
      <c r="A588" s="1" t="s">
        <v>212</v>
      </c>
      <c r="C588" s="1" t="s">
        <v>56</v>
      </c>
      <c r="D588" s="1" t="s">
        <v>1239</v>
      </c>
      <c r="Y588" s="2">
        <v>45519.0</v>
      </c>
      <c r="AE588" s="1">
        <v>49.99</v>
      </c>
      <c r="AG588" s="3" t="str">
        <f>"2000006182633829"</f>
        <v>2000006182633829</v>
      </c>
      <c r="AH588" s="1" t="s">
        <v>58</v>
      </c>
      <c r="AI588" s="1" t="s">
        <v>59</v>
      </c>
      <c r="AJ588" s="1" t="s">
        <v>59</v>
      </c>
      <c r="AK588" s="1" t="s">
        <v>60</v>
      </c>
      <c r="AL588" s="1" t="s">
        <v>60</v>
      </c>
      <c r="AW588" s="1" t="s">
        <v>214</v>
      </c>
      <c r="AY588" s="1">
        <v>1.0</v>
      </c>
      <c r="AZ588" s="1">
        <v>49.99</v>
      </c>
      <c r="BB588" s="1">
        <v>49.99</v>
      </c>
    </row>
    <row r="589">
      <c r="A589" s="1" t="s">
        <v>997</v>
      </c>
      <c r="C589" s="1" t="s">
        <v>56</v>
      </c>
      <c r="D589" s="1" t="s">
        <v>1240</v>
      </c>
      <c r="Y589" s="2">
        <v>45519.0</v>
      </c>
      <c r="AE589" s="1">
        <v>69.99</v>
      </c>
      <c r="AG589" s="3" t="str">
        <f>"2000006182595439"</f>
        <v>2000006182595439</v>
      </c>
      <c r="AH589" s="1" t="s">
        <v>58</v>
      </c>
      <c r="AI589" s="1" t="s">
        <v>59</v>
      </c>
      <c r="AJ589" s="1" t="s">
        <v>59</v>
      </c>
      <c r="AK589" s="1" t="s">
        <v>60</v>
      </c>
      <c r="AL589" s="1" t="s">
        <v>60</v>
      </c>
      <c r="AW589" s="1" t="s">
        <v>999</v>
      </c>
      <c r="AY589" s="1">
        <v>1.0</v>
      </c>
      <c r="AZ589" s="1">
        <v>69.99</v>
      </c>
      <c r="BB589" s="1">
        <v>69.99</v>
      </c>
    </row>
    <row r="590">
      <c r="A590" s="1" t="s">
        <v>694</v>
      </c>
      <c r="C590" s="1" t="s">
        <v>56</v>
      </c>
      <c r="D590" s="1" t="s">
        <v>1241</v>
      </c>
      <c r="Y590" s="2">
        <v>45519.0</v>
      </c>
      <c r="AE590" s="1">
        <v>64.99</v>
      </c>
      <c r="AG590" s="3" t="str">
        <f>"2000006182608349"</f>
        <v>2000006182608349</v>
      </c>
      <c r="AH590" s="1" t="s">
        <v>58</v>
      </c>
      <c r="AI590" s="1" t="s">
        <v>59</v>
      </c>
      <c r="AJ590" s="1" t="s">
        <v>59</v>
      </c>
      <c r="AK590" s="1" t="s">
        <v>60</v>
      </c>
      <c r="AL590" s="1" t="s">
        <v>60</v>
      </c>
      <c r="AW590" s="1" t="s">
        <v>328</v>
      </c>
      <c r="AY590" s="1">
        <v>1.0</v>
      </c>
      <c r="AZ590" s="1">
        <v>64.99</v>
      </c>
      <c r="BB590" s="1">
        <v>64.99</v>
      </c>
    </row>
    <row r="591">
      <c r="A591" s="1" t="s">
        <v>68</v>
      </c>
      <c r="C591" s="1" t="s">
        <v>56</v>
      </c>
      <c r="D591" s="1" t="s">
        <v>1242</v>
      </c>
      <c r="Y591" s="2">
        <v>45519.0</v>
      </c>
      <c r="AE591" s="1">
        <v>49.99</v>
      </c>
      <c r="AG591" s="3" t="str">
        <f>"2000006182560435"</f>
        <v>2000006182560435</v>
      </c>
      <c r="AH591" s="1" t="s">
        <v>58</v>
      </c>
      <c r="AI591" s="1" t="s">
        <v>59</v>
      </c>
      <c r="AJ591" s="1" t="s">
        <v>59</v>
      </c>
      <c r="AK591" s="1" t="s">
        <v>60</v>
      </c>
      <c r="AL591" s="1" t="s">
        <v>60</v>
      </c>
      <c r="AW591" s="1" t="s">
        <v>70</v>
      </c>
      <c r="AY591" s="1">
        <v>1.0</v>
      </c>
      <c r="AZ591" s="1">
        <v>49.99</v>
      </c>
      <c r="BB591" s="1">
        <v>49.99</v>
      </c>
    </row>
    <row r="592">
      <c r="A592" s="1" t="s">
        <v>819</v>
      </c>
      <c r="C592" s="1" t="s">
        <v>56</v>
      </c>
      <c r="D592" s="1" t="s">
        <v>1243</v>
      </c>
      <c r="Y592" s="2">
        <v>45519.0</v>
      </c>
      <c r="AE592" s="1">
        <v>449.99</v>
      </c>
      <c r="AG592" s="3" t="str">
        <f>"2000009049557694"</f>
        <v>2000009049557694</v>
      </c>
      <c r="AH592" s="1" t="s">
        <v>58</v>
      </c>
      <c r="AI592" s="1" t="s">
        <v>59</v>
      </c>
      <c r="AJ592" s="1" t="s">
        <v>59</v>
      </c>
      <c r="AK592" s="1" t="s">
        <v>60</v>
      </c>
      <c r="AL592" s="1" t="s">
        <v>60</v>
      </c>
      <c r="AW592" s="1" t="s">
        <v>821</v>
      </c>
      <c r="AY592" s="1">
        <v>1.0</v>
      </c>
      <c r="AZ592" s="1">
        <v>449.99</v>
      </c>
      <c r="BB592" s="1">
        <v>449.99</v>
      </c>
    </row>
    <row r="593">
      <c r="A593" s="1" t="s">
        <v>838</v>
      </c>
      <c r="C593" s="1" t="s">
        <v>56</v>
      </c>
      <c r="D593" s="1" t="s">
        <v>1244</v>
      </c>
      <c r="Y593" s="2">
        <v>45519.0</v>
      </c>
      <c r="AE593" s="1">
        <v>489.99</v>
      </c>
      <c r="AG593" s="3" t="str">
        <f>"2000009049470828"</f>
        <v>2000009049470828</v>
      </c>
      <c r="AH593" s="1" t="s">
        <v>58</v>
      </c>
      <c r="AI593" s="1" t="s">
        <v>59</v>
      </c>
      <c r="AJ593" s="1" t="s">
        <v>59</v>
      </c>
      <c r="AK593" s="1" t="s">
        <v>60</v>
      </c>
      <c r="AL593" s="1" t="s">
        <v>60</v>
      </c>
      <c r="AW593" s="1" t="s">
        <v>840</v>
      </c>
      <c r="AY593" s="1">
        <v>1.0</v>
      </c>
      <c r="AZ593" s="1">
        <v>489.99</v>
      </c>
      <c r="BB593" s="1">
        <v>489.99</v>
      </c>
    </row>
    <row r="594">
      <c r="A594" s="1" t="s">
        <v>1245</v>
      </c>
      <c r="C594" s="1" t="s">
        <v>56</v>
      </c>
      <c r="D594" s="1" t="s">
        <v>1246</v>
      </c>
      <c r="Y594" s="2">
        <v>45519.0</v>
      </c>
      <c r="AE594" s="1">
        <v>219.99</v>
      </c>
      <c r="AG594" s="3" t="str">
        <f>"2000006182483057"</f>
        <v>2000006182483057</v>
      </c>
      <c r="AH594" s="1" t="s">
        <v>58</v>
      </c>
      <c r="AI594" s="1" t="s">
        <v>59</v>
      </c>
      <c r="AJ594" s="1" t="s">
        <v>59</v>
      </c>
      <c r="AK594" s="1" t="s">
        <v>60</v>
      </c>
      <c r="AL594" s="1" t="s">
        <v>60</v>
      </c>
      <c r="AW594" s="1" t="s">
        <v>1247</v>
      </c>
      <c r="AY594" s="1">
        <v>1.0</v>
      </c>
      <c r="AZ594" s="1">
        <v>219.99</v>
      </c>
      <c r="BB594" s="1">
        <v>219.99</v>
      </c>
    </row>
    <row r="595">
      <c r="A595" s="1" t="s">
        <v>1248</v>
      </c>
      <c r="C595" s="1" t="s">
        <v>56</v>
      </c>
      <c r="D595" s="1" t="s">
        <v>1249</v>
      </c>
      <c r="Y595" s="2">
        <v>45519.0</v>
      </c>
      <c r="AE595" s="1">
        <v>99.99</v>
      </c>
      <c r="AG595" s="3" t="str">
        <f>"2000006182438737"</f>
        <v>2000006182438737</v>
      </c>
      <c r="AH595" s="1" t="s">
        <v>58</v>
      </c>
      <c r="AI595" s="1" t="s">
        <v>59</v>
      </c>
      <c r="AJ595" s="1" t="s">
        <v>59</v>
      </c>
      <c r="AK595" s="1" t="s">
        <v>60</v>
      </c>
      <c r="AL595" s="1" t="s">
        <v>60</v>
      </c>
      <c r="AW595" s="1" t="s">
        <v>1250</v>
      </c>
      <c r="AY595" s="1">
        <v>1.0</v>
      </c>
      <c r="AZ595" s="1">
        <v>99.99</v>
      </c>
      <c r="BB595" s="1">
        <v>99.99</v>
      </c>
    </row>
    <row r="596">
      <c r="A596" s="1" t="s">
        <v>345</v>
      </c>
      <c r="C596" s="1" t="s">
        <v>56</v>
      </c>
      <c r="D596" s="1" t="s">
        <v>1251</v>
      </c>
      <c r="Y596" s="2">
        <v>45519.0</v>
      </c>
      <c r="AE596" s="1">
        <v>164.99</v>
      </c>
      <c r="AG596" s="3" t="str">
        <f>"2000006182464891"</f>
        <v>2000006182464891</v>
      </c>
      <c r="AH596" s="1" t="s">
        <v>58</v>
      </c>
      <c r="AI596" s="1" t="s">
        <v>59</v>
      </c>
      <c r="AJ596" s="1" t="s">
        <v>59</v>
      </c>
      <c r="AK596" s="1" t="s">
        <v>60</v>
      </c>
      <c r="AL596" s="1" t="s">
        <v>60</v>
      </c>
      <c r="AW596" s="1" t="s">
        <v>347</v>
      </c>
      <c r="AY596" s="1">
        <v>1.0</v>
      </c>
      <c r="AZ596" s="1">
        <v>164.99</v>
      </c>
      <c r="BB596" s="1">
        <v>164.99</v>
      </c>
    </row>
    <row r="597">
      <c r="A597" s="1" t="s">
        <v>360</v>
      </c>
      <c r="C597" s="1" t="s">
        <v>56</v>
      </c>
      <c r="D597" s="1" t="s">
        <v>1252</v>
      </c>
      <c r="Y597" s="2">
        <v>45519.0</v>
      </c>
      <c r="AE597" s="1">
        <v>94.36</v>
      </c>
      <c r="AG597" s="3" t="str">
        <f t="shared" ref="AG597:AG600" si="22">"2000006182450857"</f>
        <v>2000006182450857</v>
      </c>
      <c r="AH597" s="1" t="s">
        <v>58</v>
      </c>
      <c r="AI597" s="1" t="s">
        <v>59</v>
      </c>
      <c r="AJ597" s="1" t="s">
        <v>59</v>
      </c>
      <c r="AK597" s="1" t="s">
        <v>60</v>
      </c>
      <c r="AL597" s="1" t="s">
        <v>60</v>
      </c>
      <c r="AW597" s="1" t="s">
        <v>155</v>
      </c>
      <c r="AY597" s="1">
        <v>2.0</v>
      </c>
      <c r="AZ597" s="1">
        <v>47.18</v>
      </c>
      <c r="BB597" s="1">
        <v>94.36</v>
      </c>
    </row>
    <row r="598">
      <c r="A598" s="1" t="s">
        <v>1001</v>
      </c>
      <c r="C598" s="1" t="s">
        <v>56</v>
      </c>
      <c r="D598" s="1" t="s">
        <v>1252</v>
      </c>
      <c r="Y598" s="2">
        <v>45519.0</v>
      </c>
      <c r="AE598" s="1">
        <v>54.99</v>
      </c>
      <c r="AG598" s="3" t="str">
        <f t="shared" si="22"/>
        <v>2000006182450857</v>
      </c>
      <c r="AH598" s="1" t="s">
        <v>58</v>
      </c>
      <c r="AI598" s="1" t="s">
        <v>59</v>
      </c>
      <c r="AJ598" s="1" t="s">
        <v>59</v>
      </c>
      <c r="AK598" s="1" t="s">
        <v>60</v>
      </c>
      <c r="AL598" s="1" t="s">
        <v>60</v>
      </c>
      <c r="AW598" s="1" t="s">
        <v>85</v>
      </c>
      <c r="AY598" s="1">
        <v>1.0</v>
      </c>
      <c r="AZ598" s="1">
        <v>54.99</v>
      </c>
      <c r="BB598" s="1">
        <v>54.99</v>
      </c>
    </row>
    <row r="599">
      <c r="A599" s="1" t="s">
        <v>1253</v>
      </c>
      <c r="C599" s="1" t="s">
        <v>56</v>
      </c>
      <c r="D599" s="1" t="s">
        <v>1252</v>
      </c>
      <c r="Y599" s="2">
        <v>45519.0</v>
      </c>
      <c r="AE599" s="1">
        <v>69.99</v>
      </c>
      <c r="AG599" s="3" t="str">
        <f t="shared" si="22"/>
        <v>2000006182450857</v>
      </c>
      <c r="AH599" s="1" t="s">
        <v>58</v>
      </c>
      <c r="AI599" s="1" t="s">
        <v>59</v>
      </c>
      <c r="AJ599" s="1" t="s">
        <v>59</v>
      </c>
      <c r="AK599" s="1" t="s">
        <v>60</v>
      </c>
      <c r="AL599" s="1" t="s">
        <v>60</v>
      </c>
      <c r="AW599" s="1" t="s">
        <v>1254</v>
      </c>
      <c r="AY599" s="1">
        <v>1.0</v>
      </c>
      <c r="AZ599" s="1">
        <v>69.99</v>
      </c>
      <c r="BB599" s="1">
        <v>69.99</v>
      </c>
    </row>
    <row r="600">
      <c r="A600" s="1" t="s">
        <v>230</v>
      </c>
      <c r="C600" s="1" t="s">
        <v>56</v>
      </c>
      <c r="D600" s="1" t="s">
        <v>1252</v>
      </c>
      <c r="Y600" s="2">
        <v>45519.0</v>
      </c>
      <c r="AE600" s="1">
        <v>54.99</v>
      </c>
      <c r="AG600" s="3" t="str">
        <f t="shared" si="22"/>
        <v>2000006182450857</v>
      </c>
      <c r="AH600" s="1" t="s">
        <v>58</v>
      </c>
      <c r="AI600" s="1" t="s">
        <v>59</v>
      </c>
      <c r="AJ600" s="1" t="s">
        <v>59</v>
      </c>
      <c r="AK600" s="1" t="s">
        <v>60</v>
      </c>
      <c r="AL600" s="1" t="s">
        <v>60</v>
      </c>
      <c r="AW600" s="1" t="s">
        <v>85</v>
      </c>
      <c r="AY600" s="1">
        <v>1.0</v>
      </c>
      <c r="AZ600" s="1">
        <v>54.99</v>
      </c>
      <c r="BB600" s="1">
        <v>54.99</v>
      </c>
    </row>
    <row r="601">
      <c r="A601" s="1" t="s">
        <v>1155</v>
      </c>
      <c r="C601" s="1" t="s">
        <v>235</v>
      </c>
      <c r="D601" s="1" t="s">
        <v>1207</v>
      </c>
      <c r="Y601" s="2">
        <v>45519.0</v>
      </c>
      <c r="AE601" s="1">
        <v>99.99</v>
      </c>
      <c r="AG601" s="3" t="str">
        <f>"2000006182447565"</f>
        <v>2000006182447565</v>
      </c>
      <c r="AH601" s="1" t="s">
        <v>58</v>
      </c>
      <c r="AI601" s="1" t="s">
        <v>59</v>
      </c>
      <c r="AJ601" s="1" t="s">
        <v>59</v>
      </c>
      <c r="AK601" s="1" t="s">
        <v>60</v>
      </c>
      <c r="AL601" s="1" t="s">
        <v>60</v>
      </c>
      <c r="AW601" s="1" t="s">
        <v>1157</v>
      </c>
      <c r="AY601" s="1">
        <v>1.0</v>
      </c>
      <c r="AZ601" s="1">
        <v>99.99</v>
      </c>
      <c r="BB601" s="1">
        <v>99.99</v>
      </c>
    </row>
    <row r="602">
      <c r="A602" s="1" t="s">
        <v>400</v>
      </c>
      <c r="C602" s="1" t="s">
        <v>56</v>
      </c>
      <c r="D602" s="1" t="s">
        <v>1255</v>
      </c>
      <c r="Y602" s="2">
        <v>45519.0</v>
      </c>
      <c r="AE602" s="1">
        <v>109.99</v>
      </c>
      <c r="AG602" s="3" t="str">
        <f>"2000006182435459"</f>
        <v>2000006182435459</v>
      </c>
      <c r="AH602" s="1" t="s">
        <v>58</v>
      </c>
      <c r="AI602" s="1" t="s">
        <v>59</v>
      </c>
      <c r="AJ602" s="1" t="s">
        <v>59</v>
      </c>
      <c r="AK602" s="1" t="s">
        <v>60</v>
      </c>
      <c r="AL602" s="1" t="s">
        <v>60</v>
      </c>
      <c r="AW602" s="1" t="s">
        <v>402</v>
      </c>
      <c r="AY602" s="1">
        <v>1.0</v>
      </c>
      <c r="AZ602" s="1">
        <v>109.99</v>
      </c>
      <c r="BB602" s="1">
        <v>109.99</v>
      </c>
    </row>
    <row r="603">
      <c r="A603" s="1" t="s">
        <v>942</v>
      </c>
      <c r="C603" s="1" t="s">
        <v>56</v>
      </c>
      <c r="D603" s="1" t="s">
        <v>1256</v>
      </c>
      <c r="Y603" s="2">
        <v>45519.0</v>
      </c>
      <c r="AE603" s="1">
        <v>114.99</v>
      </c>
      <c r="AG603" s="3" t="str">
        <f>"2000006182417567"</f>
        <v>2000006182417567</v>
      </c>
      <c r="AH603" s="1" t="s">
        <v>58</v>
      </c>
      <c r="AI603" s="1" t="s">
        <v>59</v>
      </c>
      <c r="AJ603" s="1" t="s">
        <v>59</v>
      </c>
      <c r="AK603" s="1" t="s">
        <v>60</v>
      </c>
      <c r="AL603" s="1" t="s">
        <v>60</v>
      </c>
      <c r="AW603" s="1" t="s">
        <v>944</v>
      </c>
      <c r="AY603" s="1">
        <v>1.0</v>
      </c>
      <c r="AZ603" s="1">
        <v>114.99</v>
      </c>
      <c r="BB603" s="1">
        <v>114.99</v>
      </c>
    </row>
    <row r="604">
      <c r="A604" s="1" t="s">
        <v>517</v>
      </c>
      <c r="C604" s="1" t="s">
        <v>56</v>
      </c>
      <c r="D604" s="1" t="s">
        <v>416</v>
      </c>
      <c r="Y604" s="2">
        <v>45519.0</v>
      </c>
      <c r="AE604" s="1">
        <v>49.99</v>
      </c>
      <c r="AG604" s="3" t="str">
        <f>"2000006181958607"</f>
        <v>2000006181958607</v>
      </c>
      <c r="AH604" s="1" t="s">
        <v>58</v>
      </c>
      <c r="AI604" s="1" t="s">
        <v>59</v>
      </c>
      <c r="AJ604" s="1" t="s">
        <v>59</v>
      </c>
      <c r="AK604" s="1" t="s">
        <v>60</v>
      </c>
      <c r="AL604" s="1" t="s">
        <v>60</v>
      </c>
      <c r="AW604" s="1" t="s">
        <v>70</v>
      </c>
      <c r="AY604" s="1">
        <v>1.0</v>
      </c>
      <c r="AZ604" s="1">
        <v>49.99</v>
      </c>
      <c r="BB604" s="1">
        <v>49.99</v>
      </c>
    </row>
    <row r="605">
      <c r="A605" s="1" t="s">
        <v>1257</v>
      </c>
      <c r="C605" s="1" t="s">
        <v>56</v>
      </c>
      <c r="D605" s="1" t="s">
        <v>1258</v>
      </c>
      <c r="Y605" s="2">
        <v>45519.0</v>
      </c>
      <c r="AE605" s="1">
        <v>64.99</v>
      </c>
      <c r="AG605" s="3" t="str">
        <f>"2000006182367841"</f>
        <v>2000006182367841</v>
      </c>
      <c r="AH605" s="1" t="s">
        <v>58</v>
      </c>
      <c r="AI605" s="1" t="s">
        <v>59</v>
      </c>
      <c r="AJ605" s="1" t="s">
        <v>59</v>
      </c>
      <c r="AK605" s="1" t="s">
        <v>60</v>
      </c>
      <c r="AL605" s="1" t="s">
        <v>60</v>
      </c>
      <c r="AW605" s="1" t="s">
        <v>1259</v>
      </c>
      <c r="AY605" s="1">
        <v>1.0</v>
      </c>
      <c r="AZ605" s="1">
        <v>64.99</v>
      </c>
      <c r="BB605" s="1">
        <v>64.99</v>
      </c>
    </row>
    <row r="606">
      <c r="A606" s="1" t="s">
        <v>160</v>
      </c>
      <c r="C606" s="1" t="s">
        <v>56</v>
      </c>
      <c r="D606" s="1" t="s">
        <v>1260</v>
      </c>
      <c r="Y606" s="2">
        <v>45519.0</v>
      </c>
      <c r="AE606" s="1">
        <v>89.99</v>
      </c>
      <c r="AG606" s="3" t="str">
        <f>"2000009048245118"</f>
        <v>2000009048245118</v>
      </c>
      <c r="AH606" s="1" t="s">
        <v>58</v>
      </c>
      <c r="AI606" s="1" t="s">
        <v>59</v>
      </c>
      <c r="AJ606" s="1" t="s">
        <v>59</v>
      </c>
      <c r="AK606" s="1" t="s">
        <v>60</v>
      </c>
      <c r="AL606" s="1" t="s">
        <v>60</v>
      </c>
      <c r="AW606" s="1" t="s">
        <v>162</v>
      </c>
      <c r="AY606" s="1">
        <v>1.0</v>
      </c>
      <c r="AZ606" s="1">
        <v>89.99</v>
      </c>
      <c r="BB606" s="1">
        <v>89.99</v>
      </c>
    </row>
    <row r="607">
      <c r="A607" s="1" t="s">
        <v>160</v>
      </c>
      <c r="C607" s="1" t="s">
        <v>56</v>
      </c>
      <c r="D607" s="1" t="s">
        <v>1261</v>
      </c>
      <c r="Y607" s="2">
        <v>45519.0</v>
      </c>
      <c r="AE607" s="1">
        <v>89.99</v>
      </c>
      <c r="AG607" s="3" t="str">
        <f>"2000009049168114"</f>
        <v>2000009049168114</v>
      </c>
      <c r="AH607" s="1" t="s">
        <v>58</v>
      </c>
      <c r="AI607" s="1" t="s">
        <v>59</v>
      </c>
      <c r="AJ607" s="1" t="s">
        <v>59</v>
      </c>
      <c r="AK607" s="1" t="s">
        <v>60</v>
      </c>
      <c r="AL607" s="1" t="s">
        <v>60</v>
      </c>
      <c r="AW607" s="1" t="s">
        <v>162</v>
      </c>
      <c r="AY607" s="1">
        <v>1.0</v>
      </c>
      <c r="AZ607" s="1">
        <v>89.99</v>
      </c>
      <c r="BB607" s="1">
        <v>89.99</v>
      </c>
    </row>
    <row r="608">
      <c r="A608" s="1" t="s">
        <v>335</v>
      </c>
      <c r="C608" s="1" t="s">
        <v>56</v>
      </c>
      <c r="D608" s="1" t="s">
        <v>1262</v>
      </c>
      <c r="Y608" s="2">
        <v>45519.0</v>
      </c>
      <c r="AE608" s="1">
        <v>64.99</v>
      </c>
      <c r="AG608" s="3" t="str">
        <f>"2000006182326971"</f>
        <v>2000006182326971</v>
      </c>
      <c r="AH608" s="1" t="s">
        <v>58</v>
      </c>
      <c r="AI608" s="1" t="s">
        <v>59</v>
      </c>
      <c r="AJ608" s="1" t="s">
        <v>59</v>
      </c>
      <c r="AK608" s="1" t="s">
        <v>60</v>
      </c>
      <c r="AL608" s="1" t="s">
        <v>60</v>
      </c>
      <c r="AW608" s="1" t="s">
        <v>209</v>
      </c>
      <c r="AY608" s="1">
        <v>1.0</v>
      </c>
      <c r="AZ608" s="1">
        <v>64.99</v>
      </c>
      <c r="BB608" s="1">
        <v>64.99</v>
      </c>
    </row>
    <row r="609">
      <c r="A609" s="1" t="s">
        <v>1263</v>
      </c>
      <c r="C609" s="1" t="s">
        <v>56</v>
      </c>
      <c r="D609" s="1" t="s">
        <v>1264</v>
      </c>
      <c r="Y609" s="2">
        <v>45519.0</v>
      </c>
      <c r="AE609" s="1">
        <v>54.99</v>
      </c>
      <c r="AG609" s="3" t="str">
        <f>"2000006182288817"</f>
        <v>2000006182288817</v>
      </c>
      <c r="AH609" s="1" t="s">
        <v>58</v>
      </c>
      <c r="AI609" s="1" t="s">
        <v>59</v>
      </c>
      <c r="AJ609" s="1" t="s">
        <v>59</v>
      </c>
      <c r="AK609" s="1" t="s">
        <v>60</v>
      </c>
      <c r="AL609" s="1" t="s">
        <v>60</v>
      </c>
      <c r="AW609" s="1" t="s">
        <v>1265</v>
      </c>
      <c r="AY609" s="1">
        <v>1.0</v>
      </c>
      <c r="AZ609" s="1">
        <v>54.99</v>
      </c>
      <c r="BB609" s="1">
        <v>54.99</v>
      </c>
    </row>
    <row r="610">
      <c r="A610" s="1" t="s">
        <v>1266</v>
      </c>
      <c r="C610" s="1" t="s">
        <v>56</v>
      </c>
      <c r="D610" s="1" t="s">
        <v>1267</v>
      </c>
      <c r="Y610" s="2">
        <v>45519.0</v>
      </c>
      <c r="AE610" s="1">
        <v>159.98</v>
      </c>
      <c r="AG610" s="3" t="str">
        <f t="shared" ref="AG610:AG611" si="23">"2000006182294313"</f>
        <v>2000006182294313</v>
      </c>
      <c r="AH610" s="1" t="s">
        <v>58</v>
      </c>
      <c r="AI610" s="1" t="s">
        <v>59</v>
      </c>
      <c r="AJ610" s="1" t="s">
        <v>59</v>
      </c>
      <c r="AK610" s="1" t="s">
        <v>60</v>
      </c>
      <c r="AL610" s="1" t="s">
        <v>60</v>
      </c>
      <c r="AW610" s="1" t="s">
        <v>1268</v>
      </c>
      <c r="AY610" s="1">
        <v>2.0</v>
      </c>
      <c r="AZ610" s="1">
        <v>79.99</v>
      </c>
      <c r="BB610" s="1">
        <v>159.98</v>
      </c>
    </row>
    <row r="611">
      <c r="A611" s="1" t="s">
        <v>417</v>
      </c>
      <c r="C611" s="1" t="s">
        <v>56</v>
      </c>
      <c r="D611" s="1" t="s">
        <v>1267</v>
      </c>
      <c r="Y611" s="2">
        <v>45519.0</v>
      </c>
      <c r="AE611" s="1">
        <v>199.98</v>
      </c>
      <c r="AG611" s="3" t="str">
        <f t="shared" si="23"/>
        <v>2000006182294313</v>
      </c>
      <c r="AH611" s="1" t="s">
        <v>58</v>
      </c>
      <c r="AI611" s="1" t="s">
        <v>59</v>
      </c>
      <c r="AJ611" s="1" t="s">
        <v>59</v>
      </c>
      <c r="AK611" s="1" t="s">
        <v>60</v>
      </c>
      <c r="AL611" s="1" t="s">
        <v>60</v>
      </c>
      <c r="AW611" s="1" t="s">
        <v>419</v>
      </c>
      <c r="AY611" s="1">
        <v>2.0</v>
      </c>
      <c r="AZ611" s="1">
        <v>99.99</v>
      </c>
      <c r="BB611" s="1">
        <v>199.98</v>
      </c>
    </row>
    <row r="612">
      <c r="A612" s="1" t="s">
        <v>918</v>
      </c>
      <c r="C612" s="1" t="s">
        <v>56</v>
      </c>
      <c r="D612" s="1" t="s">
        <v>1269</v>
      </c>
      <c r="Y612" s="2">
        <v>45519.0</v>
      </c>
      <c r="AE612" s="1">
        <v>139.99</v>
      </c>
      <c r="AG612" s="3" t="str">
        <f>"2000006182291891"</f>
        <v>2000006182291891</v>
      </c>
      <c r="AH612" s="1" t="s">
        <v>58</v>
      </c>
      <c r="AI612" s="1" t="s">
        <v>59</v>
      </c>
      <c r="AJ612" s="1" t="s">
        <v>59</v>
      </c>
      <c r="AK612" s="1" t="s">
        <v>60</v>
      </c>
      <c r="AL612" s="1" t="s">
        <v>60</v>
      </c>
      <c r="AW612" s="1" t="s">
        <v>920</v>
      </c>
      <c r="AY612" s="1">
        <v>1.0</v>
      </c>
      <c r="AZ612" s="1">
        <v>139.99</v>
      </c>
      <c r="BB612" s="1">
        <v>139.99</v>
      </c>
    </row>
    <row r="613">
      <c r="A613" s="1" t="s">
        <v>1270</v>
      </c>
      <c r="C613" s="1" t="s">
        <v>56</v>
      </c>
      <c r="D613" s="1" t="s">
        <v>1271</v>
      </c>
      <c r="Y613" s="2">
        <v>45519.0</v>
      </c>
      <c r="AE613" s="1">
        <v>399.99</v>
      </c>
      <c r="AG613" s="3" t="str">
        <f>"2000006182267551"</f>
        <v>2000006182267551</v>
      </c>
      <c r="AH613" s="1" t="s">
        <v>58</v>
      </c>
      <c r="AI613" s="1" t="s">
        <v>59</v>
      </c>
      <c r="AJ613" s="1" t="s">
        <v>59</v>
      </c>
      <c r="AK613" s="1" t="s">
        <v>60</v>
      </c>
      <c r="AL613" s="1" t="s">
        <v>60</v>
      </c>
      <c r="AW613" s="1" t="s">
        <v>1272</v>
      </c>
      <c r="AY613" s="1">
        <v>1.0</v>
      </c>
      <c r="AZ613" s="1">
        <v>399.99</v>
      </c>
      <c r="BB613" s="1">
        <v>399.99</v>
      </c>
    </row>
    <row r="614">
      <c r="A614" s="1" t="s">
        <v>1273</v>
      </c>
      <c r="C614" s="1" t="s">
        <v>56</v>
      </c>
      <c r="D614" s="1" t="s">
        <v>1274</v>
      </c>
      <c r="Y614" s="2">
        <v>45519.0</v>
      </c>
      <c r="AE614" s="1">
        <v>119.99</v>
      </c>
      <c r="AG614" s="3" t="str">
        <f>"2000006182170999"</f>
        <v>2000006182170999</v>
      </c>
      <c r="AH614" s="1" t="s">
        <v>58</v>
      </c>
      <c r="AI614" s="1" t="s">
        <v>59</v>
      </c>
      <c r="AJ614" s="1" t="s">
        <v>59</v>
      </c>
      <c r="AK614" s="1" t="s">
        <v>60</v>
      </c>
      <c r="AL614" s="1" t="s">
        <v>60</v>
      </c>
      <c r="AW614" s="1" t="s">
        <v>226</v>
      </c>
      <c r="AY614" s="1">
        <v>1.0</v>
      </c>
      <c r="AZ614" s="1">
        <v>119.99</v>
      </c>
      <c r="BB614" s="1">
        <v>119.99</v>
      </c>
    </row>
    <row r="615">
      <c r="A615" s="1" t="s">
        <v>1275</v>
      </c>
      <c r="C615" s="1" t="s">
        <v>56</v>
      </c>
      <c r="D615" s="1" t="s">
        <v>1276</v>
      </c>
      <c r="Y615" s="2">
        <v>45519.0</v>
      </c>
      <c r="AE615" s="1">
        <v>99.99</v>
      </c>
      <c r="AG615" s="3" t="str">
        <f>"2000006182201721"</f>
        <v>2000006182201721</v>
      </c>
      <c r="AH615" s="1" t="s">
        <v>58</v>
      </c>
      <c r="AI615" s="1" t="s">
        <v>59</v>
      </c>
      <c r="AJ615" s="1" t="s">
        <v>59</v>
      </c>
      <c r="AK615" s="1" t="s">
        <v>60</v>
      </c>
      <c r="AL615" s="1" t="s">
        <v>60</v>
      </c>
      <c r="AW615" s="1" t="s">
        <v>1277</v>
      </c>
      <c r="AY615" s="1">
        <v>1.0</v>
      </c>
      <c r="AZ615" s="1">
        <v>99.99</v>
      </c>
      <c r="BB615" s="1">
        <v>99.99</v>
      </c>
    </row>
    <row r="616">
      <c r="A616" s="1" t="s">
        <v>1278</v>
      </c>
      <c r="C616" s="1" t="s">
        <v>235</v>
      </c>
      <c r="D616" s="1" t="s">
        <v>1276</v>
      </c>
      <c r="Y616" s="2">
        <v>45519.0</v>
      </c>
      <c r="AE616" s="1">
        <v>94.99</v>
      </c>
      <c r="AG616" s="3" t="str">
        <f>"2000006182201723"</f>
        <v>2000006182201723</v>
      </c>
      <c r="AH616" s="1" t="s">
        <v>58</v>
      </c>
      <c r="AI616" s="1" t="s">
        <v>59</v>
      </c>
      <c r="AJ616" s="1" t="s">
        <v>59</v>
      </c>
      <c r="AK616" s="1" t="s">
        <v>60</v>
      </c>
      <c r="AL616" s="1" t="s">
        <v>60</v>
      </c>
      <c r="AW616" s="1" t="s">
        <v>1279</v>
      </c>
      <c r="AY616" s="1">
        <v>1.0</v>
      </c>
      <c r="AZ616" s="1">
        <v>94.99</v>
      </c>
      <c r="BB616" s="1">
        <v>94.99</v>
      </c>
    </row>
    <row r="617">
      <c r="A617" s="1" t="s">
        <v>410</v>
      </c>
      <c r="C617" s="1" t="s">
        <v>56</v>
      </c>
      <c r="D617" s="1" t="s">
        <v>1280</v>
      </c>
      <c r="Y617" s="2">
        <v>45519.0</v>
      </c>
      <c r="AE617" s="1">
        <v>62.99</v>
      </c>
      <c r="AG617" s="3" t="str">
        <f>"2000006182149287"</f>
        <v>2000006182149287</v>
      </c>
      <c r="AH617" s="1" t="s">
        <v>58</v>
      </c>
      <c r="AI617" s="1" t="s">
        <v>59</v>
      </c>
      <c r="AJ617" s="1" t="s">
        <v>59</v>
      </c>
      <c r="AK617" s="1" t="s">
        <v>60</v>
      </c>
      <c r="AL617" s="1" t="s">
        <v>60</v>
      </c>
      <c r="AW617" s="1" t="s">
        <v>412</v>
      </c>
      <c r="AY617" s="1">
        <v>1.0</v>
      </c>
      <c r="AZ617" s="1">
        <v>62.99</v>
      </c>
      <c r="BB617" s="1">
        <v>62.99</v>
      </c>
    </row>
    <row r="618">
      <c r="A618" s="1" t="s">
        <v>1281</v>
      </c>
      <c r="C618" s="1" t="s">
        <v>56</v>
      </c>
      <c r="D618" s="1" t="s">
        <v>1282</v>
      </c>
      <c r="Y618" s="2">
        <v>45519.0</v>
      </c>
      <c r="AE618" s="1">
        <v>79.99</v>
      </c>
      <c r="AG618" s="3" t="str">
        <f>"2000006182018469"</f>
        <v>2000006182018469</v>
      </c>
      <c r="AH618" s="1" t="s">
        <v>58</v>
      </c>
      <c r="AI618" s="1" t="s">
        <v>59</v>
      </c>
      <c r="AJ618" s="1" t="s">
        <v>59</v>
      </c>
      <c r="AK618" s="1" t="s">
        <v>60</v>
      </c>
      <c r="AL618" s="1" t="s">
        <v>60</v>
      </c>
      <c r="AW618" s="1" t="s">
        <v>1283</v>
      </c>
      <c r="AY618" s="1">
        <v>1.0</v>
      </c>
      <c r="AZ618" s="1">
        <v>79.99</v>
      </c>
      <c r="BB618" s="1">
        <v>79.99</v>
      </c>
    </row>
    <row r="619">
      <c r="A619" s="1" t="s">
        <v>377</v>
      </c>
      <c r="C619" s="1" t="s">
        <v>56</v>
      </c>
      <c r="D619" s="1" t="s">
        <v>1284</v>
      </c>
      <c r="Y619" s="2">
        <v>45519.0</v>
      </c>
      <c r="AE619" s="1">
        <v>64.99</v>
      </c>
      <c r="AG619" s="3" t="str">
        <f>"2000006182070281"</f>
        <v>2000006182070281</v>
      </c>
      <c r="AH619" s="1" t="s">
        <v>58</v>
      </c>
      <c r="AI619" s="1" t="s">
        <v>59</v>
      </c>
      <c r="AJ619" s="1" t="s">
        <v>59</v>
      </c>
      <c r="AK619" s="1" t="s">
        <v>60</v>
      </c>
      <c r="AL619" s="1" t="s">
        <v>60</v>
      </c>
      <c r="AW619" s="1" t="s">
        <v>79</v>
      </c>
      <c r="AY619" s="1">
        <v>1.0</v>
      </c>
      <c r="AZ619" s="1">
        <v>64.99</v>
      </c>
      <c r="BB619" s="1">
        <v>64.99</v>
      </c>
    </row>
    <row r="620">
      <c r="A620" s="1" t="s">
        <v>757</v>
      </c>
      <c r="C620" s="1" t="s">
        <v>56</v>
      </c>
      <c r="D620" s="1" t="s">
        <v>1285</v>
      </c>
      <c r="Y620" s="2">
        <v>45519.0</v>
      </c>
      <c r="AE620" s="1">
        <v>499.99</v>
      </c>
      <c r="AG620" s="3" t="str">
        <f>"2000009048727290"</f>
        <v>2000009048727290</v>
      </c>
      <c r="AH620" s="1" t="s">
        <v>58</v>
      </c>
      <c r="AI620" s="1" t="s">
        <v>59</v>
      </c>
      <c r="AJ620" s="1" t="s">
        <v>59</v>
      </c>
      <c r="AK620" s="1" t="s">
        <v>60</v>
      </c>
      <c r="AL620" s="1" t="s">
        <v>60</v>
      </c>
      <c r="AW620" s="1" t="s">
        <v>759</v>
      </c>
      <c r="AY620" s="1">
        <v>1.0</v>
      </c>
      <c r="AZ620" s="1">
        <v>499.99</v>
      </c>
      <c r="BB620" s="1">
        <v>499.99</v>
      </c>
    </row>
    <row r="621">
      <c r="A621" s="1" t="s">
        <v>1286</v>
      </c>
      <c r="C621" s="1" t="s">
        <v>56</v>
      </c>
      <c r="D621" s="1" t="s">
        <v>1287</v>
      </c>
      <c r="Y621" s="2">
        <v>45519.0</v>
      </c>
      <c r="AE621" s="1">
        <v>94.99</v>
      </c>
      <c r="AG621" s="3" t="str">
        <f>"2000006182097347"</f>
        <v>2000006182097347</v>
      </c>
      <c r="AH621" s="1" t="s">
        <v>58</v>
      </c>
      <c r="AI621" s="1" t="s">
        <v>59</v>
      </c>
      <c r="AJ621" s="1" t="s">
        <v>59</v>
      </c>
      <c r="AK621" s="1" t="s">
        <v>60</v>
      </c>
      <c r="AL621" s="1" t="s">
        <v>60</v>
      </c>
      <c r="AW621" s="1" t="s">
        <v>1288</v>
      </c>
      <c r="AY621" s="1">
        <v>1.0</v>
      </c>
      <c r="AZ621" s="1">
        <v>94.99</v>
      </c>
      <c r="BB621" s="1">
        <v>94.99</v>
      </c>
    </row>
    <row r="622">
      <c r="A622" s="1" t="s">
        <v>345</v>
      </c>
      <c r="C622" s="1" t="s">
        <v>56</v>
      </c>
      <c r="D622" s="1" t="s">
        <v>1289</v>
      </c>
      <c r="Y622" s="2">
        <v>45519.0</v>
      </c>
      <c r="AE622" s="1">
        <v>164.99</v>
      </c>
      <c r="AG622" s="3" t="str">
        <f>"2000009048709482"</f>
        <v>2000009048709482</v>
      </c>
      <c r="AH622" s="1" t="s">
        <v>58</v>
      </c>
      <c r="AI622" s="1" t="s">
        <v>59</v>
      </c>
      <c r="AJ622" s="1" t="s">
        <v>59</v>
      </c>
      <c r="AK622" s="1" t="s">
        <v>60</v>
      </c>
      <c r="AL622" s="1" t="s">
        <v>60</v>
      </c>
      <c r="AW622" s="1" t="s">
        <v>347</v>
      </c>
      <c r="AY622" s="1">
        <v>1.0</v>
      </c>
      <c r="AZ622" s="1">
        <v>164.99</v>
      </c>
      <c r="BB622" s="1">
        <v>164.99</v>
      </c>
    </row>
    <row r="623">
      <c r="A623" s="1" t="s">
        <v>1290</v>
      </c>
      <c r="C623" s="1" t="s">
        <v>56</v>
      </c>
      <c r="D623" s="1" t="s">
        <v>1291</v>
      </c>
      <c r="Y623" s="2">
        <v>45519.0</v>
      </c>
      <c r="AE623" s="1">
        <v>429.99</v>
      </c>
      <c r="AG623" s="3" t="str">
        <f>"2000009048471648"</f>
        <v>2000009048471648</v>
      </c>
      <c r="AH623" s="1" t="s">
        <v>58</v>
      </c>
      <c r="AI623" s="1" t="s">
        <v>59</v>
      </c>
      <c r="AJ623" s="1" t="s">
        <v>59</v>
      </c>
      <c r="AK623" s="1" t="s">
        <v>60</v>
      </c>
      <c r="AL623" s="1" t="s">
        <v>60</v>
      </c>
      <c r="AW623" s="1" t="s">
        <v>1292</v>
      </c>
      <c r="AY623" s="1">
        <v>1.0</v>
      </c>
      <c r="AZ623" s="1">
        <v>429.99</v>
      </c>
      <c r="BB623" s="1">
        <v>429.99</v>
      </c>
    </row>
    <row r="624">
      <c r="A624" s="1" t="s">
        <v>1293</v>
      </c>
      <c r="C624" s="1" t="s">
        <v>56</v>
      </c>
      <c r="D624" s="1" t="s">
        <v>1294</v>
      </c>
      <c r="Y624" s="2">
        <v>45519.0</v>
      </c>
      <c r="AE624" s="1">
        <v>124.99</v>
      </c>
      <c r="AG624" s="3" t="str">
        <f>"2000009048626876"</f>
        <v>2000009048626876</v>
      </c>
      <c r="AH624" s="1" t="s">
        <v>58</v>
      </c>
      <c r="AI624" s="1" t="s">
        <v>59</v>
      </c>
      <c r="AJ624" s="1" t="s">
        <v>59</v>
      </c>
      <c r="AK624" s="1" t="s">
        <v>60</v>
      </c>
      <c r="AL624" s="1" t="s">
        <v>60</v>
      </c>
      <c r="AW624" s="1" t="s">
        <v>1295</v>
      </c>
      <c r="AY624" s="1">
        <v>1.0</v>
      </c>
      <c r="AZ624" s="1">
        <v>124.99</v>
      </c>
      <c r="BB624" s="1">
        <v>124.99</v>
      </c>
    </row>
    <row r="625">
      <c r="A625" s="1" t="s">
        <v>383</v>
      </c>
      <c r="C625" s="1" t="s">
        <v>56</v>
      </c>
      <c r="D625" s="1" t="s">
        <v>1296</v>
      </c>
      <c r="Y625" s="2">
        <v>45519.0</v>
      </c>
      <c r="AE625" s="1">
        <v>159.99</v>
      </c>
      <c r="AG625" s="3" t="str">
        <f>"2000006181980847"</f>
        <v>2000006181980847</v>
      </c>
      <c r="AH625" s="1" t="s">
        <v>58</v>
      </c>
      <c r="AI625" s="1" t="s">
        <v>59</v>
      </c>
      <c r="AJ625" s="1" t="s">
        <v>59</v>
      </c>
      <c r="AK625" s="1" t="s">
        <v>60</v>
      </c>
      <c r="AL625" s="1" t="s">
        <v>60</v>
      </c>
      <c r="AW625" s="1" t="s">
        <v>385</v>
      </c>
      <c r="AY625" s="1">
        <v>1.0</v>
      </c>
      <c r="AZ625" s="1">
        <v>159.99</v>
      </c>
      <c r="BB625" s="1">
        <v>159.99</v>
      </c>
    </row>
    <row r="626">
      <c r="A626" s="1" t="s">
        <v>1297</v>
      </c>
      <c r="C626" s="1" t="s">
        <v>56</v>
      </c>
      <c r="D626" s="1" t="s">
        <v>1298</v>
      </c>
      <c r="Y626" s="2">
        <v>45519.0</v>
      </c>
      <c r="AE626" s="1">
        <v>49.99</v>
      </c>
      <c r="AG626" s="3" t="str">
        <f>"2000006181928853"</f>
        <v>2000006181928853</v>
      </c>
      <c r="AH626" s="1" t="s">
        <v>58</v>
      </c>
      <c r="AI626" s="1" t="s">
        <v>59</v>
      </c>
      <c r="AJ626" s="1" t="s">
        <v>59</v>
      </c>
      <c r="AK626" s="1" t="s">
        <v>60</v>
      </c>
      <c r="AL626" s="1" t="s">
        <v>60</v>
      </c>
      <c r="AW626" s="1" t="s">
        <v>1299</v>
      </c>
      <c r="AY626" s="1">
        <v>1.0</v>
      </c>
      <c r="AZ626" s="1">
        <v>49.99</v>
      </c>
      <c r="BB626" s="1">
        <v>49.99</v>
      </c>
    </row>
    <row r="627">
      <c r="A627" s="1" t="s">
        <v>764</v>
      </c>
      <c r="C627" s="1" t="s">
        <v>235</v>
      </c>
      <c r="D627" s="1" t="s">
        <v>1300</v>
      </c>
      <c r="Y627" s="2">
        <v>45519.0</v>
      </c>
      <c r="AE627" s="1">
        <v>66.99</v>
      </c>
      <c r="AG627" s="3" t="str">
        <f>"2000006181931023"</f>
        <v>2000006181931023</v>
      </c>
      <c r="AH627" s="1" t="s">
        <v>58</v>
      </c>
      <c r="AI627" s="1" t="s">
        <v>59</v>
      </c>
      <c r="AJ627" s="1" t="s">
        <v>59</v>
      </c>
      <c r="AK627" s="1" t="s">
        <v>60</v>
      </c>
      <c r="AL627" s="1" t="s">
        <v>60</v>
      </c>
      <c r="AW627" s="1" t="s">
        <v>766</v>
      </c>
      <c r="AY627" s="1">
        <v>1.0</v>
      </c>
      <c r="AZ627" s="1">
        <v>66.99</v>
      </c>
      <c r="BB627" s="1">
        <v>66.99</v>
      </c>
    </row>
    <row r="628">
      <c r="A628" s="1" t="s">
        <v>1301</v>
      </c>
      <c r="C628" s="1" t="s">
        <v>56</v>
      </c>
      <c r="D628" s="1" t="s">
        <v>1302</v>
      </c>
      <c r="Y628" s="2">
        <v>45519.0</v>
      </c>
      <c r="AE628" s="1">
        <v>99.99</v>
      </c>
      <c r="AG628" s="3" t="str">
        <f>"2000009047412396"</f>
        <v>2000009047412396</v>
      </c>
      <c r="AH628" s="1" t="s">
        <v>58</v>
      </c>
      <c r="AI628" s="1" t="s">
        <v>59</v>
      </c>
      <c r="AJ628" s="1" t="s">
        <v>59</v>
      </c>
      <c r="AK628" s="1" t="s">
        <v>60</v>
      </c>
      <c r="AL628" s="1" t="s">
        <v>60</v>
      </c>
      <c r="AW628" s="1" t="s">
        <v>1303</v>
      </c>
      <c r="AY628" s="1">
        <v>1.0</v>
      </c>
      <c r="AZ628" s="1">
        <v>99.99</v>
      </c>
      <c r="BB628" s="1">
        <v>99.99</v>
      </c>
    </row>
    <row r="629">
      <c r="A629" s="1" t="s">
        <v>886</v>
      </c>
      <c r="C629" s="1" t="s">
        <v>56</v>
      </c>
      <c r="D629" s="1" t="s">
        <v>1304</v>
      </c>
      <c r="Y629" s="2">
        <v>45519.0</v>
      </c>
      <c r="AE629" s="1">
        <v>69.99</v>
      </c>
      <c r="AG629" s="3" t="str">
        <f>"2000006181877665"</f>
        <v>2000006181877665</v>
      </c>
      <c r="AH629" s="1" t="s">
        <v>58</v>
      </c>
      <c r="AI629" s="1" t="s">
        <v>59</v>
      </c>
      <c r="AJ629" s="1" t="s">
        <v>59</v>
      </c>
      <c r="AK629" s="1" t="s">
        <v>60</v>
      </c>
      <c r="AL629" s="1" t="s">
        <v>60</v>
      </c>
      <c r="AW629" s="1" t="s">
        <v>888</v>
      </c>
      <c r="AY629" s="1">
        <v>1.0</v>
      </c>
      <c r="AZ629" s="1">
        <v>69.99</v>
      </c>
      <c r="BB629" s="1">
        <v>69.99</v>
      </c>
    </row>
    <row r="630">
      <c r="A630" s="1" t="s">
        <v>283</v>
      </c>
      <c r="C630" s="1" t="s">
        <v>56</v>
      </c>
      <c r="D630" s="1" t="s">
        <v>1305</v>
      </c>
      <c r="Y630" s="2">
        <v>45519.0</v>
      </c>
      <c r="AE630" s="1">
        <v>999.98</v>
      </c>
      <c r="AG630" s="3" t="str">
        <f>"2000006181801669"</f>
        <v>2000006181801669</v>
      </c>
      <c r="AH630" s="1" t="s">
        <v>58</v>
      </c>
      <c r="AI630" s="1" t="s">
        <v>59</v>
      </c>
      <c r="AJ630" s="1" t="s">
        <v>59</v>
      </c>
      <c r="AK630" s="1" t="s">
        <v>60</v>
      </c>
      <c r="AL630" s="1" t="s">
        <v>60</v>
      </c>
      <c r="AW630" s="1" t="s">
        <v>285</v>
      </c>
      <c r="AY630" s="1">
        <v>2.0</v>
      </c>
      <c r="AZ630" s="1">
        <v>499.99</v>
      </c>
      <c r="BB630" s="1">
        <v>999.98</v>
      </c>
    </row>
    <row r="631">
      <c r="A631" s="1" t="s">
        <v>68</v>
      </c>
      <c r="C631" s="1" t="s">
        <v>56</v>
      </c>
      <c r="D631" s="1" t="s">
        <v>1306</v>
      </c>
      <c r="Y631" s="2">
        <v>45519.0</v>
      </c>
      <c r="AE631" s="1">
        <v>49.99</v>
      </c>
      <c r="AG631" s="3" t="str">
        <f>"2000006181775715"</f>
        <v>2000006181775715</v>
      </c>
      <c r="AH631" s="1" t="s">
        <v>58</v>
      </c>
      <c r="AI631" s="1" t="s">
        <v>59</v>
      </c>
      <c r="AJ631" s="1" t="s">
        <v>59</v>
      </c>
      <c r="AK631" s="1" t="s">
        <v>60</v>
      </c>
      <c r="AL631" s="1" t="s">
        <v>60</v>
      </c>
      <c r="AW631" s="1" t="s">
        <v>70</v>
      </c>
      <c r="AY631" s="1">
        <v>1.0</v>
      </c>
      <c r="AZ631" s="1">
        <v>49.99</v>
      </c>
      <c r="BB631" s="1">
        <v>49.99</v>
      </c>
    </row>
    <row r="632">
      <c r="A632" s="1" t="s">
        <v>721</v>
      </c>
      <c r="C632" s="1" t="s">
        <v>56</v>
      </c>
      <c r="D632" s="1" t="s">
        <v>1307</v>
      </c>
      <c r="Y632" s="2">
        <v>45519.0</v>
      </c>
      <c r="AE632" s="1">
        <v>54.99</v>
      </c>
      <c r="AG632" s="3" t="str">
        <f>"2000006181788221"</f>
        <v>2000006181788221</v>
      </c>
      <c r="AH632" s="1" t="s">
        <v>58</v>
      </c>
      <c r="AI632" s="1" t="s">
        <v>59</v>
      </c>
      <c r="AJ632" s="1" t="s">
        <v>59</v>
      </c>
      <c r="AK632" s="1" t="s">
        <v>60</v>
      </c>
      <c r="AL632" s="1" t="s">
        <v>60</v>
      </c>
      <c r="AW632" s="1" t="s">
        <v>723</v>
      </c>
      <c r="AY632" s="1">
        <v>1.0</v>
      </c>
      <c r="AZ632" s="1">
        <v>54.99</v>
      </c>
      <c r="BB632" s="1">
        <v>54.99</v>
      </c>
    </row>
    <row r="633">
      <c r="A633" s="1" t="s">
        <v>262</v>
      </c>
      <c r="C633" s="1" t="s">
        <v>56</v>
      </c>
      <c r="D633" s="1" t="s">
        <v>1308</v>
      </c>
      <c r="Y633" s="2">
        <v>45519.0</v>
      </c>
      <c r="AE633" s="1">
        <v>129.99</v>
      </c>
      <c r="AG633" s="3" t="str">
        <f>"2000006181771877"</f>
        <v>2000006181771877</v>
      </c>
      <c r="AH633" s="1" t="s">
        <v>58</v>
      </c>
      <c r="AI633" s="1" t="s">
        <v>59</v>
      </c>
      <c r="AJ633" s="1" t="s">
        <v>59</v>
      </c>
      <c r="AK633" s="1" t="s">
        <v>60</v>
      </c>
      <c r="AL633" s="1" t="s">
        <v>60</v>
      </c>
      <c r="AW633" s="1" t="s">
        <v>264</v>
      </c>
      <c r="AY633" s="1">
        <v>1.0</v>
      </c>
      <c r="AZ633" s="1">
        <v>129.99</v>
      </c>
      <c r="BB633" s="1">
        <v>129.99</v>
      </c>
    </row>
    <row r="634">
      <c r="A634" s="1" t="s">
        <v>953</v>
      </c>
      <c r="C634" s="1" t="s">
        <v>56</v>
      </c>
      <c r="D634" s="1" t="s">
        <v>1309</v>
      </c>
      <c r="Y634" s="2">
        <v>45519.0</v>
      </c>
      <c r="AE634" s="1">
        <v>39.99</v>
      </c>
      <c r="AG634" s="3" t="str">
        <f>"2000006181629561"</f>
        <v>2000006181629561</v>
      </c>
      <c r="AH634" s="1" t="s">
        <v>58</v>
      </c>
      <c r="AI634" s="1" t="s">
        <v>59</v>
      </c>
      <c r="AJ634" s="1" t="s">
        <v>59</v>
      </c>
      <c r="AK634" s="1" t="s">
        <v>60</v>
      </c>
      <c r="AL634" s="1" t="s">
        <v>60</v>
      </c>
      <c r="AW634" s="1" t="s">
        <v>955</v>
      </c>
      <c r="AY634" s="1">
        <v>1.0</v>
      </c>
      <c r="AZ634" s="1">
        <v>39.99</v>
      </c>
      <c r="BB634" s="1">
        <v>39.99</v>
      </c>
    </row>
    <row r="635">
      <c r="A635" s="1" t="s">
        <v>676</v>
      </c>
      <c r="C635" s="1" t="s">
        <v>56</v>
      </c>
      <c r="D635" s="1" t="s">
        <v>1310</v>
      </c>
      <c r="Y635" s="2">
        <v>45519.0</v>
      </c>
      <c r="AE635" s="1">
        <v>74.99</v>
      </c>
      <c r="AG635" s="3" t="str">
        <f>"2000006181724725"</f>
        <v>2000006181724725</v>
      </c>
      <c r="AH635" s="1" t="s">
        <v>58</v>
      </c>
      <c r="AI635" s="1" t="s">
        <v>59</v>
      </c>
      <c r="AJ635" s="1" t="s">
        <v>59</v>
      </c>
      <c r="AK635" s="1" t="s">
        <v>60</v>
      </c>
      <c r="AL635" s="1" t="s">
        <v>60</v>
      </c>
      <c r="AW635" s="1" t="s">
        <v>1311</v>
      </c>
      <c r="AY635" s="1">
        <v>1.0</v>
      </c>
      <c r="AZ635" s="1">
        <v>74.99</v>
      </c>
      <c r="BB635" s="1">
        <v>74.99</v>
      </c>
    </row>
    <row r="636">
      <c r="A636" s="1" t="s">
        <v>514</v>
      </c>
      <c r="C636" s="1" t="s">
        <v>56</v>
      </c>
      <c r="D636" s="1" t="s">
        <v>1312</v>
      </c>
      <c r="Y636" s="2">
        <v>45519.0</v>
      </c>
      <c r="AE636" s="1">
        <v>119.98</v>
      </c>
      <c r="AG636" s="3" t="str">
        <f>"2000006181694139"</f>
        <v>2000006181694139</v>
      </c>
      <c r="AH636" s="1" t="s">
        <v>58</v>
      </c>
      <c r="AI636" s="1" t="s">
        <v>59</v>
      </c>
      <c r="AJ636" s="1" t="s">
        <v>59</v>
      </c>
      <c r="AK636" s="1" t="s">
        <v>60</v>
      </c>
      <c r="AL636" s="1" t="s">
        <v>60</v>
      </c>
      <c r="AW636" s="1" t="s">
        <v>516</v>
      </c>
      <c r="AY636" s="1">
        <v>2.0</v>
      </c>
      <c r="AZ636" s="1">
        <v>59.99</v>
      </c>
      <c r="BB636" s="1">
        <v>119.98</v>
      </c>
    </row>
    <row r="637">
      <c r="A637" s="1" t="s">
        <v>1313</v>
      </c>
      <c r="C637" s="1" t="s">
        <v>56</v>
      </c>
      <c r="D637" s="1" t="s">
        <v>1314</v>
      </c>
      <c r="Y637" s="2">
        <v>45519.0</v>
      </c>
      <c r="AE637" s="1">
        <v>49.99</v>
      </c>
      <c r="AG637" s="3" t="str">
        <f>"2000006181720557"</f>
        <v>2000006181720557</v>
      </c>
      <c r="AH637" s="1" t="s">
        <v>58</v>
      </c>
      <c r="AI637" s="1" t="s">
        <v>59</v>
      </c>
      <c r="AJ637" s="1" t="s">
        <v>59</v>
      </c>
      <c r="AK637" s="1" t="s">
        <v>60</v>
      </c>
      <c r="AL637" s="1" t="s">
        <v>60</v>
      </c>
      <c r="AW637" s="1" t="s">
        <v>97</v>
      </c>
      <c r="AY637" s="1">
        <v>1.0</v>
      </c>
      <c r="AZ637" s="1">
        <v>49.99</v>
      </c>
      <c r="BB637" s="1">
        <v>49.99</v>
      </c>
    </row>
    <row r="638">
      <c r="A638" s="1" t="s">
        <v>77</v>
      </c>
      <c r="C638" s="1" t="s">
        <v>56</v>
      </c>
      <c r="D638" s="1" t="s">
        <v>1315</v>
      </c>
      <c r="Y638" s="2">
        <v>45519.0</v>
      </c>
      <c r="AE638" s="1">
        <v>64.99</v>
      </c>
      <c r="AG638" s="3" t="str">
        <f>"2000006181687985"</f>
        <v>2000006181687985</v>
      </c>
      <c r="AH638" s="1" t="s">
        <v>58</v>
      </c>
      <c r="AI638" s="1" t="s">
        <v>59</v>
      </c>
      <c r="AJ638" s="1" t="s">
        <v>59</v>
      </c>
      <c r="AK638" s="1" t="s">
        <v>60</v>
      </c>
      <c r="AL638" s="1" t="s">
        <v>60</v>
      </c>
      <c r="AW638" s="1" t="s">
        <v>79</v>
      </c>
      <c r="AY638" s="1">
        <v>1.0</v>
      </c>
      <c r="AZ638" s="1">
        <v>64.99</v>
      </c>
      <c r="BB638" s="1">
        <v>64.99</v>
      </c>
    </row>
    <row r="639">
      <c r="A639" s="1" t="s">
        <v>377</v>
      </c>
      <c r="C639" s="1" t="s">
        <v>56</v>
      </c>
      <c r="D639" s="1" t="s">
        <v>534</v>
      </c>
      <c r="Y639" s="2">
        <v>45519.0</v>
      </c>
      <c r="AE639" s="1">
        <v>129.98</v>
      </c>
      <c r="AG639" s="3" t="str">
        <f>"2000006181676325"</f>
        <v>2000006181676325</v>
      </c>
      <c r="AH639" s="1" t="s">
        <v>58</v>
      </c>
      <c r="AI639" s="1" t="s">
        <v>59</v>
      </c>
      <c r="AJ639" s="1" t="s">
        <v>59</v>
      </c>
      <c r="AK639" s="1" t="s">
        <v>60</v>
      </c>
      <c r="AL639" s="1" t="s">
        <v>60</v>
      </c>
      <c r="AW639" s="1" t="s">
        <v>79</v>
      </c>
      <c r="AY639" s="1">
        <v>2.0</v>
      </c>
      <c r="AZ639" s="1">
        <v>64.99</v>
      </c>
      <c r="BB639" s="1">
        <v>129.98</v>
      </c>
    </row>
    <row r="640">
      <c r="A640" s="1" t="s">
        <v>1316</v>
      </c>
      <c r="C640" s="1" t="s">
        <v>56</v>
      </c>
      <c r="D640" s="1" t="s">
        <v>1317</v>
      </c>
      <c r="Y640" s="2">
        <v>45519.0</v>
      </c>
      <c r="AE640" s="1">
        <v>183.96</v>
      </c>
      <c r="AG640" s="3" t="str">
        <f>"2000006181602379"</f>
        <v>2000006181602379</v>
      </c>
      <c r="AH640" s="1" t="s">
        <v>58</v>
      </c>
      <c r="AI640" s="1" t="s">
        <v>59</v>
      </c>
      <c r="AJ640" s="1" t="s">
        <v>59</v>
      </c>
      <c r="AK640" s="1" t="s">
        <v>60</v>
      </c>
      <c r="AL640" s="1" t="s">
        <v>60</v>
      </c>
      <c r="AW640" s="1" t="s">
        <v>100</v>
      </c>
      <c r="AY640" s="1">
        <v>4.0</v>
      </c>
      <c r="AZ640" s="1">
        <v>45.99</v>
      </c>
      <c r="BB640" s="1">
        <v>183.96</v>
      </c>
    </row>
    <row r="641">
      <c r="A641" s="1" t="s">
        <v>1318</v>
      </c>
      <c r="C641" s="1" t="s">
        <v>56</v>
      </c>
      <c r="D641" s="1" t="s">
        <v>1319</v>
      </c>
      <c r="Y641" s="2">
        <v>45519.0</v>
      </c>
      <c r="AE641" s="1">
        <v>64.99</v>
      </c>
      <c r="AG641" s="3" t="str">
        <f>"2000006181472707"</f>
        <v>2000006181472707</v>
      </c>
      <c r="AH641" s="1" t="s">
        <v>58</v>
      </c>
      <c r="AI641" s="1" t="s">
        <v>59</v>
      </c>
      <c r="AJ641" s="1" t="s">
        <v>59</v>
      </c>
      <c r="AK641" s="1" t="s">
        <v>60</v>
      </c>
      <c r="AL641" s="1" t="s">
        <v>60</v>
      </c>
      <c r="AW641" s="1" t="s">
        <v>1320</v>
      </c>
      <c r="AY641" s="1">
        <v>1.0</v>
      </c>
      <c r="AZ641" s="1">
        <v>64.99</v>
      </c>
      <c r="BB641" s="1">
        <v>64.99</v>
      </c>
    </row>
    <row r="642">
      <c r="A642" s="1" t="s">
        <v>283</v>
      </c>
      <c r="C642" s="1" t="s">
        <v>56</v>
      </c>
      <c r="D642" s="1" t="s">
        <v>1321</v>
      </c>
      <c r="Y642" s="2">
        <v>45519.0</v>
      </c>
      <c r="AE642" s="1">
        <v>499.99</v>
      </c>
      <c r="AG642" s="3" t="str">
        <f>"2000009047784710"</f>
        <v>2000009047784710</v>
      </c>
      <c r="AH642" s="1" t="s">
        <v>58</v>
      </c>
      <c r="AI642" s="1" t="s">
        <v>59</v>
      </c>
      <c r="AJ642" s="1" t="s">
        <v>59</v>
      </c>
      <c r="AK642" s="1" t="s">
        <v>60</v>
      </c>
      <c r="AL642" s="1" t="s">
        <v>60</v>
      </c>
      <c r="AW642" s="1" t="s">
        <v>285</v>
      </c>
      <c r="AY642" s="1">
        <v>1.0</v>
      </c>
      <c r="AZ642" s="1">
        <v>499.99</v>
      </c>
      <c r="BB642" s="1">
        <v>499.99</v>
      </c>
    </row>
    <row r="643">
      <c r="A643" s="1" t="s">
        <v>1322</v>
      </c>
      <c r="C643" s="1" t="s">
        <v>56</v>
      </c>
      <c r="D643" s="1" t="s">
        <v>1323</v>
      </c>
      <c r="Y643" s="2">
        <v>45519.0</v>
      </c>
      <c r="AE643" s="1">
        <v>139.99</v>
      </c>
      <c r="AG643" s="3" t="str">
        <f>"2000009047756508"</f>
        <v>2000009047756508</v>
      </c>
      <c r="AH643" s="1" t="s">
        <v>58</v>
      </c>
      <c r="AI643" s="1" t="s">
        <v>59</v>
      </c>
      <c r="AJ643" s="1" t="s">
        <v>59</v>
      </c>
      <c r="AK643" s="1" t="s">
        <v>60</v>
      </c>
      <c r="AL643" s="1" t="s">
        <v>60</v>
      </c>
      <c r="AW643" s="1" t="s">
        <v>279</v>
      </c>
      <c r="AY643" s="1">
        <v>1.0</v>
      </c>
      <c r="AZ643" s="1">
        <v>139.99</v>
      </c>
      <c r="BB643" s="1">
        <v>139.99</v>
      </c>
    </row>
    <row r="644">
      <c r="A644" s="1" t="s">
        <v>1324</v>
      </c>
      <c r="C644" s="1" t="s">
        <v>56</v>
      </c>
      <c r="D644" s="1" t="s">
        <v>1325</v>
      </c>
      <c r="Y644" s="2">
        <v>45519.0</v>
      </c>
      <c r="AE644" s="1">
        <v>36.68</v>
      </c>
      <c r="AG644" s="3" t="str">
        <f>"2000006181535207"</f>
        <v>2000006181535207</v>
      </c>
      <c r="AH644" s="1" t="s">
        <v>58</v>
      </c>
      <c r="AI644" s="1" t="s">
        <v>59</v>
      </c>
      <c r="AJ644" s="1" t="s">
        <v>59</v>
      </c>
      <c r="AK644" s="1" t="s">
        <v>60</v>
      </c>
      <c r="AL644" s="1" t="s">
        <v>60</v>
      </c>
      <c r="AW644" s="1" t="s">
        <v>923</v>
      </c>
      <c r="AY644" s="1">
        <v>1.0</v>
      </c>
      <c r="AZ644" s="1">
        <v>36.68</v>
      </c>
      <c r="BB644" s="1">
        <v>36.68</v>
      </c>
    </row>
    <row r="645">
      <c r="A645" s="1" t="s">
        <v>1326</v>
      </c>
      <c r="C645" s="1" t="s">
        <v>56</v>
      </c>
      <c r="D645" s="1" t="s">
        <v>1327</v>
      </c>
      <c r="Y645" s="2">
        <v>45519.0</v>
      </c>
      <c r="AE645" s="1">
        <v>79.99</v>
      </c>
      <c r="AG645" s="3" t="str">
        <f>"2000006181515577"</f>
        <v>2000006181515577</v>
      </c>
      <c r="AH645" s="1" t="s">
        <v>58</v>
      </c>
      <c r="AI645" s="1" t="s">
        <v>59</v>
      </c>
      <c r="AJ645" s="1" t="s">
        <v>59</v>
      </c>
      <c r="AK645" s="1" t="s">
        <v>60</v>
      </c>
      <c r="AL645" s="1" t="s">
        <v>60</v>
      </c>
      <c r="AW645" s="1" t="s">
        <v>1328</v>
      </c>
      <c r="AY645" s="1">
        <v>1.0</v>
      </c>
      <c r="AZ645" s="1">
        <v>79.99</v>
      </c>
      <c r="BB645" s="1">
        <v>79.99</v>
      </c>
    </row>
    <row r="646">
      <c r="A646" s="1" t="s">
        <v>834</v>
      </c>
      <c r="C646" s="1" t="s">
        <v>56</v>
      </c>
      <c r="D646" s="1" t="s">
        <v>1329</v>
      </c>
      <c r="Y646" s="2">
        <v>45519.0</v>
      </c>
      <c r="AE646" s="1">
        <v>107.48</v>
      </c>
      <c r="AG646" s="3" t="str">
        <f>"2000006181541895"</f>
        <v>2000006181541895</v>
      </c>
      <c r="AH646" s="1" t="s">
        <v>58</v>
      </c>
      <c r="AI646" s="1" t="s">
        <v>59</v>
      </c>
      <c r="AJ646" s="1" t="s">
        <v>59</v>
      </c>
      <c r="AK646" s="1" t="s">
        <v>60</v>
      </c>
      <c r="AL646" s="1" t="s">
        <v>60</v>
      </c>
      <c r="AW646" s="1" t="s">
        <v>836</v>
      </c>
      <c r="AY646" s="1">
        <v>1.0</v>
      </c>
      <c r="AZ646" s="1">
        <v>107.48</v>
      </c>
      <c r="BB646" s="1">
        <v>107.48</v>
      </c>
    </row>
    <row r="647">
      <c r="A647" s="1" t="s">
        <v>1330</v>
      </c>
      <c r="C647" s="1" t="s">
        <v>56</v>
      </c>
      <c r="D647" s="1" t="s">
        <v>1331</v>
      </c>
      <c r="Y647" s="2">
        <v>45519.0</v>
      </c>
      <c r="AE647" s="1">
        <v>129.99</v>
      </c>
      <c r="AG647" s="3" t="str">
        <f>"2000009047673838"</f>
        <v>2000009047673838</v>
      </c>
      <c r="AH647" s="1" t="s">
        <v>58</v>
      </c>
      <c r="AI647" s="1" t="s">
        <v>59</v>
      </c>
      <c r="AJ647" s="1" t="s">
        <v>59</v>
      </c>
      <c r="AK647" s="1" t="s">
        <v>60</v>
      </c>
      <c r="AL647" s="1" t="s">
        <v>60</v>
      </c>
      <c r="AW647" s="1" t="s">
        <v>1332</v>
      </c>
      <c r="AY647" s="1">
        <v>1.0</v>
      </c>
      <c r="AZ647" s="1">
        <v>129.99</v>
      </c>
      <c r="BB647" s="1">
        <v>129.99</v>
      </c>
    </row>
    <row r="648">
      <c r="A648" s="1" t="s">
        <v>517</v>
      </c>
      <c r="C648" s="1" t="s">
        <v>56</v>
      </c>
      <c r="D648" s="1" t="s">
        <v>1333</v>
      </c>
      <c r="Y648" s="2">
        <v>45519.0</v>
      </c>
      <c r="AE648" s="1">
        <v>49.99</v>
      </c>
      <c r="AG648" s="3" t="str">
        <f>"2000006181518881"</f>
        <v>2000006181518881</v>
      </c>
      <c r="AH648" s="1" t="s">
        <v>58</v>
      </c>
      <c r="AI648" s="1" t="s">
        <v>59</v>
      </c>
      <c r="AJ648" s="1" t="s">
        <v>59</v>
      </c>
      <c r="AK648" s="1" t="s">
        <v>60</v>
      </c>
      <c r="AL648" s="1" t="s">
        <v>60</v>
      </c>
      <c r="AW648" s="1" t="s">
        <v>70</v>
      </c>
      <c r="AY648" s="1">
        <v>1.0</v>
      </c>
      <c r="AZ648" s="1">
        <v>49.99</v>
      </c>
      <c r="BB648" s="1">
        <v>49.99</v>
      </c>
    </row>
    <row r="649">
      <c r="A649" s="1" t="s">
        <v>1326</v>
      </c>
      <c r="C649" s="1" t="s">
        <v>235</v>
      </c>
      <c r="D649" s="1" t="s">
        <v>1327</v>
      </c>
      <c r="Y649" s="2">
        <v>45519.0</v>
      </c>
      <c r="AE649" s="1">
        <v>79.99</v>
      </c>
      <c r="AG649" s="3" t="str">
        <f>"2000006181035577"</f>
        <v>2000006181035577</v>
      </c>
      <c r="AH649" s="1" t="s">
        <v>58</v>
      </c>
      <c r="AI649" s="1" t="s">
        <v>59</v>
      </c>
      <c r="AJ649" s="1" t="s">
        <v>59</v>
      </c>
      <c r="AK649" s="1" t="s">
        <v>60</v>
      </c>
      <c r="AL649" s="1" t="s">
        <v>60</v>
      </c>
      <c r="AW649" s="1" t="s">
        <v>1328</v>
      </c>
      <c r="AY649" s="1">
        <v>1.0</v>
      </c>
      <c r="AZ649" s="1">
        <v>79.99</v>
      </c>
      <c r="BB649" s="1">
        <v>79.99</v>
      </c>
    </row>
    <row r="650">
      <c r="A650" s="1" t="s">
        <v>1160</v>
      </c>
      <c r="C650" s="1" t="s">
        <v>56</v>
      </c>
      <c r="D650" s="1" t="s">
        <v>1334</v>
      </c>
      <c r="Y650" s="2">
        <v>45519.0</v>
      </c>
      <c r="AE650" s="1">
        <v>294.99</v>
      </c>
      <c r="AG650" s="3" t="str">
        <f>"2000006181351947"</f>
        <v>2000006181351947</v>
      </c>
      <c r="AH650" s="1" t="s">
        <v>58</v>
      </c>
      <c r="AI650" s="1" t="s">
        <v>59</v>
      </c>
      <c r="AJ650" s="1" t="s">
        <v>59</v>
      </c>
      <c r="AK650" s="1" t="s">
        <v>60</v>
      </c>
      <c r="AL650" s="1" t="s">
        <v>60</v>
      </c>
      <c r="AW650" s="1" t="s">
        <v>1162</v>
      </c>
      <c r="AY650" s="1">
        <v>1.0</v>
      </c>
      <c r="AZ650" s="1">
        <v>294.99</v>
      </c>
      <c r="BB650" s="1">
        <v>294.99</v>
      </c>
    </row>
    <row r="651">
      <c r="A651" s="1" t="s">
        <v>286</v>
      </c>
      <c r="C651" s="1" t="s">
        <v>56</v>
      </c>
      <c r="D651" s="1" t="s">
        <v>1335</v>
      </c>
      <c r="Y651" s="2">
        <v>45519.0</v>
      </c>
      <c r="AE651" s="1">
        <v>87.99</v>
      </c>
      <c r="AG651" s="3" t="str">
        <f>"2000006181494593"</f>
        <v>2000006181494593</v>
      </c>
      <c r="AH651" s="1" t="s">
        <v>58</v>
      </c>
      <c r="AI651" s="1" t="s">
        <v>59</v>
      </c>
      <c r="AJ651" s="1" t="s">
        <v>59</v>
      </c>
      <c r="AK651" s="1" t="s">
        <v>60</v>
      </c>
      <c r="AL651" s="1" t="s">
        <v>60</v>
      </c>
      <c r="AW651" s="1" t="s">
        <v>288</v>
      </c>
      <c r="AY651" s="1">
        <v>1.0</v>
      </c>
      <c r="AZ651" s="1">
        <v>87.99</v>
      </c>
      <c r="BB651" s="1">
        <v>87.99</v>
      </c>
    </row>
    <row r="652">
      <c r="A652" s="1" t="s">
        <v>1336</v>
      </c>
      <c r="C652" s="1" t="s">
        <v>56</v>
      </c>
      <c r="D652" s="1" t="s">
        <v>1337</v>
      </c>
      <c r="Y652" s="2">
        <v>45519.0</v>
      </c>
      <c r="AE652" s="1">
        <v>49.99</v>
      </c>
      <c r="AG652" s="3" t="str">
        <f>"2000006181486255"</f>
        <v>2000006181486255</v>
      </c>
      <c r="AH652" s="1" t="s">
        <v>58</v>
      </c>
      <c r="AI652" s="1" t="s">
        <v>59</v>
      </c>
      <c r="AJ652" s="1" t="s">
        <v>59</v>
      </c>
      <c r="AK652" s="1" t="s">
        <v>60</v>
      </c>
      <c r="AL652" s="1" t="s">
        <v>60</v>
      </c>
      <c r="AW652" s="1" t="s">
        <v>1338</v>
      </c>
      <c r="AY652" s="1">
        <v>1.0</v>
      </c>
      <c r="AZ652" s="1">
        <v>49.99</v>
      </c>
      <c r="BB652" s="1">
        <v>49.99</v>
      </c>
    </row>
    <row r="653">
      <c r="A653" s="1" t="s">
        <v>178</v>
      </c>
      <c r="C653" s="1" t="s">
        <v>56</v>
      </c>
      <c r="D653" s="1" t="s">
        <v>1339</v>
      </c>
      <c r="Y653" s="2">
        <v>45519.0</v>
      </c>
      <c r="AE653" s="1">
        <v>134.99</v>
      </c>
      <c r="AG653" s="3" t="str">
        <f>"2000006181301903"</f>
        <v>2000006181301903</v>
      </c>
      <c r="AH653" s="1" t="s">
        <v>58</v>
      </c>
      <c r="AI653" s="1" t="s">
        <v>59</v>
      </c>
      <c r="AJ653" s="1" t="s">
        <v>59</v>
      </c>
      <c r="AK653" s="1" t="s">
        <v>60</v>
      </c>
      <c r="AL653" s="1" t="s">
        <v>60</v>
      </c>
      <c r="AW653" s="1" t="s">
        <v>180</v>
      </c>
      <c r="AY653" s="1">
        <v>1.0</v>
      </c>
      <c r="AZ653" s="1">
        <v>134.99</v>
      </c>
      <c r="BB653" s="1">
        <v>134.99</v>
      </c>
    </row>
    <row r="654">
      <c r="A654" s="1" t="s">
        <v>1340</v>
      </c>
      <c r="C654" s="1" t="s">
        <v>56</v>
      </c>
      <c r="D654" s="1" t="s">
        <v>1341</v>
      </c>
      <c r="Y654" s="2">
        <v>45519.0</v>
      </c>
      <c r="AE654" s="1">
        <v>239.99</v>
      </c>
      <c r="AG654" s="3" t="str">
        <f>"2000006181416783"</f>
        <v>2000006181416783</v>
      </c>
      <c r="AH654" s="1" t="s">
        <v>58</v>
      </c>
      <c r="AI654" s="1" t="s">
        <v>59</v>
      </c>
      <c r="AJ654" s="1" t="s">
        <v>59</v>
      </c>
      <c r="AK654" s="1" t="s">
        <v>60</v>
      </c>
      <c r="AL654" s="1" t="s">
        <v>60</v>
      </c>
      <c r="AW654" s="1" t="s">
        <v>1342</v>
      </c>
      <c r="AY654" s="1">
        <v>1.0</v>
      </c>
      <c r="AZ654" s="1">
        <v>239.99</v>
      </c>
      <c r="BB654" s="1">
        <v>239.99</v>
      </c>
    </row>
    <row r="655">
      <c r="A655" s="1" t="s">
        <v>120</v>
      </c>
      <c r="C655" s="1" t="s">
        <v>56</v>
      </c>
      <c r="D655" s="1" t="s">
        <v>1343</v>
      </c>
      <c r="Y655" s="2">
        <v>45519.0</v>
      </c>
      <c r="AE655" s="1">
        <v>58.99</v>
      </c>
      <c r="AG655" s="3" t="str">
        <f>"2000006181394475"</f>
        <v>2000006181394475</v>
      </c>
      <c r="AH655" s="1" t="s">
        <v>58</v>
      </c>
      <c r="AI655" s="1" t="s">
        <v>59</v>
      </c>
      <c r="AJ655" s="1" t="s">
        <v>59</v>
      </c>
      <c r="AK655" s="1" t="s">
        <v>60</v>
      </c>
      <c r="AL655" s="1" t="s">
        <v>60</v>
      </c>
      <c r="AW655" s="1" t="s">
        <v>110</v>
      </c>
      <c r="AY655" s="1">
        <v>1.0</v>
      </c>
      <c r="AZ655" s="1">
        <v>58.99</v>
      </c>
      <c r="BB655" s="1">
        <v>58.99</v>
      </c>
    </row>
    <row r="656">
      <c r="A656" s="1" t="s">
        <v>277</v>
      </c>
      <c r="C656" s="1" t="s">
        <v>56</v>
      </c>
      <c r="D656" s="1" t="s">
        <v>1344</v>
      </c>
      <c r="Y656" s="2">
        <v>45519.0</v>
      </c>
      <c r="AE656" s="1">
        <v>419.97</v>
      </c>
      <c r="AG656" s="3" t="str">
        <f>"2000006181392057"</f>
        <v>2000006181392057</v>
      </c>
      <c r="AH656" s="1" t="s">
        <v>58</v>
      </c>
      <c r="AI656" s="1" t="s">
        <v>59</v>
      </c>
      <c r="AJ656" s="1" t="s">
        <v>59</v>
      </c>
      <c r="AK656" s="1" t="s">
        <v>60</v>
      </c>
      <c r="AL656" s="1" t="s">
        <v>60</v>
      </c>
      <c r="AW656" s="1" t="s">
        <v>279</v>
      </c>
      <c r="AY656" s="1">
        <v>3.0</v>
      </c>
      <c r="AZ656" s="1">
        <v>139.99</v>
      </c>
      <c r="BB656" s="1">
        <v>419.97</v>
      </c>
    </row>
    <row r="657">
      <c r="A657" s="1" t="s">
        <v>940</v>
      </c>
      <c r="C657" s="1" t="s">
        <v>56</v>
      </c>
      <c r="D657" s="1" t="s">
        <v>1345</v>
      </c>
      <c r="Y657" s="2">
        <v>45519.0</v>
      </c>
      <c r="AE657" s="1">
        <v>79.99</v>
      </c>
      <c r="AG657" s="3" t="str">
        <f>"2000006181354839"</f>
        <v>2000006181354839</v>
      </c>
      <c r="AH657" s="1" t="s">
        <v>58</v>
      </c>
      <c r="AI657" s="1" t="s">
        <v>59</v>
      </c>
      <c r="AJ657" s="1" t="s">
        <v>59</v>
      </c>
      <c r="AK657" s="1" t="s">
        <v>60</v>
      </c>
      <c r="AL657" s="1" t="s">
        <v>60</v>
      </c>
      <c r="AW657" s="1" t="s">
        <v>146</v>
      </c>
      <c r="AY657" s="1">
        <v>1.0</v>
      </c>
      <c r="AZ657" s="1">
        <v>79.99</v>
      </c>
      <c r="BB657" s="1">
        <v>79.99</v>
      </c>
    </row>
    <row r="658">
      <c r="A658" s="1" t="s">
        <v>625</v>
      </c>
      <c r="C658" s="1" t="s">
        <v>56</v>
      </c>
      <c r="D658" s="1" t="s">
        <v>1346</v>
      </c>
      <c r="Y658" s="2">
        <v>45519.0</v>
      </c>
      <c r="AE658" s="1">
        <v>89.99</v>
      </c>
      <c r="AG658" s="3" t="str">
        <f>"2000006181361715"</f>
        <v>2000006181361715</v>
      </c>
      <c r="AH658" s="1" t="s">
        <v>58</v>
      </c>
      <c r="AI658" s="1" t="s">
        <v>59</v>
      </c>
      <c r="AJ658" s="1" t="s">
        <v>59</v>
      </c>
      <c r="AK658" s="1" t="s">
        <v>60</v>
      </c>
      <c r="AL658" s="1" t="s">
        <v>60</v>
      </c>
      <c r="AW658" s="1" t="s">
        <v>627</v>
      </c>
      <c r="AY658" s="1">
        <v>1.0</v>
      </c>
      <c r="AZ658" s="1">
        <v>89.99</v>
      </c>
      <c r="BB658" s="1">
        <v>89.99</v>
      </c>
    </row>
    <row r="659">
      <c r="A659" s="1" t="s">
        <v>302</v>
      </c>
      <c r="C659" s="1" t="s">
        <v>56</v>
      </c>
      <c r="D659" s="1" t="s">
        <v>1347</v>
      </c>
      <c r="Y659" s="2">
        <v>45519.0</v>
      </c>
      <c r="AE659" s="1">
        <v>118.44</v>
      </c>
      <c r="AG659" s="3" t="str">
        <f>"2000006181251979"</f>
        <v>2000006181251979</v>
      </c>
      <c r="AH659" s="1" t="s">
        <v>58</v>
      </c>
      <c r="AI659" s="1" t="s">
        <v>59</v>
      </c>
      <c r="AJ659" s="1" t="s">
        <v>59</v>
      </c>
      <c r="AK659" s="1" t="s">
        <v>60</v>
      </c>
      <c r="AL659" s="1" t="s">
        <v>60</v>
      </c>
      <c r="AW659" s="1" t="s">
        <v>304</v>
      </c>
      <c r="AY659" s="1">
        <v>3.0</v>
      </c>
      <c r="AZ659" s="1">
        <v>39.48</v>
      </c>
      <c r="BB659" s="1">
        <v>118.44</v>
      </c>
    </row>
    <row r="660">
      <c r="A660" s="1" t="s">
        <v>71</v>
      </c>
      <c r="C660" s="1" t="s">
        <v>56</v>
      </c>
      <c r="D660" s="1" t="s">
        <v>1348</v>
      </c>
      <c r="Y660" s="2">
        <v>45519.0</v>
      </c>
      <c r="AE660" s="1">
        <v>84.99</v>
      </c>
      <c r="AG660" s="3" t="str">
        <f>"2000009047095992"</f>
        <v>2000009047095992</v>
      </c>
      <c r="AH660" s="1" t="s">
        <v>58</v>
      </c>
      <c r="AI660" s="1" t="s">
        <v>59</v>
      </c>
      <c r="AJ660" s="1" t="s">
        <v>59</v>
      </c>
      <c r="AK660" s="1" t="s">
        <v>60</v>
      </c>
      <c r="AL660" s="1" t="s">
        <v>60</v>
      </c>
      <c r="AW660" s="1" t="s">
        <v>73</v>
      </c>
      <c r="AY660" s="1">
        <v>1.0</v>
      </c>
      <c r="AZ660" s="1">
        <v>84.99</v>
      </c>
      <c r="BB660" s="1">
        <v>84.99</v>
      </c>
    </row>
    <row r="661">
      <c r="A661" s="1" t="s">
        <v>302</v>
      </c>
      <c r="C661" s="1" t="s">
        <v>56</v>
      </c>
      <c r="D661" s="1" t="s">
        <v>1349</v>
      </c>
      <c r="Y661" s="2">
        <v>45519.0</v>
      </c>
      <c r="AE661" s="1">
        <v>78.96</v>
      </c>
      <c r="AG661" s="3" t="str">
        <f>"2000006181195643"</f>
        <v>2000006181195643</v>
      </c>
      <c r="AH661" s="1" t="s">
        <v>58</v>
      </c>
      <c r="AI661" s="1" t="s">
        <v>59</v>
      </c>
      <c r="AJ661" s="1" t="s">
        <v>59</v>
      </c>
      <c r="AK661" s="1" t="s">
        <v>60</v>
      </c>
      <c r="AL661" s="1" t="s">
        <v>60</v>
      </c>
      <c r="AW661" s="1" t="s">
        <v>304</v>
      </c>
      <c r="AY661" s="1">
        <v>2.0</v>
      </c>
      <c r="AZ661" s="1">
        <v>39.48</v>
      </c>
      <c r="BB661" s="1">
        <v>78.96</v>
      </c>
    </row>
    <row r="662">
      <c r="A662" s="1" t="s">
        <v>1350</v>
      </c>
      <c r="C662" s="1" t="s">
        <v>56</v>
      </c>
      <c r="D662" s="1" t="s">
        <v>1351</v>
      </c>
      <c r="Y662" s="2">
        <v>45519.0</v>
      </c>
      <c r="AE662" s="1">
        <v>189.99</v>
      </c>
      <c r="AG662" s="3" t="str">
        <f>"2000006181151305"</f>
        <v>2000006181151305</v>
      </c>
      <c r="AH662" s="1" t="s">
        <v>58</v>
      </c>
      <c r="AI662" s="1" t="s">
        <v>59</v>
      </c>
      <c r="AJ662" s="1" t="s">
        <v>59</v>
      </c>
      <c r="AK662" s="1" t="s">
        <v>60</v>
      </c>
      <c r="AL662" s="1" t="s">
        <v>60</v>
      </c>
      <c r="AW662" s="1" t="s">
        <v>1352</v>
      </c>
      <c r="AY662" s="1">
        <v>1.0</v>
      </c>
      <c r="AZ662" s="1">
        <v>189.99</v>
      </c>
      <c r="BB662" s="1">
        <v>189.99</v>
      </c>
    </row>
    <row r="663">
      <c r="A663" s="1" t="s">
        <v>102</v>
      </c>
      <c r="C663" s="1" t="s">
        <v>56</v>
      </c>
      <c r="D663" s="1" t="s">
        <v>1353</v>
      </c>
      <c r="Y663" s="2">
        <v>45519.0</v>
      </c>
      <c r="AE663" s="1">
        <v>59.99</v>
      </c>
      <c r="AG663" s="3" t="str">
        <f>"2000009047015472"</f>
        <v>2000009047015472</v>
      </c>
      <c r="AH663" s="1" t="s">
        <v>58</v>
      </c>
      <c r="AI663" s="1" t="s">
        <v>59</v>
      </c>
      <c r="AJ663" s="1" t="s">
        <v>59</v>
      </c>
      <c r="AK663" s="1" t="s">
        <v>60</v>
      </c>
      <c r="AL663" s="1" t="s">
        <v>60</v>
      </c>
      <c r="AW663" s="1" t="s">
        <v>104</v>
      </c>
      <c r="AY663" s="1">
        <v>1.0</v>
      </c>
      <c r="AZ663" s="1">
        <v>59.99</v>
      </c>
      <c r="BB663" s="1">
        <v>59.99</v>
      </c>
    </row>
    <row r="664">
      <c r="A664" s="1" t="s">
        <v>1354</v>
      </c>
      <c r="C664" s="1" t="s">
        <v>56</v>
      </c>
      <c r="D664" s="1" t="s">
        <v>1355</v>
      </c>
      <c r="Y664" s="2">
        <v>45519.0</v>
      </c>
      <c r="AE664" s="1">
        <v>84.99</v>
      </c>
      <c r="AG664" s="3" t="str">
        <f>"2000006181171375"</f>
        <v>2000006181171375</v>
      </c>
      <c r="AH664" s="1" t="s">
        <v>58</v>
      </c>
      <c r="AI664" s="1" t="s">
        <v>59</v>
      </c>
      <c r="AJ664" s="1" t="s">
        <v>59</v>
      </c>
      <c r="AK664" s="1" t="s">
        <v>60</v>
      </c>
      <c r="AL664" s="1" t="s">
        <v>60</v>
      </c>
      <c r="AW664" s="1" t="s">
        <v>1356</v>
      </c>
      <c r="AY664" s="1">
        <v>1.0</v>
      </c>
      <c r="AZ664" s="1">
        <v>84.99</v>
      </c>
      <c r="BB664" s="1">
        <v>84.99</v>
      </c>
    </row>
    <row r="665">
      <c r="A665" s="1" t="s">
        <v>1357</v>
      </c>
      <c r="C665" s="1" t="s">
        <v>56</v>
      </c>
      <c r="D665" s="1" t="s">
        <v>1358</v>
      </c>
      <c r="Y665" s="2">
        <v>45519.0</v>
      </c>
      <c r="AE665" s="1">
        <v>49.99</v>
      </c>
      <c r="AG665" s="3" t="str">
        <f>"2000006181168043"</f>
        <v>2000006181168043</v>
      </c>
      <c r="AH665" s="1" t="s">
        <v>58</v>
      </c>
      <c r="AI665" s="1" t="s">
        <v>59</v>
      </c>
      <c r="AJ665" s="1" t="s">
        <v>59</v>
      </c>
      <c r="AK665" s="1" t="s">
        <v>60</v>
      </c>
      <c r="AL665" s="1" t="s">
        <v>60</v>
      </c>
      <c r="AW665" s="1" t="s">
        <v>1359</v>
      </c>
      <c r="AY665" s="1">
        <v>1.0</v>
      </c>
      <c r="AZ665" s="1">
        <v>49.99</v>
      </c>
      <c r="BB665" s="1">
        <v>49.99</v>
      </c>
    </row>
    <row r="666">
      <c r="A666" s="1" t="s">
        <v>1360</v>
      </c>
      <c r="C666" s="1" t="s">
        <v>56</v>
      </c>
      <c r="D666" s="1" t="s">
        <v>1361</v>
      </c>
      <c r="Y666" s="2">
        <v>45519.0</v>
      </c>
      <c r="AE666" s="1">
        <v>499.99</v>
      </c>
      <c r="AG666" s="3" t="str">
        <f>"2000006181165863"</f>
        <v>2000006181165863</v>
      </c>
      <c r="AH666" s="1" t="s">
        <v>58</v>
      </c>
      <c r="AI666" s="1" t="s">
        <v>59</v>
      </c>
      <c r="AJ666" s="1" t="s">
        <v>59</v>
      </c>
      <c r="AK666" s="1" t="s">
        <v>60</v>
      </c>
      <c r="AL666" s="1" t="s">
        <v>60</v>
      </c>
      <c r="AW666" s="1" t="s">
        <v>1362</v>
      </c>
      <c r="AY666" s="1">
        <v>1.0</v>
      </c>
      <c r="AZ666" s="1">
        <v>499.99</v>
      </c>
      <c r="BB666" s="1">
        <v>499.99</v>
      </c>
    </row>
    <row r="667">
      <c r="A667" s="1" t="s">
        <v>1360</v>
      </c>
      <c r="C667" s="1" t="s">
        <v>56</v>
      </c>
      <c r="D667" s="1" t="s">
        <v>1363</v>
      </c>
      <c r="Y667" s="2">
        <v>45519.0</v>
      </c>
      <c r="AE667" s="1">
        <v>499.99</v>
      </c>
      <c r="AG667" s="3" t="str">
        <f>"2000006181114931"</f>
        <v>2000006181114931</v>
      </c>
      <c r="AH667" s="1" t="s">
        <v>58</v>
      </c>
      <c r="AI667" s="1" t="s">
        <v>59</v>
      </c>
      <c r="AJ667" s="1" t="s">
        <v>59</v>
      </c>
      <c r="AK667" s="1" t="s">
        <v>60</v>
      </c>
      <c r="AL667" s="1" t="s">
        <v>60</v>
      </c>
      <c r="AW667" s="1" t="s">
        <v>1362</v>
      </c>
      <c r="AY667" s="1">
        <v>1.0</v>
      </c>
      <c r="AZ667" s="1">
        <v>499.99</v>
      </c>
      <c r="BB667" s="1">
        <v>499.99</v>
      </c>
    </row>
    <row r="668">
      <c r="A668" s="1" t="s">
        <v>764</v>
      </c>
      <c r="C668" s="1" t="s">
        <v>56</v>
      </c>
      <c r="D668" s="1" t="s">
        <v>1364</v>
      </c>
      <c r="Y668" s="2">
        <v>45519.0</v>
      </c>
      <c r="AE668" s="1">
        <v>66.99</v>
      </c>
      <c r="AG668" s="3" t="str">
        <f>"2000006181108745"</f>
        <v>2000006181108745</v>
      </c>
      <c r="AH668" s="1" t="s">
        <v>58</v>
      </c>
      <c r="AI668" s="1" t="s">
        <v>59</v>
      </c>
      <c r="AJ668" s="1" t="s">
        <v>59</v>
      </c>
      <c r="AK668" s="1" t="s">
        <v>60</v>
      </c>
      <c r="AL668" s="1" t="s">
        <v>60</v>
      </c>
      <c r="AW668" s="1" t="s">
        <v>766</v>
      </c>
      <c r="AY668" s="1">
        <v>1.0</v>
      </c>
      <c r="AZ668" s="1">
        <v>66.99</v>
      </c>
      <c r="BB668" s="1">
        <v>66.99</v>
      </c>
    </row>
    <row r="669">
      <c r="A669" s="1" t="s">
        <v>62</v>
      </c>
      <c r="C669" s="1" t="s">
        <v>56</v>
      </c>
      <c r="D669" s="1" t="s">
        <v>1365</v>
      </c>
      <c r="Y669" s="2">
        <v>45519.0</v>
      </c>
      <c r="AE669" s="1">
        <v>249.49</v>
      </c>
      <c r="AG669" s="3" t="str">
        <f>"2000006181109379"</f>
        <v>2000006181109379</v>
      </c>
      <c r="AH669" s="1" t="s">
        <v>58</v>
      </c>
      <c r="AI669" s="1" t="s">
        <v>59</v>
      </c>
      <c r="AJ669" s="1" t="s">
        <v>59</v>
      </c>
      <c r="AK669" s="1" t="s">
        <v>60</v>
      </c>
      <c r="AL669" s="1" t="s">
        <v>60</v>
      </c>
      <c r="AW669" s="1" t="s">
        <v>64</v>
      </c>
      <c r="AY669" s="1">
        <v>1.0</v>
      </c>
      <c r="AZ669" s="1">
        <v>249.49</v>
      </c>
      <c r="BB669" s="1">
        <v>249.49</v>
      </c>
    </row>
    <row r="670">
      <c r="A670" s="1" t="s">
        <v>86</v>
      </c>
      <c r="C670" s="1" t="s">
        <v>56</v>
      </c>
      <c r="D670" s="1" t="s">
        <v>1366</v>
      </c>
      <c r="Y670" s="2">
        <v>45519.0</v>
      </c>
      <c r="AE670" s="1">
        <v>64.99</v>
      </c>
      <c r="AG670" s="3" t="str">
        <f>"2000006181093863"</f>
        <v>2000006181093863</v>
      </c>
      <c r="AH670" s="1" t="s">
        <v>58</v>
      </c>
      <c r="AI670" s="1" t="s">
        <v>59</v>
      </c>
      <c r="AJ670" s="1" t="s">
        <v>59</v>
      </c>
      <c r="AK670" s="1" t="s">
        <v>60</v>
      </c>
      <c r="AL670" s="1" t="s">
        <v>60</v>
      </c>
      <c r="AW670" s="1" t="s">
        <v>88</v>
      </c>
      <c r="AY670" s="1">
        <v>1.0</v>
      </c>
      <c r="AZ670" s="1">
        <v>64.99</v>
      </c>
      <c r="BB670" s="1">
        <v>64.99</v>
      </c>
    </row>
    <row r="671">
      <c r="A671" s="1" t="s">
        <v>283</v>
      </c>
      <c r="C671" s="1" t="s">
        <v>56</v>
      </c>
      <c r="D671" s="1" t="s">
        <v>1367</v>
      </c>
      <c r="Y671" s="2">
        <v>45519.0</v>
      </c>
      <c r="AE671" s="1">
        <v>499.99</v>
      </c>
      <c r="AG671" s="3" t="str">
        <f>"2000009046855438"</f>
        <v>2000009046855438</v>
      </c>
      <c r="AH671" s="1" t="s">
        <v>58</v>
      </c>
      <c r="AI671" s="1" t="s">
        <v>59</v>
      </c>
      <c r="AJ671" s="1" t="s">
        <v>59</v>
      </c>
      <c r="AK671" s="1" t="s">
        <v>60</v>
      </c>
      <c r="AL671" s="1" t="s">
        <v>60</v>
      </c>
      <c r="AW671" s="1" t="s">
        <v>285</v>
      </c>
      <c r="AY671" s="1">
        <v>1.0</v>
      </c>
      <c r="AZ671" s="1">
        <v>499.99</v>
      </c>
      <c r="BB671" s="1">
        <v>499.99</v>
      </c>
    </row>
    <row r="672">
      <c r="A672" s="1" t="s">
        <v>68</v>
      </c>
      <c r="C672" s="1" t="s">
        <v>56</v>
      </c>
      <c r="D672" s="1" t="s">
        <v>1368</v>
      </c>
      <c r="Y672" s="2">
        <v>45519.0</v>
      </c>
      <c r="AE672" s="1">
        <v>49.99</v>
      </c>
      <c r="AG672" s="3" t="str">
        <f>"2000006181048333"</f>
        <v>2000006181048333</v>
      </c>
      <c r="AH672" s="1" t="s">
        <v>58</v>
      </c>
      <c r="AI672" s="1" t="s">
        <v>59</v>
      </c>
      <c r="AJ672" s="1" t="s">
        <v>59</v>
      </c>
      <c r="AK672" s="1" t="s">
        <v>60</v>
      </c>
      <c r="AL672" s="1" t="s">
        <v>60</v>
      </c>
      <c r="AW672" s="1" t="s">
        <v>70</v>
      </c>
      <c r="AY672" s="1">
        <v>1.0</v>
      </c>
      <c r="AZ672" s="1">
        <v>49.99</v>
      </c>
      <c r="BB672" s="1">
        <v>49.99</v>
      </c>
    </row>
    <row r="673">
      <c r="A673" s="1" t="s">
        <v>886</v>
      </c>
      <c r="C673" s="1" t="s">
        <v>56</v>
      </c>
      <c r="D673" s="1" t="s">
        <v>1369</v>
      </c>
      <c r="Y673" s="2">
        <v>45519.0</v>
      </c>
      <c r="AE673" s="1">
        <v>69.99</v>
      </c>
      <c r="AG673" s="3" t="str">
        <f>"2000006180989449"</f>
        <v>2000006180989449</v>
      </c>
      <c r="AH673" s="1" t="s">
        <v>58</v>
      </c>
      <c r="AI673" s="1" t="s">
        <v>59</v>
      </c>
      <c r="AJ673" s="1" t="s">
        <v>59</v>
      </c>
      <c r="AK673" s="1" t="s">
        <v>60</v>
      </c>
      <c r="AL673" s="1" t="s">
        <v>60</v>
      </c>
      <c r="AW673" s="1" t="s">
        <v>888</v>
      </c>
      <c r="AY673" s="1">
        <v>1.0</v>
      </c>
      <c r="AZ673" s="1">
        <v>69.99</v>
      </c>
      <c r="BB673" s="1">
        <v>69.99</v>
      </c>
    </row>
    <row r="674">
      <c r="A674" s="1" t="s">
        <v>1228</v>
      </c>
      <c r="C674" s="1" t="s">
        <v>56</v>
      </c>
      <c r="D674" s="1" t="s">
        <v>1370</v>
      </c>
      <c r="Y674" s="2">
        <v>45519.0</v>
      </c>
      <c r="AE674" s="1">
        <v>109.99</v>
      </c>
      <c r="AG674" s="3" t="str">
        <f>"2000006180945571"</f>
        <v>2000006180945571</v>
      </c>
      <c r="AH674" s="1" t="s">
        <v>58</v>
      </c>
      <c r="AI674" s="1" t="s">
        <v>59</v>
      </c>
      <c r="AJ674" s="1" t="s">
        <v>59</v>
      </c>
      <c r="AK674" s="1" t="s">
        <v>60</v>
      </c>
      <c r="AL674" s="1" t="s">
        <v>60</v>
      </c>
      <c r="AW674" s="1" t="s">
        <v>1230</v>
      </c>
      <c r="AY674" s="1">
        <v>1.0</v>
      </c>
      <c r="AZ674" s="1">
        <v>109.99</v>
      </c>
      <c r="BB674" s="1">
        <v>109.99</v>
      </c>
    </row>
    <row r="675">
      <c r="A675" s="1" t="s">
        <v>1371</v>
      </c>
      <c r="C675" s="1" t="s">
        <v>56</v>
      </c>
      <c r="D675" s="1" t="s">
        <v>1372</v>
      </c>
      <c r="Y675" s="2">
        <v>45519.0</v>
      </c>
      <c r="AE675" s="1">
        <v>99.99</v>
      </c>
      <c r="AG675" s="3" t="str">
        <f>"2000006180929447"</f>
        <v>2000006180929447</v>
      </c>
      <c r="AH675" s="1" t="s">
        <v>58</v>
      </c>
      <c r="AI675" s="1" t="s">
        <v>59</v>
      </c>
      <c r="AJ675" s="1" t="s">
        <v>59</v>
      </c>
      <c r="AK675" s="1" t="s">
        <v>60</v>
      </c>
      <c r="AL675" s="1" t="s">
        <v>60</v>
      </c>
      <c r="AW675" s="1" t="s">
        <v>1373</v>
      </c>
      <c r="AY675" s="1">
        <v>1.0</v>
      </c>
      <c r="AZ675" s="1">
        <v>99.99</v>
      </c>
      <c r="BB675" s="1">
        <v>99.99</v>
      </c>
    </row>
    <row r="676">
      <c r="A676" s="1" t="s">
        <v>1057</v>
      </c>
      <c r="C676" s="1" t="s">
        <v>56</v>
      </c>
      <c r="D676" s="1" t="s">
        <v>1374</v>
      </c>
      <c r="Y676" s="2">
        <v>45519.0</v>
      </c>
      <c r="AE676" s="1">
        <v>289.99</v>
      </c>
      <c r="AG676" s="3" t="str">
        <f>"2000006180590687"</f>
        <v>2000006180590687</v>
      </c>
      <c r="AH676" s="1" t="s">
        <v>58</v>
      </c>
      <c r="AI676" s="1" t="s">
        <v>59</v>
      </c>
      <c r="AJ676" s="1" t="s">
        <v>59</v>
      </c>
      <c r="AK676" s="1" t="s">
        <v>60</v>
      </c>
      <c r="AL676" s="1" t="s">
        <v>60</v>
      </c>
      <c r="AW676" s="1" t="s">
        <v>1059</v>
      </c>
      <c r="AY676" s="1">
        <v>1.0</v>
      </c>
      <c r="AZ676" s="1">
        <v>289.99</v>
      </c>
      <c r="BB676" s="1">
        <v>289.99</v>
      </c>
    </row>
    <row r="677">
      <c r="A677" s="1" t="s">
        <v>68</v>
      </c>
      <c r="C677" s="1" t="s">
        <v>56</v>
      </c>
      <c r="D677" s="1" t="s">
        <v>1375</v>
      </c>
      <c r="Y677" s="2">
        <v>45519.0</v>
      </c>
      <c r="AE677" s="1">
        <v>99.98</v>
      </c>
      <c r="AG677" s="3" t="str">
        <f>"2000006180934413"</f>
        <v>2000006180934413</v>
      </c>
      <c r="AH677" s="1" t="s">
        <v>58</v>
      </c>
      <c r="AI677" s="1" t="s">
        <v>59</v>
      </c>
      <c r="AJ677" s="1" t="s">
        <v>59</v>
      </c>
      <c r="AK677" s="1" t="s">
        <v>60</v>
      </c>
      <c r="AL677" s="1" t="s">
        <v>60</v>
      </c>
      <c r="AW677" s="1" t="s">
        <v>70</v>
      </c>
      <c r="AY677" s="1">
        <v>2.0</v>
      </c>
      <c r="AZ677" s="1">
        <v>49.99</v>
      </c>
      <c r="BB677" s="1">
        <v>99.98</v>
      </c>
    </row>
    <row r="678">
      <c r="A678" s="1" t="s">
        <v>150</v>
      </c>
      <c r="C678" s="1" t="s">
        <v>56</v>
      </c>
      <c r="D678" s="1" t="s">
        <v>1376</v>
      </c>
      <c r="Y678" s="2">
        <v>45519.0</v>
      </c>
      <c r="AE678" s="1">
        <v>114.99</v>
      </c>
      <c r="AG678" s="3" t="str">
        <f>"2000006180933865"</f>
        <v>2000006180933865</v>
      </c>
      <c r="AH678" s="1" t="s">
        <v>58</v>
      </c>
      <c r="AI678" s="1" t="s">
        <v>59</v>
      </c>
      <c r="AJ678" s="1" t="s">
        <v>59</v>
      </c>
      <c r="AK678" s="1" t="s">
        <v>60</v>
      </c>
      <c r="AL678" s="1" t="s">
        <v>60</v>
      </c>
      <c r="AW678" s="1" t="s">
        <v>152</v>
      </c>
      <c r="AY678" s="1">
        <v>1.0</v>
      </c>
      <c r="AZ678" s="1">
        <v>114.99</v>
      </c>
      <c r="BB678" s="1">
        <v>114.99</v>
      </c>
    </row>
    <row r="679">
      <c r="A679" s="1" t="s">
        <v>1377</v>
      </c>
      <c r="C679" s="1" t="s">
        <v>56</v>
      </c>
      <c r="D679" s="1" t="s">
        <v>1378</v>
      </c>
      <c r="Y679" s="2">
        <v>45519.0</v>
      </c>
      <c r="AE679" s="1">
        <v>99.99</v>
      </c>
      <c r="AG679" s="3" t="str">
        <f>"2000006180890559"</f>
        <v>2000006180890559</v>
      </c>
      <c r="AH679" s="1" t="s">
        <v>58</v>
      </c>
      <c r="AI679" s="1" t="s">
        <v>59</v>
      </c>
      <c r="AJ679" s="1" t="s">
        <v>59</v>
      </c>
      <c r="AK679" s="1" t="s">
        <v>60</v>
      </c>
      <c r="AL679" s="1" t="s">
        <v>60</v>
      </c>
      <c r="AW679" s="1" t="s">
        <v>1379</v>
      </c>
      <c r="AY679" s="1">
        <v>1.0</v>
      </c>
      <c r="AZ679" s="1">
        <v>99.99</v>
      </c>
      <c r="BB679" s="1">
        <v>99.99</v>
      </c>
    </row>
    <row r="680">
      <c r="A680" s="1" t="s">
        <v>1106</v>
      </c>
      <c r="C680" s="1" t="s">
        <v>56</v>
      </c>
      <c r="D680" s="1" t="s">
        <v>1380</v>
      </c>
      <c r="Y680" s="2">
        <v>45519.0</v>
      </c>
      <c r="AE680" s="1">
        <v>49.99</v>
      </c>
      <c r="AG680" s="3" t="str">
        <f>"2000006180876445"</f>
        <v>2000006180876445</v>
      </c>
      <c r="AH680" s="1" t="s">
        <v>58</v>
      </c>
      <c r="AI680" s="1" t="s">
        <v>59</v>
      </c>
      <c r="AJ680" s="1" t="s">
        <v>59</v>
      </c>
      <c r="AK680" s="1" t="s">
        <v>60</v>
      </c>
      <c r="AL680" s="1" t="s">
        <v>60</v>
      </c>
      <c r="AW680" s="1" t="s">
        <v>97</v>
      </c>
      <c r="AY680" s="1">
        <v>1.0</v>
      </c>
      <c r="AZ680" s="1">
        <v>49.99</v>
      </c>
      <c r="BB680" s="1">
        <v>49.99</v>
      </c>
    </row>
    <row r="681">
      <c r="A681" s="1" t="s">
        <v>1336</v>
      </c>
      <c r="C681" s="1" t="s">
        <v>56</v>
      </c>
      <c r="D681" s="1" t="s">
        <v>1381</v>
      </c>
      <c r="Y681" s="2">
        <v>45519.0</v>
      </c>
      <c r="AE681" s="1">
        <v>49.99</v>
      </c>
      <c r="AG681" s="3" t="str">
        <f t="shared" ref="AG681:AG683" si="24">"2000006180847617"</f>
        <v>2000006180847617</v>
      </c>
      <c r="AH681" s="1" t="s">
        <v>58</v>
      </c>
      <c r="AI681" s="1" t="s">
        <v>59</v>
      </c>
      <c r="AJ681" s="1" t="s">
        <v>59</v>
      </c>
      <c r="AK681" s="1" t="s">
        <v>60</v>
      </c>
      <c r="AL681" s="1" t="s">
        <v>60</v>
      </c>
      <c r="AW681" s="1" t="s">
        <v>1338</v>
      </c>
      <c r="AY681" s="1">
        <v>1.0</v>
      </c>
      <c r="AZ681" s="1">
        <v>49.99</v>
      </c>
      <c r="BB681" s="1">
        <v>49.99</v>
      </c>
    </row>
    <row r="682">
      <c r="A682" s="1" t="s">
        <v>1382</v>
      </c>
      <c r="C682" s="1" t="s">
        <v>56</v>
      </c>
      <c r="D682" s="1" t="s">
        <v>1381</v>
      </c>
      <c r="Y682" s="2">
        <v>45519.0</v>
      </c>
      <c r="AE682" s="1">
        <v>159.98</v>
      </c>
      <c r="AG682" s="3" t="str">
        <f t="shared" si="24"/>
        <v>2000006180847617</v>
      </c>
      <c r="AH682" s="1" t="s">
        <v>58</v>
      </c>
      <c r="AI682" s="1" t="s">
        <v>59</v>
      </c>
      <c r="AJ682" s="1" t="s">
        <v>59</v>
      </c>
      <c r="AK682" s="1" t="s">
        <v>60</v>
      </c>
      <c r="AL682" s="1" t="s">
        <v>60</v>
      </c>
      <c r="AW682" s="1" t="s">
        <v>1383</v>
      </c>
      <c r="AY682" s="1">
        <v>2.0</v>
      </c>
      <c r="AZ682" s="1">
        <v>79.99</v>
      </c>
      <c r="BB682" s="1">
        <v>159.98</v>
      </c>
    </row>
    <row r="683">
      <c r="A683" s="1" t="s">
        <v>1384</v>
      </c>
      <c r="C683" s="1" t="s">
        <v>56</v>
      </c>
      <c r="D683" s="1" t="s">
        <v>1381</v>
      </c>
      <c r="Y683" s="2">
        <v>45519.0</v>
      </c>
      <c r="AE683" s="1">
        <v>129.99</v>
      </c>
      <c r="AG683" s="3" t="str">
        <f t="shared" si="24"/>
        <v>2000006180847617</v>
      </c>
      <c r="AH683" s="1" t="s">
        <v>58</v>
      </c>
      <c r="AI683" s="1" t="s">
        <v>59</v>
      </c>
      <c r="AJ683" s="1" t="s">
        <v>59</v>
      </c>
      <c r="AK683" s="1" t="s">
        <v>60</v>
      </c>
      <c r="AL683" s="1" t="s">
        <v>60</v>
      </c>
      <c r="AW683" s="1" t="s">
        <v>1385</v>
      </c>
      <c r="AY683" s="1">
        <v>1.0</v>
      </c>
      <c r="AZ683" s="1">
        <v>129.99</v>
      </c>
      <c r="BB683" s="1">
        <v>129.99</v>
      </c>
    </row>
    <row r="684">
      <c r="A684" s="1" t="s">
        <v>1386</v>
      </c>
      <c r="C684" s="1" t="s">
        <v>235</v>
      </c>
      <c r="D684" s="1" t="s">
        <v>1387</v>
      </c>
      <c r="Y684" s="2">
        <v>45519.0</v>
      </c>
      <c r="AE684" s="1">
        <v>54.99</v>
      </c>
      <c r="AG684" s="3" t="str">
        <f>"2000006180721917"</f>
        <v>2000006180721917</v>
      </c>
      <c r="AH684" s="1" t="s">
        <v>58</v>
      </c>
      <c r="AI684" s="1" t="s">
        <v>59</v>
      </c>
      <c r="AJ684" s="1" t="s">
        <v>59</v>
      </c>
      <c r="AK684" s="1" t="s">
        <v>60</v>
      </c>
      <c r="AL684" s="1" t="s">
        <v>60</v>
      </c>
      <c r="AW684" s="1" t="s">
        <v>1388</v>
      </c>
      <c r="AY684" s="1">
        <v>1.0</v>
      </c>
      <c r="AZ684" s="1">
        <v>54.99</v>
      </c>
      <c r="BB684" s="1">
        <v>54.99</v>
      </c>
    </row>
    <row r="685">
      <c r="A685" s="1" t="s">
        <v>98</v>
      </c>
      <c r="C685" s="1" t="s">
        <v>56</v>
      </c>
      <c r="D685" s="1" t="s">
        <v>1389</v>
      </c>
      <c r="Y685" s="2">
        <v>45519.0</v>
      </c>
      <c r="AE685" s="1">
        <v>45.99</v>
      </c>
      <c r="AG685" s="3" t="str">
        <f>"2000006180830541"</f>
        <v>2000006180830541</v>
      </c>
      <c r="AH685" s="1" t="s">
        <v>58</v>
      </c>
      <c r="AI685" s="1" t="s">
        <v>59</v>
      </c>
      <c r="AJ685" s="1" t="s">
        <v>59</v>
      </c>
      <c r="AK685" s="1" t="s">
        <v>60</v>
      </c>
      <c r="AL685" s="1" t="s">
        <v>60</v>
      </c>
      <c r="AW685" s="1" t="s">
        <v>100</v>
      </c>
      <c r="AY685" s="1">
        <v>1.0</v>
      </c>
      <c r="AZ685" s="1">
        <v>45.99</v>
      </c>
      <c r="BB685" s="1">
        <v>45.99</v>
      </c>
    </row>
    <row r="686">
      <c r="A686" s="1" t="s">
        <v>781</v>
      </c>
      <c r="C686" s="1" t="s">
        <v>56</v>
      </c>
      <c r="D686" s="1" t="s">
        <v>1390</v>
      </c>
      <c r="Y686" s="2">
        <v>45519.0</v>
      </c>
      <c r="AE686" s="1">
        <v>149.99</v>
      </c>
      <c r="AG686" s="3" t="str">
        <f>"2000006180825903"</f>
        <v>2000006180825903</v>
      </c>
      <c r="AH686" s="1" t="s">
        <v>58</v>
      </c>
      <c r="AI686" s="1" t="s">
        <v>59</v>
      </c>
      <c r="AJ686" s="1" t="s">
        <v>59</v>
      </c>
      <c r="AK686" s="1" t="s">
        <v>60</v>
      </c>
      <c r="AL686" s="1" t="s">
        <v>60</v>
      </c>
      <c r="AW686" s="1" t="s">
        <v>783</v>
      </c>
      <c r="AY686" s="1">
        <v>1.0</v>
      </c>
      <c r="AZ686" s="1">
        <v>149.99</v>
      </c>
      <c r="BB686" s="1">
        <v>149.99</v>
      </c>
    </row>
    <row r="687">
      <c r="A687" s="1" t="s">
        <v>1391</v>
      </c>
      <c r="C687" s="1" t="s">
        <v>56</v>
      </c>
      <c r="D687" s="1" t="s">
        <v>1392</v>
      </c>
      <c r="Y687" s="2">
        <v>45519.0</v>
      </c>
      <c r="AE687" s="1">
        <v>479.99</v>
      </c>
      <c r="AG687" s="3" t="str">
        <f>"2000009046377264"</f>
        <v>2000009046377264</v>
      </c>
      <c r="AH687" s="1" t="s">
        <v>58</v>
      </c>
      <c r="AI687" s="1" t="s">
        <v>59</v>
      </c>
      <c r="AJ687" s="1" t="s">
        <v>59</v>
      </c>
      <c r="AK687" s="1" t="s">
        <v>60</v>
      </c>
      <c r="AL687" s="1" t="s">
        <v>60</v>
      </c>
      <c r="AW687" s="1" t="s">
        <v>1393</v>
      </c>
      <c r="AY687" s="1">
        <v>1.0</v>
      </c>
      <c r="AZ687" s="1">
        <v>479.99</v>
      </c>
      <c r="BB687" s="1">
        <v>479.99</v>
      </c>
    </row>
    <row r="688">
      <c r="A688" s="1" t="s">
        <v>1394</v>
      </c>
      <c r="C688" s="1" t="s">
        <v>56</v>
      </c>
      <c r="D688" s="1" t="s">
        <v>1395</v>
      </c>
      <c r="Y688" s="2">
        <v>45519.0</v>
      </c>
      <c r="AE688" s="1">
        <v>63.99</v>
      </c>
      <c r="AG688" s="3" t="str">
        <f>"2000006180827109"</f>
        <v>2000006180827109</v>
      </c>
      <c r="AH688" s="1" t="s">
        <v>58</v>
      </c>
      <c r="AI688" s="1" t="s">
        <v>59</v>
      </c>
      <c r="AJ688" s="1" t="s">
        <v>59</v>
      </c>
      <c r="AK688" s="1" t="s">
        <v>60</v>
      </c>
      <c r="AL688" s="1" t="s">
        <v>60</v>
      </c>
      <c r="AW688" s="1" t="s">
        <v>1396</v>
      </c>
      <c r="AY688" s="1">
        <v>1.0</v>
      </c>
      <c r="AZ688" s="1">
        <v>63.99</v>
      </c>
      <c r="BB688" s="1">
        <v>63.99</v>
      </c>
    </row>
    <row r="689">
      <c r="A689" s="1" t="s">
        <v>1397</v>
      </c>
      <c r="C689" s="1" t="s">
        <v>235</v>
      </c>
      <c r="D689" s="1" t="s">
        <v>1398</v>
      </c>
      <c r="Y689" s="2">
        <v>45519.0</v>
      </c>
      <c r="AE689" s="1">
        <v>39.99</v>
      </c>
      <c r="AG689" s="3" t="str">
        <f>"2000006180765217"</f>
        <v>2000006180765217</v>
      </c>
      <c r="AH689" s="1" t="s">
        <v>58</v>
      </c>
      <c r="AI689" s="1" t="s">
        <v>59</v>
      </c>
      <c r="AJ689" s="1" t="s">
        <v>59</v>
      </c>
      <c r="AK689" s="1" t="s">
        <v>60</v>
      </c>
      <c r="AL689" s="1" t="s">
        <v>60</v>
      </c>
      <c r="AW689" s="1" t="s">
        <v>149</v>
      </c>
      <c r="AY689" s="1">
        <v>1.0</v>
      </c>
      <c r="AZ689" s="1">
        <v>39.99</v>
      </c>
      <c r="BB689" s="1">
        <v>39.99</v>
      </c>
    </row>
    <row r="690">
      <c r="A690" s="1" t="s">
        <v>293</v>
      </c>
      <c r="C690" s="1" t="s">
        <v>56</v>
      </c>
      <c r="D690" s="1" t="s">
        <v>1399</v>
      </c>
      <c r="Y690" s="2">
        <v>45519.0</v>
      </c>
      <c r="AE690" s="1">
        <v>54.99</v>
      </c>
      <c r="AG690" s="3" t="str">
        <f>"2000006180737037"</f>
        <v>2000006180737037</v>
      </c>
      <c r="AH690" s="1" t="s">
        <v>58</v>
      </c>
      <c r="AI690" s="1" t="s">
        <v>59</v>
      </c>
      <c r="AJ690" s="1" t="s">
        <v>59</v>
      </c>
      <c r="AK690" s="1" t="s">
        <v>60</v>
      </c>
      <c r="AL690" s="1" t="s">
        <v>60</v>
      </c>
      <c r="AW690" s="1" t="s">
        <v>295</v>
      </c>
      <c r="AY690" s="1">
        <v>1.0</v>
      </c>
      <c r="AZ690" s="1">
        <v>54.99</v>
      </c>
      <c r="BB690" s="1">
        <v>54.99</v>
      </c>
    </row>
    <row r="691">
      <c r="A691" s="1" t="s">
        <v>903</v>
      </c>
      <c r="C691" s="1" t="s">
        <v>56</v>
      </c>
      <c r="D691" s="1" t="s">
        <v>1400</v>
      </c>
      <c r="Y691" s="2">
        <v>45519.0</v>
      </c>
      <c r="AE691" s="1">
        <v>64.99</v>
      </c>
      <c r="AG691" s="3" t="str">
        <f>"2000006180668321"</f>
        <v>2000006180668321</v>
      </c>
      <c r="AH691" s="1" t="s">
        <v>58</v>
      </c>
      <c r="AI691" s="1" t="s">
        <v>59</v>
      </c>
      <c r="AJ691" s="1" t="s">
        <v>59</v>
      </c>
      <c r="AK691" s="1" t="s">
        <v>60</v>
      </c>
      <c r="AL691" s="1" t="s">
        <v>60</v>
      </c>
      <c r="AW691" s="1" t="s">
        <v>905</v>
      </c>
      <c r="AY691" s="1">
        <v>1.0</v>
      </c>
      <c r="AZ691" s="1">
        <v>64.99</v>
      </c>
      <c r="BB691" s="1">
        <v>64.99</v>
      </c>
    </row>
    <row r="692">
      <c r="A692" s="1" t="s">
        <v>567</v>
      </c>
      <c r="C692" s="1" t="s">
        <v>56</v>
      </c>
      <c r="D692" s="1" t="s">
        <v>1401</v>
      </c>
      <c r="Y692" s="2">
        <v>45519.0</v>
      </c>
      <c r="AE692" s="1">
        <v>89.98</v>
      </c>
      <c r="AG692" s="3" t="str">
        <f>"2000006180667121"</f>
        <v>2000006180667121</v>
      </c>
      <c r="AH692" s="1" t="s">
        <v>58</v>
      </c>
      <c r="AI692" s="1" t="s">
        <v>59</v>
      </c>
      <c r="AJ692" s="1" t="s">
        <v>59</v>
      </c>
      <c r="AK692" s="1" t="s">
        <v>60</v>
      </c>
      <c r="AL692" s="1" t="s">
        <v>60</v>
      </c>
      <c r="AW692" s="1" t="s">
        <v>569</v>
      </c>
      <c r="AY692" s="1">
        <v>2.0</v>
      </c>
      <c r="AZ692" s="1">
        <v>44.99</v>
      </c>
      <c r="BB692" s="1">
        <v>89.98</v>
      </c>
    </row>
    <row r="693">
      <c r="A693" s="1" t="s">
        <v>1402</v>
      </c>
      <c r="C693" s="1" t="s">
        <v>56</v>
      </c>
      <c r="D693" s="1" t="s">
        <v>1403</v>
      </c>
      <c r="Y693" s="2">
        <v>45519.0</v>
      </c>
      <c r="AE693" s="1">
        <v>39.99</v>
      </c>
      <c r="AG693" s="3" t="str">
        <f>"2000006180628625"</f>
        <v>2000006180628625</v>
      </c>
      <c r="AH693" s="1" t="s">
        <v>58</v>
      </c>
      <c r="AI693" s="1" t="s">
        <v>59</v>
      </c>
      <c r="AJ693" s="1" t="s">
        <v>59</v>
      </c>
      <c r="AK693" s="1" t="s">
        <v>60</v>
      </c>
      <c r="AL693" s="1" t="s">
        <v>60</v>
      </c>
      <c r="AW693" s="1" t="s">
        <v>149</v>
      </c>
      <c r="AY693" s="1">
        <v>1.0</v>
      </c>
      <c r="AZ693" s="1">
        <v>39.99</v>
      </c>
      <c r="BB693" s="1">
        <v>39.99</v>
      </c>
    </row>
    <row r="694">
      <c r="A694" s="1" t="s">
        <v>699</v>
      </c>
      <c r="C694" s="1" t="s">
        <v>56</v>
      </c>
      <c r="D694" s="1" t="s">
        <v>1404</v>
      </c>
      <c r="Y694" s="2">
        <v>45519.0</v>
      </c>
      <c r="AE694" s="1">
        <v>79.99</v>
      </c>
      <c r="AG694" s="3" t="str">
        <f>"2000006180647791"</f>
        <v>2000006180647791</v>
      </c>
      <c r="AH694" s="1" t="s">
        <v>58</v>
      </c>
      <c r="AI694" s="1" t="s">
        <v>59</v>
      </c>
      <c r="AJ694" s="1" t="s">
        <v>59</v>
      </c>
      <c r="AK694" s="1" t="s">
        <v>60</v>
      </c>
      <c r="AL694" s="1" t="s">
        <v>60</v>
      </c>
      <c r="AW694" s="1" t="s">
        <v>700</v>
      </c>
      <c r="AY694" s="1">
        <v>1.0</v>
      </c>
      <c r="AZ694" s="1">
        <v>79.99</v>
      </c>
      <c r="BB694" s="1">
        <v>79.99</v>
      </c>
    </row>
    <row r="695">
      <c r="A695" s="1" t="s">
        <v>1405</v>
      </c>
      <c r="C695" s="1" t="s">
        <v>56</v>
      </c>
      <c r="D695" s="1" t="s">
        <v>1406</v>
      </c>
      <c r="Y695" s="2">
        <v>45519.0</v>
      </c>
      <c r="AE695" s="1">
        <v>64.99</v>
      </c>
      <c r="AG695" s="3" t="str">
        <f t="shared" ref="AG695:AG697" si="25">"2000006180144367"</f>
        <v>2000006180144367</v>
      </c>
      <c r="AH695" s="1" t="s">
        <v>58</v>
      </c>
      <c r="AI695" s="1" t="s">
        <v>59</v>
      </c>
      <c r="AJ695" s="1" t="s">
        <v>59</v>
      </c>
      <c r="AK695" s="1" t="s">
        <v>60</v>
      </c>
      <c r="AL695" s="1" t="s">
        <v>60</v>
      </c>
      <c r="AW695" s="1" t="s">
        <v>440</v>
      </c>
      <c r="AY695" s="1">
        <v>1.0</v>
      </c>
      <c r="AZ695" s="1">
        <v>64.99</v>
      </c>
      <c r="BB695" s="1">
        <v>64.99</v>
      </c>
    </row>
    <row r="696">
      <c r="A696" s="1" t="s">
        <v>559</v>
      </c>
      <c r="C696" s="1" t="s">
        <v>56</v>
      </c>
      <c r="D696" s="1" t="s">
        <v>1406</v>
      </c>
      <c r="Y696" s="2">
        <v>45519.0</v>
      </c>
      <c r="AE696" s="1">
        <v>59.99</v>
      </c>
      <c r="AG696" s="3" t="str">
        <f t="shared" si="25"/>
        <v>2000006180144367</v>
      </c>
      <c r="AH696" s="1" t="s">
        <v>58</v>
      </c>
      <c r="AI696" s="1" t="s">
        <v>59</v>
      </c>
      <c r="AJ696" s="1" t="s">
        <v>59</v>
      </c>
      <c r="AK696" s="1" t="s">
        <v>60</v>
      </c>
      <c r="AL696" s="1" t="s">
        <v>60</v>
      </c>
      <c r="AW696" s="1" t="s">
        <v>558</v>
      </c>
      <c r="AY696" s="1">
        <v>1.0</v>
      </c>
      <c r="AZ696" s="1">
        <v>59.99</v>
      </c>
      <c r="BB696" s="1">
        <v>59.99</v>
      </c>
    </row>
    <row r="697">
      <c r="A697" s="1" t="s">
        <v>1407</v>
      </c>
      <c r="C697" s="1" t="s">
        <v>56</v>
      </c>
      <c r="D697" s="1" t="s">
        <v>1406</v>
      </c>
      <c r="Y697" s="2">
        <v>45519.0</v>
      </c>
      <c r="AE697" s="1">
        <v>64.99</v>
      </c>
      <c r="AG697" s="3" t="str">
        <f t="shared" si="25"/>
        <v>2000006180144367</v>
      </c>
      <c r="AH697" s="1" t="s">
        <v>58</v>
      </c>
      <c r="AI697" s="1" t="s">
        <v>59</v>
      </c>
      <c r="AJ697" s="1" t="s">
        <v>59</v>
      </c>
      <c r="AK697" s="1" t="s">
        <v>60</v>
      </c>
      <c r="AL697" s="1" t="s">
        <v>60</v>
      </c>
      <c r="AW697" s="1" t="s">
        <v>440</v>
      </c>
      <c r="AY697" s="1">
        <v>1.0</v>
      </c>
      <c r="AZ697" s="1">
        <v>64.99</v>
      </c>
      <c r="BB697" s="1">
        <v>64.99</v>
      </c>
    </row>
    <row r="698">
      <c r="A698" s="1" t="s">
        <v>1407</v>
      </c>
      <c r="C698" s="1" t="s">
        <v>56</v>
      </c>
      <c r="D698" s="1" t="s">
        <v>1406</v>
      </c>
      <c r="Y698" s="2">
        <v>45519.0</v>
      </c>
      <c r="AE698" s="1">
        <v>129.98</v>
      </c>
      <c r="AG698" s="3" t="str">
        <f t="shared" ref="AG698:AG699" si="26">"2000006180144365"</f>
        <v>2000006180144365</v>
      </c>
      <c r="AH698" s="1" t="s">
        <v>58</v>
      </c>
      <c r="AI698" s="1" t="s">
        <v>59</v>
      </c>
      <c r="AJ698" s="1" t="s">
        <v>59</v>
      </c>
      <c r="AK698" s="1" t="s">
        <v>60</v>
      </c>
      <c r="AL698" s="1" t="s">
        <v>60</v>
      </c>
      <c r="AW698" s="1" t="s">
        <v>440</v>
      </c>
      <c r="AY698" s="1">
        <v>2.0</v>
      </c>
      <c r="AZ698" s="1">
        <v>64.99</v>
      </c>
      <c r="BB698" s="1">
        <v>129.98</v>
      </c>
    </row>
    <row r="699">
      <c r="A699" s="1" t="s">
        <v>1405</v>
      </c>
      <c r="C699" s="1" t="s">
        <v>56</v>
      </c>
      <c r="D699" s="1" t="s">
        <v>1406</v>
      </c>
      <c r="Y699" s="2">
        <v>45519.0</v>
      </c>
      <c r="AE699" s="1">
        <v>64.99</v>
      </c>
      <c r="AG699" s="3" t="str">
        <f t="shared" si="26"/>
        <v>2000006180144365</v>
      </c>
      <c r="AH699" s="1" t="s">
        <v>58</v>
      </c>
      <c r="AI699" s="1" t="s">
        <v>59</v>
      </c>
      <c r="AJ699" s="1" t="s">
        <v>59</v>
      </c>
      <c r="AK699" s="1" t="s">
        <v>60</v>
      </c>
      <c r="AL699" s="1" t="s">
        <v>60</v>
      </c>
      <c r="AW699" s="1" t="s">
        <v>440</v>
      </c>
      <c r="AY699" s="1">
        <v>1.0</v>
      </c>
      <c r="AZ699" s="1">
        <v>64.99</v>
      </c>
      <c r="BB699" s="1">
        <v>64.99</v>
      </c>
    </row>
    <row r="700">
      <c r="A700" s="1" t="s">
        <v>438</v>
      </c>
      <c r="C700" s="1" t="s">
        <v>56</v>
      </c>
      <c r="D700" s="1" t="s">
        <v>1406</v>
      </c>
      <c r="Y700" s="2">
        <v>45519.0</v>
      </c>
      <c r="AE700" s="1">
        <v>64.99</v>
      </c>
      <c r="AG700" s="3" t="str">
        <f t="shared" ref="AG700:AG702" si="27">"2000006180144363"</f>
        <v>2000006180144363</v>
      </c>
      <c r="AH700" s="1" t="s">
        <v>58</v>
      </c>
      <c r="AI700" s="1" t="s">
        <v>59</v>
      </c>
      <c r="AJ700" s="1" t="s">
        <v>59</v>
      </c>
      <c r="AK700" s="1" t="s">
        <v>60</v>
      </c>
      <c r="AL700" s="1" t="s">
        <v>60</v>
      </c>
      <c r="AW700" s="1" t="s">
        <v>440</v>
      </c>
      <c r="AY700" s="1">
        <v>1.0</v>
      </c>
      <c r="AZ700" s="1">
        <v>64.99</v>
      </c>
      <c r="BB700" s="1">
        <v>64.99</v>
      </c>
    </row>
    <row r="701">
      <c r="A701" s="1" t="s">
        <v>556</v>
      </c>
      <c r="C701" s="1" t="s">
        <v>56</v>
      </c>
      <c r="D701" s="1" t="s">
        <v>1406</v>
      </c>
      <c r="Y701" s="2">
        <v>45519.0</v>
      </c>
      <c r="AE701" s="1">
        <v>59.99</v>
      </c>
      <c r="AG701" s="3" t="str">
        <f t="shared" si="27"/>
        <v>2000006180144363</v>
      </c>
      <c r="AH701" s="1" t="s">
        <v>58</v>
      </c>
      <c r="AI701" s="1" t="s">
        <v>59</v>
      </c>
      <c r="AJ701" s="1" t="s">
        <v>59</v>
      </c>
      <c r="AK701" s="1" t="s">
        <v>60</v>
      </c>
      <c r="AL701" s="1" t="s">
        <v>60</v>
      </c>
      <c r="AW701" s="1" t="s">
        <v>558</v>
      </c>
      <c r="AY701" s="1">
        <v>1.0</v>
      </c>
      <c r="AZ701" s="1">
        <v>59.99</v>
      </c>
      <c r="BB701" s="1">
        <v>59.99</v>
      </c>
    </row>
    <row r="702">
      <c r="A702" s="1" t="s">
        <v>1405</v>
      </c>
      <c r="C702" s="1" t="s">
        <v>56</v>
      </c>
      <c r="D702" s="1" t="s">
        <v>1406</v>
      </c>
      <c r="Y702" s="2">
        <v>45519.0</v>
      </c>
      <c r="AE702" s="1">
        <v>64.99</v>
      </c>
      <c r="AG702" s="3" t="str">
        <f t="shared" si="27"/>
        <v>2000006180144363</v>
      </c>
      <c r="AH702" s="1" t="s">
        <v>58</v>
      </c>
      <c r="AI702" s="1" t="s">
        <v>59</v>
      </c>
      <c r="AJ702" s="1" t="s">
        <v>59</v>
      </c>
      <c r="AK702" s="1" t="s">
        <v>60</v>
      </c>
      <c r="AL702" s="1" t="s">
        <v>60</v>
      </c>
      <c r="AW702" s="1" t="s">
        <v>440</v>
      </c>
      <c r="AY702" s="1">
        <v>1.0</v>
      </c>
      <c r="AZ702" s="1">
        <v>64.99</v>
      </c>
      <c r="BB702" s="1">
        <v>64.99</v>
      </c>
    </row>
    <row r="703">
      <c r="A703" s="1" t="s">
        <v>798</v>
      </c>
      <c r="C703" s="1" t="s">
        <v>56</v>
      </c>
      <c r="D703" s="1" t="s">
        <v>1408</v>
      </c>
      <c r="Y703" s="2">
        <v>45519.0</v>
      </c>
      <c r="AE703" s="1">
        <v>89.99</v>
      </c>
      <c r="AG703" s="3" t="str">
        <f>"2000006180571585"</f>
        <v>2000006180571585</v>
      </c>
      <c r="AH703" s="1" t="s">
        <v>58</v>
      </c>
      <c r="AI703" s="1" t="s">
        <v>59</v>
      </c>
      <c r="AJ703" s="1" t="s">
        <v>59</v>
      </c>
      <c r="AK703" s="1" t="s">
        <v>60</v>
      </c>
      <c r="AL703" s="1" t="s">
        <v>60</v>
      </c>
      <c r="AW703" s="1" t="s">
        <v>800</v>
      </c>
      <c r="AY703" s="1">
        <v>1.0</v>
      </c>
      <c r="AZ703" s="1">
        <v>89.99</v>
      </c>
      <c r="BB703" s="1">
        <v>89.99</v>
      </c>
    </row>
    <row r="704">
      <c r="A704" s="1" t="s">
        <v>1409</v>
      </c>
      <c r="C704" s="1" t="s">
        <v>56</v>
      </c>
      <c r="D704" s="1" t="s">
        <v>1410</v>
      </c>
      <c r="Y704" s="2">
        <v>45519.0</v>
      </c>
      <c r="AE704" s="1">
        <v>99.99</v>
      </c>
      <c r="AG704" s="3" t="str">
        <f>"2000006180518447"</f>
        <v>2000006180518447</v>
      </c>
      <c r="AH704" s="1" t="s">
        <v>58</v>
      </c>
      <c r="AI704" s="1" t="s">
        <v>59</v>
      </c>
      <c r="AJ704" s="1" t="s">
        <v>59</v>
      </c>
      <c r="AK704" s="1" t="s">
        <v>60</v>
      </c>
      <c r="AL704" s="1" t="s">
        <v>60</v>
      </c>
      <c r="AW704" s="1" t="s">
        <v>1411</v>
      </c>
      <c r="AY704" s="1">
        <v>1.0</v>
      </c>
      <c r="AZ704" s="1">
        <v>99.99</v>
      </c>
      <c r="BB704" s="1">
        <v>99.99</v>
      </c>
    </row>
    <row r="705">
      <c r="A705" s="1" t="s">
        <v>1412</v>
      </c>
      <c r="C705" s="1" t="s">
        <v>56</v>
      </c>
      <c r="D705" s="1" t="s">
        <v>1413</v>
      </c>
      <c r="Y705" s="2">
        <v>45519.0</v>
      </c>
      <c r="AE705" s="1">
        <v>49.99</v>
      </c>
      <c r="AG705" s="3" t="str">
        <f>"2000009045649668"</f>
        <v>2000009045649668</v>
      </c>
      <c r="AH705" s="1" t="s">
        <v>58</v>
      </c>
      <c r="AI705" s="1" t="s">
        <v>59</v>
      </c>
      <c r="AJ705" s="1" t="s">
        <v>59</v>
      </c>
      <c r="AK705" s="1" t="s">
        <v>60</v>
      </c>
      <c r="AL705" s="1" t="s">
        <v>60</v>
      </c>
      <c r="AW705" s="1" t="s">
        <v>1414</v>
      </c>
      <c r="AY705" s="1">
        <v>1.0</v>
      </c>
      <c r="AZ705" s="1">
        <v>49.99</v>
      </c>
      <c r="BB705" s="1">
        <v>49.99</v>
      </c>
    </row>
    <row r="706">
      <c r="A706" s="1" t="s">
        <v>1415</v>
      </c>
      <c r="C706" s="1" t="s">
        <v>56</v>
      </c>
      <c r="D706" s="1" t="s">
        <v>1416</v>
      </c>
      <c r="Y706" s="2">
        <v>45519.0</v>
      </c>
      <c r="AE706" s="1">
        <v>549.99</v>
      </c>
      <c r="AG706" s="3" t="str">
        <f>"2000009045740646"</f>
        <v>2000009045740646</v>
      </c>
      <c r="AH706" s="1" t="s">
        <v>58</v>
      </c>
      <c r="AI706" s="1" t="s">
        <v>59</v>
      </c>
      <c r="AJ706" s="1" t="s">
        <v>59</v>
      </c>
      <c r="AK706" s="1" t="s">
        <v>60</v>
      </c>
      <c r="AL706" s="1" t="s">
        <v>60</v>
      </c>
      <c r="AW706" s="1" t="s">
        <v>1417</v>
      </c>
      <c r="AY706" s="1">
        <v>1.0</v>
      </c>
      <c r="AZ706" s="1">
        <v>549.99</v>
      </c>
      <c r="BB706" s="1">
        <v>549.99</v>
      </c>
    </row>
    <row r="707">
      <c r="A707" s="1" t="s">
        <v>390</v>
      </c>
      <c r="C707" s="1" t="s">
        <v>56</v>
      </c>
      <c r="D707" s="1" t="s">
        <v>1418</v>
      </c>
      <c r="Y707" s="2">
        <v>45519.0</v>
      </c>
      <c r="AE707" s="1">
        <v>159.98</v>
      </c>
      <c r="AG707" s="3" t="str">
        <f>"2000006180446119"</f>
        <v>2000006180446119</v>
      </c>
      <c r="AH707" s="1" t="s">
        <v>58</v>
      </c>
      <c r="AI707" s="1" t="s">
        <v>59</v>
      </c>
      <c r="AJ707" s="1" t="s">
        <v>59</v>
      </c>
      <c r="AK707" s="1" t="s">
        <v>60</v>
      </c>
      <c r="AL707" s="1" t="s">
        <v>60</v>
      </c>
      <c r="AW707" s="1" t="s">
        <v>392</v>
      </c>
      <c r="AY707" s="1">
        <v>2.0</v>
      </c>
      <c r="AZ707" s="1">
        <v>79.99</v>
      </c>
      <c r="BB707" s="1">
        <v>159.98</v>
      </c>
    </row>
    <row r="708">
      <c r="A708" s="1" t="s">
        <v>789</v>
      </c>
      <c r="C708" s="1" t="s">
        <v>56</v>
      </c>
      <c r="D708" s="1" t="s">
        <v>1419</v>
      </c>
      <c r="Y708" s="2">
        <v>45519.0</v>
      </c>
      <c r="AE708" s="1">
        <v>129.99</v>
      </c>
      <c r="AG708" s="3" t="str">
        <f>"2000009045678212"</f>
        <v>2000009045678212</v>
      </c>
      <c r="AH708" s="1" t="s">
        <v>58</v>
      </c>
      <c r="AI708" s="1" t="s">
        <v>59</v>
      </c>
      <c r="AJ708" s="1" t="s">
        <v>59</v>
      </c>
      <c r="AK708" s="1" t="s">
        <v>60</v>
      </c>
      <c r="AL708" s="1" t="s">
        <v>60</v>
      </c>
      <c r="AW708" s="1" t="s">
        <v>791</v>
      </c>
      <c r="AY708" s="1">
        <v>1.0</v>
      </c>
      <c r="AZ708" s="1">
        <v>129.99</v>
      </c>
      <c r="BB708" s="1">
        <v>129.99</v>
      </c>
    </row>
    <row r="709">
      <c r="A709" s="1" t="s">
        <v>1420</v>
      </c>
      <c r="C709" s="1" t="s">
        <v>56</v>
      </c>
      <c r="D709" s="1" t="s">
        <v>1421</v>
      </c>
      <c r="Y709" s="2">
        <v>45519.0</v>
      </c>
      <c r="AE709" s="1">
        <v>629.99</v>
      </c>
      <c r="AG709" s="3" t="str">
        <f>"2000006180430145"</f>
        <v>2000006180430145</v>
      </c>
      <c r="AH709" s="1" t="s">
        <v>58</v>
      </c>
      <c r="AI709" s="1" t="s">
        <v>59</v>
      </c>
      <c r="AJ709" s="1" t="s">
        <v>59</v>
      </c>
      <c r="AK709" s="1" t="s">
        <v>60</v>
      </c>
      <c r="AL709" s="1" t="s">
        <v>60</v>
      </c>
      <c r="AW709" s="1" t="s">
        <v>1422</v>
      </c>
      <c r="AY709" s="1">
        <v>1.0</v>
      </c>
      <c r="AZ709" s="1">
        <v>629.99</v>
      </c>
      <c r="BB709" s="1">
        <v>629.99</v>
      </c>
    </row>
    <row r="710">
      <c r="A710" s="1" t="s">
        <v>221</v>
      </c>
      <c r="C710" s="1" t="s">
        <v>56</v>
      </c>
      <c r="D710" s="1" t="s">
        <v>1423</v>
      </c>
      <c r="Y710" s="2">
        <v>45519.0</v>
      </c>
      <c r="AE710" s="1">
        <v>99.99</v>
      </c>
      <c r="AG710" s="3" t="str">
        <f>"2000006180389431"</f>
        <v>2000006180389431</v>
      </c>
      <c r="AH710" s="1" t="s">
        <v>58</v>
      </c>
      <c r="AI710" s="1" t="s">
        <v>59</v>
      </c>
      <c r="AJ710" s="1" t="s">
        <v>59</v>
      </c>
      <c r="AK710" s="1" t="s">
        <v>60</v>
      </c>
      <c r="AL710" s="1" t="s">
        <v>60</v>
      </c>
      <c r="AW710" s="1" t="s">
        <v>223</v>
      </c>
      <c r="AY710" s="1">
        <v>1.0</v>
      </c>
      <c r="AZ710" s="1">
        <v>99.99</v>
      </c>
      <c r="BB710" s="1">
        <v>99.99</v>
      </c>
    </row>
    <row r="711">
      <c r="A711" s="1" t="s">
        <v>144</v>
      </c>
      <c r="C711" s="1" t="s">
        <v>56</v>
      </c>
      <c r="D711" s="1" t="s">
        <v>1424</v>
      </c>
      <c r="Y711" s="2">
        <v>45519.0</v>
      </c>
      <c r="AE711" s="1">
        <v>79.99</v>
      </c>
      <c r="AG711" s="3" t="str">
        <f>"2000006180384265"</f>
        <v>2000006180384265</v>
      </c>
      <c r="AH711" s="1" t="s">
        <v>58</v>
      </c>
      <c r="AI711" s="1" t="s">
        <v>59</v>
      </c>
      <c r="AJ711" s="1" t="s">
        <v>59</v>
      </c>
      <c r="AK711" s="1" t="s">
        <v>60</v>
      </c>
      <c r="AL711" s="1" t="s">
        <v>60</v>
      </c>
      <c r="AW711" s="1" t="s">
        <v>146</v>
      </c>
      <c r="AY711" s="1">
        <v>1.0</v>
      </c>
      <c r="AZ711" s="1">
        <v>79.99</v>
      </c>
      <c r="BB711" s="1">
        <v>79.99</v>
      </c>
    </row>
    <row r="712">
      <c r="A712" s="1" t="s">
        <v>567</v>
      </c>
      <c r="C712" s="1" t="s">
        <v>56</v>
      </c>
      <c r="D712" s="1" t="s">
        <v>1425</v>
      </c>
      <c r="Y712" s="2">
        <v>45519.0</v>
      </c>
      <c r="AE712" s="1">
        <v>44.99</v>
      </c>
      <c r="AG712" s="3" t="str">
        <f>"2000006180151693"</f>
        <v>2000006180151693</v>
      </c>
      <c r="AH712" s="1" t="s">
        <v>58</v>
      </c>
      <c r="AI712" s="1" t="s">
        <v>59</v>
      </c>
      <c r="AJ712" s="1" t="s">
        <v>59</v>
      </c>
      <c r="AK712" s="1" t="s">
        <v>60</v>
      </c>
      <c r="AL712" s="1" t="s">
        <v>60</v>
      </c>
      <c r="AW712" s="1" t="s">
        <v>569</v>
      </c>
      <c r="AY712" s="1">
        <v>1.0</v>
      </c>
      <c r="AZ712" s="1">
        <v>44.99</v>
      </c>
      <c r="BB712" s="1">
        <v>44.99</v>
      </c>
    </row>
    <row r="713">
      <c r="A713" s="1" t="s">
        <v>567</v>
      </c>
      <c r="C713" s="1" t="s">
        <v>56</v>
      </c>
      <c r="D713" s="1" t="s">
        <v>1425</v>
      </c>
      <c r="Y713" s="2">
        <v>45519.0</v>
      </c>
      <c r="AE713" s="1">
        <v>179.96</v>
      </c>
      <c r="AG713" s="3" t="str">
        <f>"2000006180151691"</f>
        <v>2000006180151691</v>
      </c>
      <c r="AH713" s="1" t="s">
        <v>58</v>
      </c>
      <c r="AI713" s="1" t="s">
        <v>59</v>
      </c>
      <c r="AJ713" s="1" t="s">
        <v>59</v>
      </c>
      <c r="AK713" s="1" t="s">
        <v>60</v>
      </c>
      <c r="AL713" s="1" t="s">
        <v>60</v>
      </c>
      <c r="AW713" s="1" t="s">
        <v>569</v>
      </c>
      <c r="AY713" s="1">
        <v>4.0</v>
      </c>
      <c r="AZ713" s="1">
        <v>44.99</v>
      </c>
      <c r="BB713" s="1">
        <v>179.96</v>
      </c>
    </row>
    <row r="714">
      <c r="A714" s="1" t="s">
        <v>1253</v>
      </c>
      <c r="C714" s="1" t="s">
        <v>56</v>
      </c>
      <c r="D714" s="1" t="s">
        <v>1426</v>
      </c>
      <c r="Y714" s="2">
        <v>45519.0</v>
      </c>
      <c r="AE714" s="1">
        <v>69.99</v>
      </c>
      <c r="AG714" s="3" t="str">
        <f>"2000006180337529"</f>
        <v>2000006180337529</v>
      </c>
      <c r="AH714" s="1" t="s">
        <v>58</v>
      </c>
      <c r="AI714" s="1" t="s">
        <v>59</v>
      </c>
      <c r="AJ714" s="1" t="s">
        <v>59</v>
      </c>
      <c r="AK714" s="1" t="s">
        <v>60</v>
      </c>
      <c r="AL714" s="1" t="s">
        <v>60</v>
      </c>
      <c r="AW714" s="1" t="s">
        <v>1254</v>
      </c>
      <c r="AY714" s="1">
        <v>1.0</v>
      </c>
      <c r="AZ714" s="1">
        <v>69.99</v>
      </c>
      <c r="BB714" s="1">
        <v>69.99</v>
      </c>
    </row>
    <row r="715">
      <c r="A715" s="1" t="s">
        <v>135</v>
      </c>
      <c r="C715" s="1" t="s">
        <v>56</v>
      </c>
      <c r="D715" s="1" t="s">
        <v>1427</v>
      </c>
      <c r="Y715" s="2">
        <v>45519.0</v>
      </c>
      <c r="AE715" s="1">
        <v>89.99</v>
      </c>
      <c r="AG715" s="3" t="str">
        <f>"2000006180327887"</f>
        <v>2000006180327887</v>
      </c>
      <c r="AH715" s="1" t="s">
        <v>58</v>
      </c>
      <c r="AI715" s="1" t="s">
        <v>59</v>
      </c>
      <c r="AJ715" s="1" t="s">
        <v>59</v>
      </c>
      <c r="AK715" s="1" t="s">
        <v>60</v>
      </c>
      <c r="AL715" s="1" t="s">
        <v>60</v>
      </c>
      <c r="AW715" s="1" t="s">
        <v>137</v>
      </c>
      <c r="AY715" s="1">
        <v>1.0</v>
      </c>
      <c r="AZ715" s="1">
        <v>89.99</v>
      </c>
      <c r="BB715" s="1">
        <v>89.99</v>
      </c>
    </row>
    <row r="716">
      <c r="A716" s="1" t="s">
        <v>671</v>
      </c>
      <c r="C716" s="1" t="s">
        <v>56</v>
      </c>
      <c r="D716" s="1" t="s">
        <v>1428</v>
      </c>
      <c r="Y716" s="2">
        <v>45519.0</v>
      </c>
      <c r="AE716" s="1">
        <v>39.99</v>
      </c>
      <c r="AG716" s="3" t="str">
        <f t="shared" ref="AG716:AG717" si="28">"2000006180261251"</f>
        <v>2000006180261251</v>
      </c>
      <c r="AH716" s="1" t="s">
        <v>58</v>
      </c>
      <c r="AI716" s="1" t="s">
        <v>59</v>
      </c>
      <c r="AJ716" s="1" t="s">
        <v>59</v>
      </c>
      <c r="AK716" s="1" t="s">
        <v>60</v>
      </c>
      <c r="AL716" s="1" t="s">
        <v>60</v>
      </c>
      <c r="AW716" s="1" t="s">
        <v>673</v>
      </c>
      <c r="AY716" s="1">
        <v>1.0</v>
      </c>
      <c r="AZ716" s="1">
        <v>39.99</v>
      </c>
      <c r="BB716" s="1">
        <v>39.99</v>
      </c>
    </row>
    <row r="717">
      <c r="A717" s="1" t="s">
        <v>1429</v>
      </c>
      <c r="C717" s="1" t="s">
        <v>56</v>
      </c>
      <c r="D717" s="1" t="s">
        <v>1428</v>
      </c>
      <c r="Y717" s="2">
        <v>45519.0</v>
      </c>
      <c r="AE717" s="1">
        <v>49.99</v>
      </c>
      <c r="AG717" s="3" t="str">
        <f t="shared" si="28"/>
        <v>2000006180261251</v>
      </c>
      <c r="AH717" s="1" t="s">
        <v>58</v>
      </c>
      <c r="AI717" s="1" t="s">
        <v>59</v>
      </c>
      <c r="AJ717" s="1" t="s">
        <v>59</v>
      </c>
      <c r="AK717" s="1" t="s">
        <v>60</v>
      </c>
      <c r="AL717" s="1" t="s">
        <v>60</v>
      </c>
      <c r="AW717" s="1" t="s">
        <v>97</v>
      </c>
      <c r="AY717" s="1">
        <v>1.0</v>
      </c>
      <c r="AZ717" s="1">
        <v>49.99</v>
      </c>
      <c r="BB717" s="1">
        <v>49.99</v>
      </c>
    </row>
    <row r="718">
      <c r="A718" s="1" t="s">
        <v>457</v>
      </c>
      <c r="C718" s="1" t="s">
        <v>56</v>
      </c>
      <c r="D718" s="1" t="s">
        <v>1430</v>
      </c>
      <c r="Y718" s="2">
        <v>45519.0</v>
      </c>
      <c r="AE718" s="1">
        <v>139.99</v>
      </c>
      <c r="AG718" s="3" t="str">
        <f>"2000006180289237"</f>
        <v>2000006180289237</v>
      </c>
      <c r="AH718" s="1" t="s">
        <v>58</v>
      </c>
      <c r="AI718" s="1" t="s">
        <v>59</v>
      </c>
      <c r="AJ718" s="1" t="s">
        <v>59</v>
      </c>
      <c r="AK718" s="1" t="s">
        <v>60</v>
      </c>
      <c r="AL718" s="1" t="s">
        <v>60</v>
      </c>
      <c r="AW718" s="1" t="s">
        <v>279</v>
      </c>
      <c r="AY718" s="1">
        <v>1.0</v>
      </c>
      <c r="AZ718" s="1">
        <v>139.99</v>
      </c>
      <c r="BB718" s="1">
        <v>139.99</v>
      </c>
    </row>
    <row r="719">
      <c r="A719" s="1" t="s">
        <v>1431</v>
      </c>
      <c r="C719" s="1" t="s">
        <v>56</v>
      </c>
      <c r="D719" s="1" t="s">
        <v>1432</v>
      </c>
      <c r="Y719" s="2">
        <v>45519.0</v>
      </c>
      <c r="AE719" s="1">
        <v>109.99</v>
      </c>
      <c r="AG719" s="3" t="str">
        <f>"2000006180232237"</f>
        <v>2000006180232237</v>
      </c>
      <c r="AH719" s="1" t="s">
        <v>58</v>
      </c>
      <c r="AI719" s="1" t="s">
        <v>59</v>
      </c>
      <c r="AJ719" s="1" t="s">
        <v>59</v>
      </c>
      <c r="AK719" s="1" t="s">
        <v>60</v>
      </c>
      <c r="AL719" s="1" t="s">
        <v>60</v>
      </c>
      <c r="AW719" s="1" t="s">
        <v>1433</v>
      </c>
      <c r="AY719" s="1">
        <v>1.0</v>
      </c>
      <c r="AZ719" s="1">
        <v>109.99</v>
      </c>
      <c r="BB719" s="1">
        <v>109.99</v>
      </c>
    </row>
    <row r="720">
      <c r="A720" s="1" t="s">
        <v>153</v>
      </c>
      <c r="C720" s="1" t="s">
        <v>56</v>
      </c>
      <c r="D720" s="1" t="s">
        <v>1434</v>
      </c>
      <c r="Y720" s="2">
        <v>45519.0</v>
      </c>
      <c r="AE720" s="1">
        <v>47.18</v>
      </c>
      <c r="AG720" s="3" t="str">
        <f>"2000006180158617"</f>
        <v>2000006180158617</v>
      </c>
      <c r="AH720" s="1" t="s">
        <v>58</v>
      </c>
      <c r="AI720" s="1" t="s">
        <v>59</v>
      </c>
      <c r="AJ720" s="1" t="s">
        <v>59</v>
      </c>
      <c r="AK720" s="1" t="s">
        <v>60</v>
      </c>
      <c r="AL720" s="1" t="s">
        <v>60</v>
      </c>
      <c r="AW720" s="1" t="s">
        <v>155</v>
      </c>
      <c r="AY720" s="1">
        <v>1.0</v>
      </c>
      <c r="AZ720" s="1">
        <v>47.18</v>
      </c>
      <c r="BB720" s="1">
        <v>47.18</v>
      </c>
    </row>
    <row r="721">
      <c r="A721" s="1" t="s">
        <v>1435</v>
      </c>
      <c r="C721" s="1" t="s">
        <v>56</v>
      </c>
      <c r="D721" s="1" t="s">
        <v>1436</v>
      </c>
      <c r="Y721" s="2">
        <v>45519.0</v>
      </c>
      <c r="AE721" s="1">
        <v>59.99</v>
      </c>
      <c r="AG721" s="3" t="str">
        <f>"2000006180156239"</f>
        <v>2000006180156239</v>
      </c>
      <c r="AH721" s="1" t="s">
        <v>58</v>
      </c>
      <c r="AI721" s="1" t="s">
        <v>59</v>
      </c>
      <c r="AJ721" s="1" t="s">
        <v>59</v>
      </c>
      <c r="AK721" s="1" t="s">
        <v>60</v>
      </c>
      <c r="AL721" s="1" t="s">
        <v>60</v>
      </c>
      <c r="AW721" s="1" t="s">
        <v>1437</v>
      </c>
      <c r="AY721" s="1">
        <v>1.0</v>
      </c>
      <c r="AZ721" s="1">
        <v>59.99</v>
      </c>
      <c r="BB721" s="1">
        <v>59.99</v>
      </c>
    </row>
    <row r="722">
      <c r="A722" s="1" t="s">
        <v>1438</v>
      </c>
      <c r="C722" s="1" t="s">
        <v>56</v>
      </c>
      <c r="D722" s="1" t="s">
        <v>1439</v>
      </c>
      <c r="Y722" s="2">
        <v>45519.0</v>
      </c>
      <c r="AE722" s="1">
        <v>129.99</v>
      </c>
      <c r="AG722" s="3" t="str">
        <f>"2000009045077092"</f>
        <v>2000009045077092</v>
      </c>
      <c r="AH722" s="1" t="s">
        <v>58</v>
      </c>
      <c r="AI722" s="1" t="s">
        <v>59</v>
      </c>
      <c r="AJ722" s="1" t="s">
        <v>59</v>
      </c>
      <c r="AK722" s="1" t="s">
        <v>60</v>
      </c>
      <c r="AL722" s="1" t="s">
        <v>60</v>
      </c>
      <c r="AW722" s="1" t="s">
        <v>1440</v>
      </c>
      <c r="AY722" s="1">
        <v>1.0</v>
      </c>
      <c r="AZ722" s="1">
        <v>129.99</v>
      </c>
      <c r="BB722" s="1">
        <v>129.99</v>
      </c>
    </row>
    <row r="723">
      <c r="A723" s="1" t="s">
        <v>918</v>
      </c>
      <c r="C723" s="1" t="s">
        <v>56</v>
      </c>
      <c r="D723" s="1" t="s">
        <v>1441</v>
      </c>
      <c r="Y723" s="2">
        <v>45519.0</v>
      </c>
      <c r="AE723" s="1">
        <v>139.99</v>
      </c>
      <c r="AG723" s="3" t="str">
        <f t="shared" ref="AG723:AG724" si="29">"2000006180031605"</f>
        <v>2000006180031605</v>
      </c>
      <c r="AH723" s="1" t="s">
        <v>58</v>
      </c>
      <c r="AI723" s="1" t="s">
        <v>59</v>
      </c>
      <c r="AJ723" s="1" t="s">
        <v>59</v>
      </c>
      <c r="AK723" s="1" t="s">
        <v>60</v>
      </c>
      <c r="AL723" s="1" t="s">
        <v>60</v>
      </c>
      <c r="AW723" s="1" t="s">
        <v>920</v>
      </c>
      <c r="AY723" s="1">
        <v>1.0</v>
      </c>
      <c r="AZ723" s="1">
        <v>139.99</v>
      </c>
      <c r="BB723" s="1">
        <v>139.99</v>
      </c>
    </row>
    <row r="724">
      <c r="A724" s="1" t="s">
        <v>1442</v>
      </c>
      <c r="C724" s="1" t="s">
        <v>56</v>
      </c>
      <c r="D724" s="1" t="s">
        <v>1441</v>
      </c>
      <c r="Y724" s="2">
        <v>45519.0</v>
      </c>
      <c r="AE724" s="1">
        <v>99.99</v>
      </c>
      <c r="AG724" s="3" t="str">
        <f t="shared" si="29"/>
        <v>2000006180031605</v>
      </c>
      <c r="AH724" s="1" t="s">
        <v>58</v>
      </c>
      <c r="AI724" s="1" t="s">
        <v>59</v>
      </c>
      <c r="AJ724" s="1" t="s">
        <v>59</v>
      </c>
      <c r="AK724" s="1" t="s">
        <v>60</v>
      </c>
      <c r="AL724" s="1" t="s">
        <v>60</v>
      </c>
      <c r="AW724" s="1" t="s">
        <v>1443</v>
      </c>
      <c r="AY724" s="1">
        <v>1.0</v>
      </c>
      <c r="AZ724" s="1">
        <v>99.99</v>
      </c>
      <c r="BB724" s="1">
        <v>99.99</v>
      </c>
    </row>
    <row r="725">
      <c r="A725" s="1" t="s">
        <v>351</v>
      </c>
      <c r="C725" s="1" t="s">
        <v>56</v>
      </c>
      <c r="D725" s="1" t="s">
        <v>1444</v>
      </c>
      <c r="Y725" s="2">
        <v>45519.0</v>
      </c>
      <c r="AE725" s="1">
        <v>119.99</v>
      </c>
      <c r="AG725" s="3" t="str">
        <f>"2000006179986049"</f>
        <v>2000006179986049</v>
      </c>
      <c r="AH725" s="1" t="s">
        <v>58</v>
      </c>
      <c r="AI725" s="1" t="s">
        <v>59</v>
      </c>
      <c r="AJ725" s="1" t="s">
        <v>59</v>
      </c>
      <c r="AK725" s="1" t="s">
        <v>60</v>
      </c>
      <c r="AL725" s="1" t="s">
        <v>60</v>
      </c>
      <c r="AW725" s="1" t="s">
        <v>353</v>
      </c>
      <c r="AY725" s="1">
        <v>1.0</v>
      </c>
      <c r="AZ725" s="1">
        <v>119.99</v>
      </c>
      <c r="BB725" s="1">
        <v>119.99</v>
      </c>
    </row>
    <row r="726">
      <c r="A726" s="1" t="s">
        <v>880</v>
      </c>
      <c r="C726" s="1" t="s">
        <v>56</v>
      </c>
      <c r="D726" s="1" t="s">
        <v>1445</v>
      </c>
      <c r="Y726" s="2">
        <v>45519.0</v>
      </c>
      <c r="AE726" s="1">
        <v>99.99</v>
      </c>
      <c r="AG726" s="3" t="str">
        <f>"2000006179961257"</f>
        <v>2000006179961257</v>
      </c>
      <c r="AH726" s="1" t="s">
        <v>58</v>
      </c>
      <c r="AI726" s="1" t="s">
        <v>59</v>
      </c>
      <c r="AJ726" s="1" t="s">
        <v>59</v>
      </c>
      <c r="AK726" s="1" t="s">
        <v>60</v>
      </c>
      <c r="AL726" s="1" t="s">
        <v>60</v>
      </c>
      <c r="AW726" s="1" t="s">
        <v>882</v>
      </c>
      <c r="AY726" s="1">
        <v>1.0</v>
      </c>
      <c r="AZ726" s="1">
        <v>99.99</v>
      </c>
      <c r="BB726" s="1">
        <v>99.99</v>
      </c>
    </row>
    <row r="727">
      <c r="A727" s="1" t="s">
        <v>655</v>
      </c>
      <c r="C727" s="1" t="s">
        <v>56</v>
      </c>
      <c r="D727" s="1" t="s">
        <v>1446</v>
      </c>
      <c r="Y727" s="2">
        <v>45519.0</v>
      </c>
      <c r="AE727" s="1">
        <v>74.99</v>
      </c>
      <c r="AG727" s="3" t="str">
        <f>"2000006179936527"</f>
        <v>2000006179936527</v>
      </c>
      <c r="AH727" s="1" t="s">
        <v>58</v>
      </c>
      <c r="AI727" s="1" t="s">
        <v>59</v>
      </c>
      <c r="AJ727" s="1" t="s">
        <v>59</v>
      </c>
      <c r="AK727" s="1" t="s">
        <v>60</v>
      </c>
      <c r="AL727" s="1" t="s">
        <v>60</v>
      </c>
      <c r="AW727" s="1" t="s">
        <v>657</v>
      </c>
      <c r="AY727" s="1">
        <v>1.0</v>
      </c>
      <c r="AZ727" s="1">
        <v>74.99</v>
      </c>
      <c r="BB727" s="1">
        <v>74.99</v>
      </c>
    </row>
    <row r="728">
      <c r="A728" s="1" t="s">
        <v>1447</v>
      </c>
      <c r="C728" s="1" t="s">
        <v>56</v>
      </c>
      <c r="D728" s="1" t="s">
        <v>1448</v>
      </c>
      <c r="Y728" s="2">
        <v>45519.0</v>
      </c>
      <c r="AE728" s="1">
        <v>149.98</v>
      </c>
      <c r="AG728" s="3" t="str">
        <f>"2000006179933851"</f>
        <v>2000006179933851</v>
      </c>
      <c r="AH728" s="1" t="s">
        <v>58</v>
      </c>
      <c r="AI728" s="1" t="s">
        <v>59</v>
      </c>
      <c r="AJ728" s="1" t="s">
        <v>59</v>
      </c>
      <c r="AK728" s="1" t="s">
        <v>60</v>
      </c>
      <c r="AL728" s="1" t="s">
        <v>60</v>
      </c>
      <c r="AW728" s="1" t="s">
        <v>1449</v>
      </c>
      <c r="AY728" s="1">
        <v>2.0</v>
      </c>
      <c r="AZ728" s="1">
        <v>74.99</v>
      </c>
      <c r="BB728" s="1">
        <v>149.98</v>
      </c>
    </row>
    <row r="729">
      <c r="A729" s="1" t="s">
        <v>1447</v>
      </c>
      <c r="C729" s="1" t="s">
        <v>56</v>
      </c>
      <c r="D729" s="1" t="s">
        <v>1448</v>
      </c>
      <c r="Y729" s="2">
        <v>45519.0</v>
      </c>
      <c r="AE729" s="1">
        <v>149.98</v>
      </c>
      <c r="AG729" s="3" t="str">
        <f>"2000006179933853"</f>
        <v>2000006179933853</v>
      </c>
      <c r="AH729" s="1" t="s">
        <v>58</v>
      </c>
      <c r="AI729" s="1" t="s">
        <v>59</v>
      </c>
      <c r="AJ729" s="1" t="s">
        <v>59</v>
      </c>
      <c r="AK729" s="1" t="s">
        <v>60</v>
      </c>
      <c r="AL729" s="1" t="s">
        <v>60</v>
      </c>
      <c r="AW729" s="1" t="s">
        <v>1449</v>
      </c>
      <c r="AY729" s="1">
        <v>2.0</v>
      </c>
      <c r="AZ729" s="1">
        <v>74.99</v>
      </c>
      <c r="BB729" s="1">
        <v>149.98</v>
      </c>
    </row>
    <row r="730">
      <c r="A730" s="1" t="s">
        <v>1450</v>
      </c>
      <c r="C730" s="1" t="s">
        <v>56</v>
      </c>
      <c r="D730" s="1" t="s">
        <v>1451</v>
      </c>
      <c r="Y730" s="2">
        <v>45519.0</v>
      </c>
      <c r="AE730" s="1">
        <v>79.99</v>
      </c>
      <c r="AG730" s="3" t="str">
        <f>"2000009044685980"</f>
        <v>2000009044685980</v>
      </c>
      <c r="AH730" s="1" t="s">
        <v>58</v>
      </c>
      <c r="AI730" s="1" t="s">
        <v>59</v>
      </c>
      <c r="AJ730" s="1" t="s">
        <v>59</v>
      </c>
      <c r="AK730" s="1" t="s">
        <v>60</v>
      </c>
      <c r="AL730" s="1" t="s">
        <v>60</v>
      </c>
      <c r="AW730" s="1" t="s">
        <v>1452</v>
      </c>
      <c r="AY730" s="1">
        <v>1.0</v>
      </c>
      <c r="AZ730" s="1">
        <v>79.99</v>
      </c>
      <c r="BB730" s="1">
        <v>79.99</v>
      </c>
    </row>
    <row r="731">
      <c r="A731" s="1" t="s">
        <v>360</v>
      </c>
      <c r="C731" s="1" t="s">
        <v>56</v>
      </c>
      <c r="D731" s="1" t="s">
        <v>1453</v>
      </c>
      <c r="Y731" s="2">
        <v>45519.0</v>
      </c>
      <c r="AE731" s="1">
        <v>47.18</v>
      </c>
      <c r="AG731" s="3" t="str">
        <f>"2000006179884557"</f>
        <v>2000006179884557</v>
      </c>
      <c r="AH731" s="1" t="s">
        <v>58</v>
      </c>
      <c r="AI731" s="1" t="s">
        <v>59</v>
      </c>
      <c r="AJ731" s="1" t="s">
        <v>59</v>
      </c>
      <c r="AK731" s="1" t="s">
        <v>60</v>
      </c>
      <c r="AL731" s="1" t="s">
        <v>60</v>
      </c>
      <c r="AW731" s="1" t="s">
        <v>155</v>
      </c>
      <c r="AY731" s="1">
        <v>1.0</v>
      </c>
      <c r="AZ731" s="1">
        <v>47.18</v>
      </c>
      <c r="BB731" s="1">
        <v>47.18</v>
      </c>
    </row>
    <row r="732">
      <c r="A732" s="1" t="s">
        <v>1041</v>
      </c>
      <c r="C732" s="1" t="s">
        <v>56</v>
      </c>
      <c r="D732" s="1" t="s">
        <v>1454</v>
      </c>
      <c r="Y732" s="2">
        <v>45519.0</v>
      </c>
      <c r="AE732" s="1">
        <v>499.99</v>
      </c>
      <c r="AG732" s="3" t="str">
        <f>"2000009044600958"</f>
        <v>2000009044600958</v>
      </c>
      <c r="AH732" s="1" t="s">
        <v>58</v>
      </c>
      <c r="AI732" s="1" t="s">
        <v>59</v>
      </c>
      <c r="AJ732" s="1" t="s">
        <v>59</v>
      </c>
      <c r="AK732" s="1" t="s">
        <v>60</v>
      </c>
      <c r="AL732" s="1" t="s">
        <v>60</v>
      </c>
      <c r="AW732" s="1" t="s">
        <v>1455</v>
      </c>
      <c r="AY732" s="1">
        <v>1.0</v>
      </c>
      <c r="AZ732" s="1">
        <v>499.99</v>
      </c>
      <c r="BB732" s="1">
        <v>499.99</v>
      </c>
    </row>
    <row r="733">
      <c r="A733" s="1" t="s">
        <v>1456</v>
      </c>
      <c r="C733" s="1" t="s">
        <v>56</v>
      </c>
      <c r="D733" s="1" t="s">
        <v>1457</v>
      </c>
      <c r="Y733" s="2">
        <v>45519.0</v>
      </c>
      <c r="AE733" s="1">
        <v>159.99</v>
      </c>
      <c r="AG733" s="3" t="str">
        <f>"2000009044542650"</f>
        <v>2000009044542650</v>
      </c>
      <c r="AH733" s="1" t="s">
        <v>58</v>
      </c>
      <c r="AI733" s="1" t="s">
        <v>59</v>
      </c>
      <c r="AJ733" s="1" t="s">
        <v>59</v>
      </c>
      <c r="AK733" s="1" t="s">
        <v>60</v>
      </c>
      <c r="AL733" s="1" t="s">
        <v>60</v>
      </c>
      <c r="AW733" s="1" t="s">
        <v>1458</v>
      </c>
      <c r="AY733" s="1">
        <v>1.0</v>
      </c>
      <c r="AZ733" s="1">
        <v>159.99</v>
      </c>
      <c r="BB733" s="1">
        <v>159.99</v>
      </c>
    </row>
    <row r="734">
      <c r="A734" s="1" t="s">
        <v>575</v>
      </c>
      <c r="C734" s="1" t="s">
        <v>56</v>
      </c>
      <c r="D734" s="1" t="s">
        <v>1459</v>
      </c>
      <c r="Y734" s="2">
        <v>45519.0</v>
      </c>
      <c r="AE734" s="1">
        <v>49.99</v>
      </c>
      <c r="AG734" s="3" t="str">
        <f>"2000006179746745"</f>
        <v>2000006179746745</v>
      </c>
      <c r="AH734" s="1" t="s">
        <v>58</v>
      </c>
      <c r="AI734" s="1" t="s">
        <v>59</v>
      </c>
      <c r="AJ734" s="1" t="s">
        <v>59</v>
      </c>
      <c r="AK734" s="1" t="s">
        <v>60</v>
      </c>
      <c r="AL734" s="1" t="s">
        <v>60</v>
      </c>
      <c r="AW734" s="1" t="s">
        <v>97</v>
      </c>
      <c r="AY734" s="1">
        <v>1.0</v>
      </c>
      <c r="AZ734" s="1">
        <v>49.99</v>
      </c>
      <c r="BB734" s="1">
        <v>49.99</v>
      </c>
    </row>
    <row r="735">
      <c r="A735" s="1" t="s">
        <v>1460</v>
      </c>
      <c r="C735" s="1" t="s">
        <v>56</v>
      </c>
      <c r="D735" s="1" t="s">
        <v>1461</v>
      </c>
      <c r="Y735" s="2">
        <v>45519.0</v>
      </c>
      <c r="AE735" s="1">
        <v>119.99</v>
      </c>
      <c r="AG735" s="3" t="str">
        <f>"2000006179745147"</f>
        <v>2000006179745147</v>
      </c>
      <c r="AH735" s="1" t="s">
        <v>58</v>
      </c>
      <c r="AI735" s="1" t="s">
        <v>59</v>
      </c>
      <c r="AJ735" s="1" t="s">
        <v>59</v>
      </c>
      <c r="AK735" s="1" t="s">
        <v>60</v>
      </c>
      <c r="AL735" s="1" t="s">
        <v>60</v>
      </c>
      <c r="AW735" s="1" t="s">
        <v>1462</v>
      </c>
      <c r="AY735" s="1">
        <v>1.0</v>
      </c>
      <c r="AZ735" s="1">
        <v>119.99</v>
      </c>
      <c r="BB735" s="1">
        <v>119.99</v>
      </c>
    </row>
    <row r="736">
      <c r="A736" s="1" t="s">
        <v>994</v>
      </c>
      <c r="C736" s="1" t="s">
        <v>56</v>
      </c>
      <c r="D736" s="1" t="s">
        <v>1463</v>
      </c>
      <c r="Y736" s="2">
        <v>45519.0</v>
      </c>
      <c r="AE736" s="1">
        <v>64.99</v>
      </c>
      <c r="AG736" s="3" t="str">
        <f>"2000009044176826"</f>
        <v>2000009044176826</v>
      </c>
      <c r="AH736" s="1" t="s">
        <v>58</v>
      </c>
      <c r="AI736" s="1" t="s">
        <v>59</v>
      </c>
      <c r="AJ736" s="1" t="s">
        <v>59</v>
      </c>
      <c r="AK736" s="1" t="s">
        <v>60</v>
      </c>
      <c r="AL736" s="1" t="s">
        <v>60</v>
      </c>
      <c r="AW736" s="1" t="s">
        <v>313</v>
      </c>
      <c r="AY736" s="1">
        <v>1.0</v>
      </c>
      <c r="AZ736" s="1">
        <v>64.99</v>
      </c>
      <c r="BB736" s="1">
        <v>64.99</v>
      </c>
    </row>
    <row r="737">
      <c r="A737" s="1" t="s">
        <v>487</v>
      </c>
      <c r="C737" s="1" t="s">
        <v>56</v>
      </c>
      <c r="D737" s="1" t="s">
        <v>1464</v>
      </c>
      <c r="Y737" s="2">
        <v>45519.0</v>
      </c>
      <c r="AE737" s="1">
        <v>159.99</v>
      </c>
      <c r="AG737" s="3" t="str">
        <f>"2000006178508683"</f>
        <v>2000006178508683</v>
      </c>
      <c r="AH737" s="1" t="s">
        <v>58</v>
      </c>
      <c r="AI737" s="1" t="s">
        <v>59</v>
      </c>
      <c r="AJ737" s="1" t="s">
        <v>59</v>
      </c>
      <c r="AK737" s="1" t="s">
        <v>60</v>
      </c>
      <c r="AL737" s="1" t="s">
        <v>60</v>
      </c>
      <c r="AW737" s="1" t="s">
        <v>489</v>
      </c>
      <c r="AY737" s="1">
        <v>1.0</v>
      </c>
      <c r="AZ737" s="1">
        <v>159.99</v>
      </c>
      <c r="BB737" s="1">
        <v>159.99</v>
      </c>
    </row>
    <row r="738">
      <c r="A738" s="1" t="s">
        <v>135</v>
      </c>
      <c r="C738" s="1" t="s">
        <v>56</v>
      </c>
      <c r="D738" s="1" t="s">
        <v>1465</v>
      </c>
      <c r="Y738" s="2">
        <v>45519.0</v>
      </c>
      <c r="AE738" s="1">
        <v>89.99</v>
      </c>
      <c r="AG738" s="3" t="str">
        <f>"2000009043521452"</f>
        <v>2000009043521452</v>
      </c>
      <c r="AH738" s="1" t="s">
        <v>58</v>
      </c>
      <c r="AI738" s="1" t="s">
        <v>59</v>
      </c>
      <c r="AJ738" s="1" t="s">
        <v>59</v>
      </c>
      <c r="AK738" s="1" t="s">
        <v>60</v>
      </c>
      <c r="AL738" s="1" t="s">
        <v>60</v>
      </c>
      <c r="AW738" s="1" t="s">
        <v>137</v>
      </c>
      <c r="AY738" s="1">
        <v>1.0</v>
      </c>
      <c r="AZ738" s="1">
        <v>89.99</v>
      </c>
      <c r="BB738" s="1">
        <v>89.99</v>
      </c>
    </row>
    <row r="739">
      <c r="A739" s="1" t="s">
        <v>1466</v>
      </c>
      <c r="C739" s="1" t="s">
        <v>56</v>
      </c>
      <c r="D739" s="1" t="s">
        <v>1467</v>
      </c>
      <c r="Y739" s="2">
        <v>45519.0</v>
      </c>
      <c r="AE739" s="1">
        <v>129.99</v>
      </c>
      <c r="AG739" s="3" t="str">
        <f>"2000006179236733"</f>
        <v>2000006179236733</v>
      </c>
      <c r="AH739" s="1" t="s">
        <v>58</v>
      </c>
      <c r="AI739" s="1" t="s">
        <v>59</v>
      </c>
      <c r="AJ739" s="1" t="s">
        <v>59</v>
      </c>
      <c r="AK739" s="1" t="s">
        <v>60</v>
      </c>
      <c r="AL739" s="1" t="s">
        <v>60</v>
      </c>
      <c r="AW739" s="1" t="s">
        <v>1468</v>
      </c>
      <c r="AY739" s="1">
        <v>1.0</v>
      </c>
      <c r="AZ739" s="1">
        <v>129.99</v>
      </c>
      <c r="BB739" s="1">
        <v>129.99</v>
      </c>
    </row>
    <row r="740">
      <c r="A740" s="1" t="s">
        <v>1112</v>
      </c>
      <c r="C740" s="1" t="s">
        <v>56</v>
      </c>
      <c r="D740" s="1" t="s">
        <v>1469</v>
      </c>
      <c r="Y740" s="2">
        <v>45519.0</v>
      </c>
      <c r="AE740" s="1">
        <v>69.99</v>
      </c>
      <c r="AG740" s="3" t="str">
        <f>"2000009043241182"</f>
        <v>2000009043241182</v>
      </c>
      <c r="AH740" s="1" t="s">
        <v>58</v>
      </c>
      <c r="AI740" s="1" t="s">
        <v>59</v>
      </c>
      <c r="AJ740" s="1" t="s">
        <v>59</v>
      </c>
      <c r="AK740" s="1" t="s">
        <v>60</v>
      </c>
      <c r="AL740" s="1" t="s">
        <v>60</v>
      </c>
      <c r="AW740" s="1" t="s">
        <v>1114</v>
      </c>
      <c r="AY740" s="1">
        <v>1.0</v>
      </c>
      <c r="AZ740" s="1">
        <v>69.99</v>
      </c>
      <c r="BB740" s="1">
        <v>69.99</v>
      </c>
    </row>
    <row r="741">
      <c r="A741" s="1" t="s">
        <v>1470</v>
      </c>
      <c r="C741" s="1" t="s">
        <v>56</v>
      </c>
      <c r="D741" s="1" t="s">
        <v>1471</v>
      </c>
      <c r="Y741" s="2">
        <v>45519.0</v>
      </c>
      <c r="AE741" s="1">
        <v>94.99</v>
      </c>
      <c r="AG741" s="3" t="str">
        <f>"2000006179026685"</f>
        <v>2000006179026685</v>
      </c>
      <c r="AH741" s="1" t="s">
        <v>58</v>
      </c>
      <c r="AI741" s="1" t="s">
        <v>59</v>
      </c>
      <c r="AJ741" s="1" t="s">
        <v>59</v>
      </c>
      <c r="AK741" s="1" t="s">
        <v>60</v>
      </c>
      <c r="AL741" s="1" t="s">
        <v>60</v>
      </c>
      <c r="AW741" s="1" t="s">
        <v>94</v>
      </c>
      <c r="AY741" s="1">
        <v>1.0</v>
      </c>
      <c r="AZ741" s="1">
        <v>94.99</v>
      </c>
      <c r="BB741" s="1">
        <v>94.99</v>
      </c>
    </row>
    <row r="742">
      <c r="A742" s="1" t="s">
        <v>1336</v>
      </c>
      <c r="C742" s="1" t="s">
        <v>56</v>
      </c>
      <c r="D742" s="1" t="s">
        <v>1472</v>
      </c>
      <c r="Y742" s="2">
        <v>45519.0</v>
      </c>
      <c r="AE742" s="1">
        <v>49.99</v>
      </c>
      <c r="AG742" s="3" t="str">
        <f>"2000006178803013"</f>
        <v>2000006178803013</v>
      </c>
      <c r="AH742" s="1" t="s">
        <v>58</v>
      </c>
      <c r="AI742" s="1" t="s">
        <v>59</v>
      </c>
      <c r="AJ742" s="1" t="s">
        <v>59</v>
      </c>
      <c r="AK742" s="1" t="s">
        <v>60</v>
      </c>
      <c r="AL742" s="1" t="s">
        <v>60</v>
      </c>
      <c r="AW742" s="1" t="s">
        <v>1338</v>
      </c>
      <c r="AY742" s="1">
        <v>1.0</v>
      </c>
      <c r="AZ742" s="1">
        <v>49.99</v>
      </c>
      <c r="BB742" s="1">
        <v>49.99</v>
      </c>
    </row>
    <row r="743">
      <c r="A743" s="1" t="s">
        <v>838</v>
      </c>
      <c r="C743" s="1" t="s">
        <v>56</v>
      </c>
      <c r="D743" s="1" t="s">
        <v>1473</v>
      </c>
      <c r="Y743" s="2">
        <v>45519.0</v>
      </c>
      <c r="AE743" s="1">
        <v>489.99</v>
      </c>
      <c r="AG743" s="3" t="str">
        <f>"2000009041921596"</f>
        <v>2000009041921596</v>
      </c>
      <c r="AH743" s="1" t="s">
        <v>58</v>
      </c>
      <c r="AI743" s="1" t="s">
        <v>59</v>
      </c>
      <c r="AJ743" s="1" t="s">
        <v>59</v>
      </c>
      <c r="AK743" s="1" t="s">
        <v>60</v>
      </c>
      <c r="AL743" s="1" t="s">
        <v>60</v>
      </c>
      <c r="AW743" s="1" t="s">
        <v>840</v>
      </c>
      <c r="AY743" s="1">
        <v>1.0</v>
      </c>
      <c r="AZ743" s="1">
        <v>489.99</v>
      </c>
      <c r="BB743" s="1">
        <v>489.99</v>
      </c>
    </row>
    <row r="744">
      <c r="A744" s="1" t="s">
        <v>1474</v>
      </c>
      <c r="C744" s="1" t="s">
        <v>56</v>
      </c>
      <c r="D744" s="1" t="s">
        <v>1475</v>
      </c>
      <c r="Y744" s="2">
        <v>45519.0</v>
      </c>
      <c r="AE744" s="1">
        <v>84.99</v>
      </c>
      <c r="AG744" s="3" t="str">
        <f>"2000009041884308"</f>
        <v>2000009041884308</v>
      </c>
      <c r="AH744" s="1" t="s">
        <v>58</v>
      </c>
      <c r="AI744" s="1" t="s">
        <v>59</v>
      </c>
      <c r="AJ744" s="1" t="s">
        <v>59</v>
      </c>
      <c r="AK744" s="1" t="s">
        <v>60</v>
      </c>
      <c r="AL744" s="1" t="s">
        <v>60</v>
      </c>
      <c r="AW744" s="1" t="s">
        <v>1476</v>
      </c>
      <c r="AY744" s="1">
        <v>1.0</v>
      </c>
      <c r="AZ744" s="1">
        <v>84.99</v>
      </c>
      <c r="BB744" s="1">
        <v>84.99</v>
      </c>
    </row>
    <row r="745">
      <c r="A745" s="1" t="s">
        <v>517</v>
      </c>
      <c r="C745" s="1" t="s">
        <v>56</v>
      </c>
      <c r="D745" s="1" t="s">
        <v>1477</v>
      </c>
      <c r="Y745" s="2">
        <v>45519.0</v>
      </c>
      <c r="AE745" s="1">
        <v>49.99</v>
      </c>
      <c r="AG745" s="3" t="str">
        <f>"2000009041864776"</f>
        <v>2000009041864776</v>
      </c>
      <c r="AH745" s="1" t="s">
        <v>58</v>
      </c>
      <c r="AI745" s="1" t="s">
        <v>59</v>
      </c>
      <c r="AJ745" s="1" t="s">
        <v>59</v>
      </c>
      <c r="AK745" s="1" t="s">
        <v>60</v>
      </c>
      <c r="AL745" s="1" t="s">
        <v>60</v>
      </c>
      <c r="AW745" s="1" t="s">
        <v>70</v>
      </c>
      <c r="AY745" s="1">
        <v>1.0</v>
      </c>
      <c r="AZ745" s="1">
        <v>49.99</v>
      </c>
      <c r="BB745" s="1">
        <v>49.99</v>
      </c>
    </row>
    <row r="746">
      <c r="A746" s="1" t="s">
        <v>798</v>
      </c>
      <c r="C746" s="1" t="s">
        <v>56</v>
      </c>
      <c r="D746" s="1" t="s">
        <v>1478</v>
      </c>
      <c r="Y746" s="2">
        <v>45519.0</v>
      </c>
      <c r="AE746" s="1">
        <v>89.99</v>
      </c>
      <c r="AG746" s="3" t="str">
        <f>"2000006178427691"</f>
        <v>2000006178427691</v>
      </c>
      <c r="AH746" s="1" t="s">
        <v>58</v>
      </c>
      <c r="AI746" s="1" t="s">
        <v>59</v>
      </c>
      <c r="AJ746" s="1" t="s">
        <v>59</v>
      </c>
      <c r="AK746" s="1" t="s">
        <v>60</v>
      </c>
      <c r="AL746" s="1" t="s">
        <v>60</v>
      </c>
      <c r="AW746" s="1" t="s">
        <v>800</v>
      </c>
      <c r="AY746" s="1">
        <v>1.0</v>
      </c>
      <c r="AZ746" s="1">
        <v>89.99</v>
      </c>
      <c r="BB746" s="1">
        <v>89.99</v>
      </c>
    </row>
    <row r="747">
      <c r="A747" s="1" t="s">
        <v>1191</v>
      </c>
      <c r="C747" s="1" t="s">
        <v>56</v>
      </c>
      <c r="D747" s="1" t="s">
        <v>1479</v>
      </c>
      <c r="Y747" s="2">
        <v>45519.0</v>
      </c>
      <c r="AE747" s="1">
        <v>49.99</v>
      </c>
      <c r="AG747" s="3" t="str">
        <f>"2000006178429321"</f>
        <v>2000006178429321</v>
      </c>
      <c r="AH747" s="1" t="s">
        <v>58</v>
      </c>
      <c r="AI747" s="1" t="s">
        <v>59</v>
      </c>
      <c r="AJ747" s="1" t="s">
        <v>59</v>
      </c>
      <c r="AK747" s="1" t="s">
        <v>60</v>
      </c>
      <c r="AL747" s="1" t="s">
        <v>60</v>
      </c>
      <c r="AW747" s="1" t="s">
        <v>1193</v>
      </c>
      <c r="AY747" s="1">
        <v>1.0</v>
      </c>
      <c r="AZ747" s="1">
        <v>49.99</v>
      </c>
      <c r="BB747" s="1">
        <v>49.99</v>
      </c>
    </row>
    <row r="748">
      <c r="A748" s="1" t="s">
        <v>567</v>
      </c>
      <c r="C748" s="1" t="s">
        <v>56</v>
      </c>
      <c r="D748" s="1" t="s">
        <v>1480</v>
      </c>
      <c r="Y748" s="2">
        <v>45519.0</v>
      </c>
      <c r="AE748" s="1">
        <v>89.98</v>
      </c>
      <c r="AG748" s="3" t="str">
        <f>"2000006175463043"</f>
        <v>2000006175463043</v>
      </c>
      <c r="AH748" s="1" t="s">
        <v>58</v>
      </c>
      <c r="AI748" s="1" t="s">
        <v>59</v>
      </c>
      <c r="AJ748" s="1" t="s">
        <v>59</v>
      </c>
      <c r="AK748" s="1" t="s">
        <v>60</v>
      </c>
      <c r="AL748" s="1" t="s">
        <v>60</v>
      </c>
      <c r="AW748" s="1" t="s">
        <v>569</v>
      </c>
      <c r="AY748" s="1">
        <v>2.0</v>
      </c>
      <c r="AZ748" s="1">
        <v>44.99</v>
      </c>
      <c r="BB748" s="1">
        <v>89.98</v>
      </c>
    </row>
    <row r="749">
      <c r="A749" s="1" t="s">
        <v>1481</v>
      </c>
      <c r="C749" s="1" t="s">
        <v>56</v>
      </c>
      <c r="D749" s="1" t="s">
        <v>1482</v>
      </c>
      <c r="Y749" s="2">
        <v>45519.0</v>
      </c>
      <c r="AE749" s="1">
        <v>59.99</v>
      </c>
      <c r="AG749" s="3" t="str">
        <f>"2000009041685634"</f>
        <v>2000009041685634</v>
      </c>
      <c r="AH749" s="1" t="s">
        <v>58</v>
      </c>
      <c r="AI749" s="1" t="s">
        <v>59</v>
      </c>
      <c r="AJ749" s="1" t="s">
        <v>59</v>
      </c>
      <c r="AK749" s="1" t="s">
        <v>60</v>
      </c>
      <c r="AL749" s="1" t="s">
        <v>60</v>
      </c>
      <c r="AW749" s="1" t="s">
        <v>61</v>
      </c>
      <c r="AY749" s="1">
        <v>1.0</v>
      </c>
      <c r="AZ749" s="1">
        <v>59.99</v>
      </c>
      <c r="BB749" s="1">
        <v>59.99</v>
      </c>
    </row>
    <row r="750">
      <c r="A750" s="1" t="s">
        <v>195</v>
      </c>
      <c r="C750" s="1" t="s">
        <v>56</v>
      </c>
      <c r="D750" s="1" t="s">
        <v>1483</v>
      </c>
      <c r="Y750" s="2">
        <v>45519.0</v>
      </c>
      <c r="AE750" s="1">
        <v>47.99</v>
      </c>
      <c r="AG750" s="3" t="str">
        <f>"2000006178019695"</f>
        <v>2000006178019695</v>
      </c>
      <c r="AH750" s="1" t="s">
        <v>58</v>
      </c>
      <c r="AI750" s="1" t="s">
        <v>59</v>
      </c>
      <c r="AJ750" s="1" t="s">
        <v>59</v>
      </c>
      <c r="AK750" s="1" t="s">
        <v>60</v>
      </c>
      <c r="AL750" s="1" t="s">
        <v>60</v>
      </c>
      <c r="AW750" s="1" t="s">
        <v>197</v>
      </c>
      <c r="AY750" s="1">
        <v>1.0</v>
      </c>
      <c r="AZ750" s="1">
        <v>47.99</v>
      </c>
      <c r="BB750" s="1">
        <v>47.99</v>
      </c>
    </row>
    <row r="751">
      <c r="A751" s="1" t="s">
        <v>1051</v>
      </c>
      <c r="C751" s="1" t="s">
        <v>56</v>
      </c>
      <c r="D751" s="1" t="s">
        <v>1484</v>
      </c>
      <c r="Y751" s="2">
        <v>45519.0</v>
      </c>
      <c r="AE751" s="1">
        <v>69.99</v>
      </c>
      <c r="AG751" s="3" t="str">
        <f>"2000009041385980"</f>
        <v>2000009041385980</v>
      </c>
      <c r="AH751" s="1" t="s">
        <v>58</v>
      </c>
      <c r="AI751" s="1" t="s">
        <v>59</v>
      </c>
      <c r="AJ751" s="1" t="s">
        <v>59</v>
      </c>
      <c r="AK751" s="1" t="s">
        <v>60</v>
      </c>
      <c r="AL751" s="1" t="s">
        <v>60</v>
      </c>
      <c r="AW751" s="1" t="s">
        <v>1053</v>
      </c>
      <c r="AY751" s="1">
        <v>1.0</v>
      </c>
      <c r="AZ751" s="1">
        <v>69.99</v>
      </c>
      <c r="BB751" s="1">
        <v>69.99</v>
      </c>
    </row>
    <row r="752">
      <c r="A752" s="1" t="s">
        <v>1270</v>
      </c>
      <c r="C752" s="1" t="s">
        <v>56</v>
      </c>
      <c r="D752" s="1" t="s">
        <v>1485</v>
      </c>
      <c r="Y752" s="2">
        <v>45519.0</v>
      </c>
      <c r="AE752" s="1">
        <v>399.99</v>
      </c>
      <c r="AG752" s="3" t="str">
        <f>"2000009041661416"</f>
        <v>2000009041661416</v>
      </c>
      <c r="AH752" s="1" t="s">
        <v>58</v>
      </c>
      <c r="AI752" s="1" t="s">
        <v>59</v>
      </c>
      <c r="AJ752" s="1" t="s">
        <v>59</v>
      </c>
      <c r="AK752" s="1" t="s">
        <v>60</v>
      </c>
      <c r="AL752" s="1" t="s">
        <v>60</v>
      </c>
      <c r="AW752" s="1" t="s">
        <v>1486</v>
      </c>
      <c r="AY752" s="1">
        <v>1.0</v>
      </c>
      <c r="AZ752" s="1">
        <v>399.99</v>
      </c>
      <c r="BB752" s="1">
        <v>399.99</v>
      </c>
    </row>
    <row r="753">
      <c r="A753" s="1" t="s">
        <v>1487</v>
      </c>
      <c r="C753" s="1" t="s">
        <v>56</v>
      </c>
      <c r="D753" s="1" t="s">
        <v>1488</v>
      </c>
      <c r="Y753" s="2">
        <v>45519.0</v>
      </c>
      <c r="AE753" s="1">
        <v>49.99</v>
      </c>
      <c r="AG753" s="3" t="str">
        <f>"2000006178217171"</f>
        <v>2000006178217171</v>
      </c>
      <c r="AH753" s="1" t="s">
        <v>58</v>
      </c>
      <c r="AI753" s="1" t="s">
        <v>59</v>
      </c>
      <c r="AJ753" s="1" t="s">
        <v>59</v>
      </c>
      <c r="AK753" s="1" t="s">
        <v>60</v>
      </c>
      <c r="AL753" s="1" t="s">
        <v>60</v>
      </c>
      <c r="AW753" s="1" t="s">
        <v>97</v>
      </c>
      <c r="AY753" s="1">
        <v>1.0</v>
      </c>
      <c r="AZ753" s="1">
        <v>49.99</v>
      </c>
      <c r="BB753" s="1">
        <v>49.99</v>
      </c>
    </row>
    <row r="754">
      <c r="A754" s="1" t="s">
        <v>477</v>
      </c>
      <c r="C754" s="1" t="s">
        <v>56</v>
      </c>
      <c r="D754" s="1" t="s">
        <v>1489</v>
      </c>
      <c r="Y754" s="2">
        <v>45519.0</v>
      </c>
      <c r="AE754" s="1">
        <v>89.99</v>
      </c>
      <c r="AG754" s="3" t="str">
        <f>"2000006178162809"</f>
        <v>2000006178162809</v>
      </c>
      <c r="AH754" s="1" t="s">
        <v>58</v>
      </c>
      <c r="AI754" s="1" t="s">
        <v>59</v>
      </c>
      <c r="AJ754" s="1" t="s">
        <v>59</v>
      </c>
      <c r="AK754" s="1" t="s">
        <v>60</v>
      </c>
      <c r="AL754" s="1" t="s">
        <v>60</v>
      </c>
      <c r="AW754" s="1" t="s">
        <v>479</v>
      </c>
      <c r="AY754" s="1">
        <v>1.0</v>
      </c>
      <c r="AZ754" s="1">
        <v>89.99</v>
      </c>
      <c r="BB754" s="1">
        <v>89.99</v>
      </c>
    </row>
    <row r="755">
      <c r="A755" s="1" t="s">
        <v>1490</v>
      </c>
      <c r="C755" s="1" t="s">
        <v>56</v>
      </c>
      <c r="D755" s="1" t="s">
        <v>1491</v>
      </c>
      <c r="Y755" s="2">
        <v>45519.0</v>
      </c>
      <c r="AE755" s="1">
        <v>49.99</v>
      </c>
      <c r="AG755" s="3" t="str">
        <f>"2000006178008799"</f>
        <v>2000006178008799</v>
      </c>
      <c r="AH755" s="1" t="s">
        <v>58</v>
      </c>
      <c r="AI755" s="1" t="s">
        <v>59</v>
      </c>
      <c r="AJ755" s="1" t="s">
        <v>59</v>
      </c>
      <c r="AK755" s="1" t="s">
        <v>60</v>
      </c>
      <c r="AL755" s="1" t="s">
        <v>60</v>
      </c>
      <c r="AW755" s="1" t="s">
        <v>1492</v>
      </c>
      <c r="AY755" s="1">
        <v>1.0</v>
      </c>
      <c r="AZ755" s="1">
        <v>49.99</v>
      </c>
      <c r="BB755" s="1">
        <v>49.99</v>
      </c>
    </row>
    <row r="756">
      <c r="A756" s="1" t="s">
        <v>114</v>
      </c>
      <c r="C756" s="1" t="s">
        <v>56</v>
      </c>
      <c r="D756" s="1" t="s">
        <v>1493</v>
      </c>
      <c r="Y756" s="2">
        <v>45519.0</v>
      </c>
      <c r="AE756" s="1">
        <v>84.99</v>
      </c>
      <c r="AG756" s="3" t="str">
        <f>"2000006178000451"</f>
        <v>2000006178000451</v>
      </c>
      <c r="AH756" s="1" t="s">
        <v>58</v>
      </c>
      <c r="AI756" s="1" t="s">
        <v>59</v>
      </c>
      <c r="AJ756" s="1" t="s">
        <v>59</v>
      </c>
      <c r="AK756" s="1" t="s">
        <v>60</v>
      </c>
      <c r="AL756" s="1" t="s">
        <v>60</v>
      </c>
      <c r="AW756" s="1" t="s">
        <v>116</v>
      </c>
      <c r="AY756" s="1">
        <v>1.0</v>
      </c>
      <c r="AZ756" s="1">
        <v>84.99</v>
      </c>
      <c r="BB756" s="1">
        <v>84.99</v>
      </c>
    </row>
    <row r="757">
      <c r="A757" s="1" t="s">
        <v>1228</v>
      </c>
      <c r="C757" s="1" t="s">
        <v>235</v>
      </c>
      <c r="D757" s="1" t="s">
        <v>1229</v>
      </c>
      <c r="Y757" s="2">
        <v>45519.0</v>
      </c>
      <c r="AE757" s="1">
        <v>109.99</v>
      </c>
      <c r="AG757" s="3" t="str">
        <f>"2000006177834243"</f>
        <v>2000006177834243</v>
      </c>
      <c r="AH757" s="1" t="s">
        <v>58</v>
      </c>
      <c r="AI757" s="1" t="s">
        <v>59</v>
      </c>
      <c r="AJ757" s="1" t="s">
        <v>59</v>
      </c>
      <c r="AK757" s="1" t="s">
        <v>60</v>
      </c>
      <c r="AL757" s="1" t="s">
        <v>60</v>
      </c>
      <c r="AW757" s="1" t="s">
        <v>1230</v>
      </c>
      <c r="AY757" s="1">
        <v>1.0</v>
      </c>
      <c r="AZ757" s="1">
        <v>109.99</v>
      </c>
      <c r="BB757" s="1">
        <v>109.99</v>
      </c>
    </row>
    <row r="758">
      <c r="A758" s="1" t="s">
        <v>1266</v>
      </c>
      <c r="C758" s="1" t="s">
        <v>56</v>
      </c>
      <c r="D758" s="1" t="s">
        <v>1494</v>
      </c>
      <c r="Y758" s="2">
        <v>45519.0</v>
      </c>
      <c r="AE758" s="1">
        <v>79.99</v>
      </c>
      <c r="AG758" s="3" t="str">
        <f>"2000006175927681"</f>
        <v>2000006175927681</v>
      </c>
      <c r="AH758" s="1" t="s">
        <v>58</v>
      </c>
      <c r="AI758" s="1" t="s">
        <v>59</v>
      </c>
      <c r="AJ758" s="1" t="s">
        <v>59</v>
      </c>
      <c r="AK758" s="1" t="s">
        <v>60</v>
      </c>
      <c r="AL758" s="1" t="s">
        <v>60</v>
      </c>
      <c r="AW758" s="1" t="s">
        <v>1268</v>
      </c>
      <c r="AY758" s="1">
        <v>1.0</v>
      </c>
      <c r="AZ758" s="1">
        <v>79.99</v>
      </c>
      <c r="BB758" s="1">
        <v>79.99</v>
      </c>
    </row>
    <row r="759">
      <c r="A759" s="1" t="s">
        <v>802</v>
      </c>
      <c r="C759" s="1" t="s">
        <v>56</v>
      </c>
      <c r="D759" s="1" t="s">
        <v>1495</v>
      </c>
      <c r="Y759" s="2">
        <v>45519.0</v>
      </c>
      <c r="AE759" s="1">
        <v>49.99</v>
      </c>
      <c r="AG759" s="3" t="str">
        <f>"2000006177811907"</f>
        <v>2000006177811907</v>
      </c>
      <c r="AH759" s="1" t="s">
        <v>58</v>
      </c>
      <c r="AI759" s="1" t="s">
        <v>59</v>
      </c>
      <c r="AJ759" s="1" t="s">
        <v>59</v>
      </c>
      <c r="AK759" s="1" t="s">
        <v>60</v>
      </c>
      <c r="AL759" s="1" t="s">
        <v>60</v>
      </c>
      <c r="AW759" s="1" t="s">
        <v>70</v>
      </c>
      <c r="AY759" s="1">
        <v>1.0</v>
      </c>
      <c r="AZ759" s="1">
        <v>49.99</v>
      </c>
      <c r="BB759" s="1">
        <v>49.99</v>
      </c>
    </row>
    <row r="760">
      <c r="A760" s="1" t="s">
        <v>950</v>
      </c>
      <c r="C760" s="1" t="s">
        <v>56</v>
      </c>
      <c r="D760" s="1" t="s">
        <v>1496</v>
      </c>
      <c r="Y760" s="2">
        <v>45519.0</v>
      </c>
      <c r="AE760" s="1">
        <v>119.99</v>
      </c>
      <c r="AG760" s="3" t="str">
        <f>"2000009040988360"</f>
        <v>2000009040988360</v>
      </c>
      <c r="AH760" s="1" t="s">
        <v>58</v>
      </c>
      <c r="AI760" s="1" t="s">
        <v>59</v>
      </c>
      <c r="AJ760" s="1" t="s">
        <v>59</v>
      </c>
      <c r="AK760" s="1" t="s">
        <v>60</v>
      </c>
      <c r="AL760" s="1" t="s">
        <v>60</v>
      </c>
      <c r="AW760" s="1" t="s">
        <v>952</v>
      </c>
      <c r="AY760" s="1">
        <v>1.0</v>
      </c>
      <c r="AZ760" s="1">
        <v>119.99</v>
      </c>
      <c r="BB760" s="1">
        <v>119.99</v>
      </c>
    </row>
    <row r="761">
      <c r="A761" s="1" t="s">
        <v>1497</v>
      </c>
      <c r="C761" s="1" t="s">
        <v>56</v>
      </c>
      <c r="D761" s="1" t="s">
        <v>1498</v>
      </c>
      <c r="Y761" s="2">
        <v>45519.0</v>
      </c>
      <c r="AE761" s="1">
        <v>89.99</v>
      </c>
      <c r="AG761" s="3" t="str">
        <f>"2000006177576467"</f>
        <v>2000006177576467</v>
      </c>
      <c r="AH761" s="1" t="s">
        <v>58</v>
      </c>
      <c r="AI761" s="1" t="s">
        <v>59</v>
      </c>
      <c r="AJ761" s="1" t="s">
        <v>59</v>
      </c>
      <c r="AK761" s="1" t="s">
        <v>60</v>
      </c>
      <c r="AL761" s="1" t="s">
        <v>60</v>
      </c>
      <c r="AW761" s="1" t="s">
        <v>1499</v>
      </c>
      <c r="AY761" s="1">
        <v>1.0</v>
      </c>
      <c r="AZ761" s="1">
        <v>89.99</v>
      </c>
      <c r="BB761" s="1">
        <v>89.99</v>
      </c>
    </row>
    <row r="762">
      <c r="A762" s="1" t="s">
        <v>1497</v>
      </c>
      <c r="C762" s="1" t="s">
        <v>56</v>
      </c>
      <c r="D762" s="1" t="s">
        <v>1500</v>
      </c>
      <c r="Y762" s="2">
        <v>45519.0</v>
      </c>
      <c r="AE762" s="1">
        <v>89.99</v>
      </c>
      <c r="AG762" s="3" t="str">
        <f>"2000006177492585"</f>
        <v>2000006177492585</v>
      </c>
      <c r="AH762" s="1" t="s">
        <v>58</v>
      </c>
      <c r="AI762" s="1" t="s">
        <v>59</v>
      </c>
      <c r="AJ762" s="1" t="s">
        <v>59</v>
      </c>
      <c r="AK762" s="1" t="s">
        <v>60</v>
      </c>
      <c r="AL762" s="1" t="s">
        <v>60</v>
      </c>
      <c r="AW762" s="1" t="s">
        <v>1499</v>
      </c>
      <c r="AY762" s="1">
        <v>1.0</v>
      </c>
      <c r="AZ762" s="1">
        <v>89.99</v>
      </c>
      <c r="BB762" s="1">
        <v>89.99</v>
      </c>
    </row>
    <row r="763">
      <c r="A763" s="1" t="s">
        <v>471</v>
      </c>
      <c r="C763" s="1" t="s">
        <v>56</v>
      </c>
      <c r="D763" s="1" t="s">
        <v>1501</v>
      </c>
      <c r="Y763" s="2">
        <v>45519.0</v>
      </c>
      <c r="AE763" s="1">
        <v>74.99</v>
      </c>
      <c r="AG763" s="3" t="str">
        <f>"2000009040845350"</f>
        <v>2000009040845350</v>
      </c>
      <c r="AH763" s="1" t="s">
        <v>58</v>
      </c>
      <c r="AI763" s="1" t="s">
        <v>59</v>
      </c>
      <c r="AJ763" s="1" t="s">
        <v>59</v>
      </c>
      <c r="AK763" s="1" t="s">
        <v>60</v>
      </c>
      <c r="AL763" s="1" t="s">
        <v>60</v>
      </c>
      <c r="AW763" s="1" t="s">
        <v>473</v>
      </c>
      <c r="AY763" s="1">
        <v>1.0</v>
      </c>
      <c r="AZ763" s="1">
        <v>74.99</v>
      </c>
      <c r="BB763" s="1">
        <v>74.99</v>
      </c>
    </row>
    <row r="764">
      <c r="A764" s="1" t="s">
        <v>1045</v>
      </c>
      <c r="C764" s="1" t="s">
        <v>56</v>
      </c>
      <c r="D764" s="1" t="s">
        <v>1502</v>
      </c>
      <c r="Y764" s="2">
        <v>45519.0</v>
      </c>
      <c r="AE764" s="1">
        <v>89.99</v>
      </c>
      <c r="AG764" s="3" t="str">
        <f>"2000006177478669"</f>
        <v>2000006177478669</v>
      </c>
      <c r="AH764" s="1" t="s">
        <v>58</v>
      </c>
      <c r="AI764" s="1" t="s">
        <v>59</v>
      </c>
      <c r="AJ764" s="1" t="s">
        <v>59</v>
      </c>
      <c r="AK764" s="1" t="s">
        <v>60</v>
      </c>
      <c r="AL764" s="1" t="s">
        <v>60</v>
      </c>
      <c r="AW764" s="1" t="s">
        <v>1047</v>
      </c>
      <c r="AY764" s="1">
        <v>1.0</v>
      </c>
      <c r="AZ764" s="1">
        <v>89.99</v>
      </c>
      <c r="BB764" s="1">
        <v>89.99</v>
      </c>
    </row>
    <row r="765">
      <c r="A765" s="1" t="s">
        <v>114</v>
      </c>
      <c r="C765" s="1" t="s">
        <v>56</v>
      </c>
      <c r="D765" s="1" t="s">
        <v>1503</v>
      </c>
      <c r="Y765" s="2">
        <v>45519.0</v>
      </c>
      <c r="AE765" s="1">
        <v>84.99</v>
      </c>
      <c r="AG765" s="3" t="str">
        <f>"2000006177437421"</f>
        <v>2000006177437421</v>
      </c>
      <c r="AH765" s="1" t="s">
        <v>58</v>
      </c>
      <c r="AI765" s="1" t="s">
        <v>59</v>
      </c>
      <c r="AJ765" s="1" t="s">
        <v>59</v>
      </c>
      <c r="AK765" s="1" t="s">
        <v>60</v>
      </c>
      <c r="AL765" s="1" t="s">
        <v>60</v>
      </c>
      <c r="AW765" s="1" t="s">
        <v>116</v>
      </c>
      <c r="AY765" s="1">
        <v>1.0</v>
      </c>
      <c r="AZ765" s="1">
        <v>84.99</v>
      </c>
      <c r="BB765" s="1">
        <v>84.99</v>
      </c>
    </row>
    <row r="766">
      <c r="A766" s="1" t="s">
        <v>1504</v>
      </c>
      <c r="C766" s="1" t="s">
        <v>56</v>
      </c>
      <c r="D766" s="1" t="s">
        <v>1505</v>
      </c>
      <c r="Y766" s="2">
        <v>45519.0</v>
      </c>
      <c r="AE766" s="1">
        <v>84.99</v>
      </c>
      <c r="AG766" s="3" t="str">
        <f>"2000006177452597"</f>
        <v>2000006177452597</v>
      </c>
      <c r="AH766" s="1" t="s">
        <v>58</v>
      </c>
      <c r="AI766" s="1" t="s">
        <v>59</v>
      </c>
      <c r="AJ766" s="1" t="s">
        <v>59</v>
      </c>
      <c r="AK766" s="1" t="s">
        <v>60</v>
      </c>
      <c r="AL766" s="1" t="s">
        <v>60</v>
      </c>
      <c r="AW766" s="1" t="s">
        <v>1506</v>
      </c>
      <c r="AY766" s="1">
        <v>1.0</v>
      </c>
      <c r="AZ766" s="1">
        <v>84.99</v>
      </c>
      <c r="BB766" s="1">
        <v>84.99</v>
      </c>
    </row>
    <row r="767">
      <c r="A767" s="1" t="s">
        <v>1316</v>
      </c>
      <c r="C767" s="1" t="s">
        <v>56</v>
      </c>
      <c r="D767" s="1" t="s">
        <v>1507</v>
      </c>
      <c r="Y767" s="2">
        <v>45518.0</v>
      </c>
      <c r="AE767" s="1">
        <v>45.99</v>
      </c>
      <c r="AG767" s="3" t="str">
        <f>"2000006177419211"</f>
        <v>2000006177419211</v>
      </c>
      <c r="AH767" s="1" t="s">
        <v>58</v>
      </c>
      <c r="AI767" s="1" t="s">
        <v>59</v>
      </c>
      <c r="AJ767" s="1" t="s">
        <v>59</v>
      </c>
      <c r="AK767" s="1" t="s">
        <v>60</v>
      </c>
      <c r="AL767" s="1" t="s">
        <v>60</v>
      </c>
      <c r="AW767" s="1" t="s">
        <v>100</v>
      </c>
      <c r="AY767" s="1">
        <v>1.0</v>
      </c>
      <c r="AZ767" s="1">
        <v>45.99</v>
      </c>
      <c r="BB767" s="1">
        <v>45.99</v>
      </c>
    </row>
    <row r="768">
      <c r="A768" s="1" t="s">
        <v>1257</v>
      </c>
      <c r="C768" s="1" t="s">
        <v>56</v>
      </c>
      <c r="D768" s="1" t="s">
        <v>1508</v>
      </c>
      <c r="Y768" s="2">
        <v>45518.0</v>
      </c>
      <c r="AE768" s="1">
        <v>64.99</v>
      </c>
      <c r="AG768" s="3" t="str">
        <f>"2000006177397127"</f>
        <v>2000006177397127</v>
      </c>
      <c r="AH768" s="1" t="s">
        <v>58</v>
      </c>
      <c r="AI768" s="1" t="s">
        <v>59</v>
      </c>
      <c r="AJ768" s="1" t="s">
        <v>59</v>
      </c>
      <c r="AK768" s="1" t="s">
        <v>60</v>
      </c>
      <c r="AL768" s="1" t="s">
        <v>60</v>
      </c>
      <c r="AW768" s="1" t="s">
        <v>1259</v>
      </c>
      <c r="AY768" s="1">
        <v>1.0</v>
      </c>
      <c r="AZ768" s="1">
        <v>64.99</v>
      </c>
      <c r="BB768" s="1">
        <v>64.99</v>
      </c>
    </row>
    <row r="769">
      <c r="A769" s="1" t="s">
        <v>1031</v>
      </c>
      <c r="C769" s="1" t="s">
        <v>56</v>
      </c>
      <c r="D769" s="1" t="s">
        <v>1509</v>
      </c>
      <c r="Y769" s="2">
        <v>45518.0</v>
      </c>
      <c r="AE769" s="1">
        <v>69.99</v>
      </c>
      <c r="AG769" s="3" t="str">
        <f>"2000006177412669"</f>
        <v>2000006177412669</v>
      </c>
      <c r="AH769" s="1" t="s">
        <v>58</v>
      </c>
      <c r="AI769" s="1" t="s">
        <v>59</v>
      </c>
      <c r="AJ769" s="1" t="s">
        <v>59</v>
      </c>
      <c r="AK769" s="1" t="s">
        <v>60</v>
      </c>
      <c r="AL769" s="1" t="s">
        <v>60</v>
      </c>
      <c r="AW769" s="1" t="s">
        <v>1033</v>
      </c>
      <c r="AY769" s="1">
        <v>1.0</v>
      </c>
      <c r="AZ769" s="1">
        <v>69.99</v>
      </c>
      <c r="BB769" s="1">
        <v>69.99</v>
      </c>
    </row>
    <row r="770">
      <c r="A770" s="1" t="s">
        <v>1510</v>
      </c>
      <c r="C770" s="1" t="s">
        <v>56</v>
      </c>
      <c r="D770" s="1" t="s">
        <v>1511</v>
      </c>
      <c r="Y770" s="2">
        <v>45518.0</v>
      </c>
      <c r="AE770" s="1">
        <v>84.99</v>
      </c>
      <c r="AG770" s="3" t="str">
        <f>"2000009040656376"</f>
        <v>2000009040656376</v>
      </c>
      <c r="AH770" s="1" t="s">
        <v>58</v>
      </c>
      <c r="AI770" s="1" t="s">
        <v>59</v>
      </c>
      <c r="AJ770" s="1" t="s">
        <v>59</v>
      </c>
      <c r="AK770" s="1" t="s">
        <v>60</v>
      </c>
      <c r="AL770" s="1" t="s">
        <v>60</v>
      </c>
      <c r="AW770" s="1" t="s">
        <v>1512</v>
      </c>
      <c r="AY770" s="1">
        <v>1.0</v>
      </c>
      <c r="AZ770" s="1">
        <v>84.99</v>
      </c>
      <c r="BB770" s="1">
        <v>84.99</v>
      </c>
    </row>
    <row r="771">
      <c r="A771" s="1" t="s">
        <v>459</v>
      </c>
      <c r="C771" s="1" t="s">
        <v>56</v>
      </c>
      <c r="D771" s="1" t="s">
        <v>1513</v>
      </c>
      <c r="Y771" s="2">
        <v>45518.0</v>
      </c>
      <c r="AE771" s="1">
        <v>39.99</v>
      </c>
      <c r="AG771" s="3" t="str">
        <f>"2000006177394079"</f>
        <v>2000006177394079</v>
      </c>
      <c r="AH771" s="1" t="s">
        <v>58</v>
      </c>
      <c r="AI771" s="1" t="s">
        <v>59</v>
      </c>
      <c r="AJ771" s="1" t="s">
        <v>59</v>
      </c>
      <c r="AK771" s="1" t="s">
        <v>60</v>
      </c>
      <c r="AL771" s="1" t="s">
        <v>60</v>
      </c>
      <c r="AW771" s="1" t="s">
        <v>461</v>
      </c>
      <c r="AY771" s="1">
        <v>1.0</v>
      </c>
      <c r="AZ771" s="1">
        <v>39.99</v>
      </c>
      <c r="BB771" s="1">
        <v>39.99</v>
      </c>
    </row>
    <row r="772">
      <c r="A772" s="1" t="s">
        <v>1514</v>
      </c>
      <c r="C772" s="1" t="s">
        <v>56</v>
      </c>
      <c r="D772" s="1" t="s">
        <v>1515</v>
      </c>
      <c r="Y772" s="2">
        <v>45518.0</v>
      </c>
      <c r="AE772" s="1">
        <v>39.99</v>
      </c>
      <c r="AG772" s="3" t="str">
        <f>"2000006177363637"</f>
        <v>2000006177363637</v>
      </c>
      <c r="AH772" s="1" t="s">
        <v>58</v>
      </c>
      <c r="AI772" s="1" t="s">
        <v>59</v>
      </c>
      <c r="AJ772" s="1" t="s">
        <v>59</v>
      </c>
      <c r="AK772" s="1" t="s">
        <v>60</v>
      </c>
      <c r="AL772" s="1" t="s">
        <v>60</v>
      </c>
      <c r="AW772" s="1" t="s">
        <v>1516</v>
      </c>
      <c r="AY772" s="1">
        <v>1.0</v>
      </c>
      <c r="AZ772" s="1">
        <v>39.99</v>
      </c>
      <c r="BB772" s="1">
        <v>39.99</v>
      </c>
    </row>
    <row r="773">
      <c r="A773" s="1" t="s">
        <v>1517</v>
      </c>
      <c r="C773" s="1" t="s">
        <v>56</v>
      </c>
      <c r="D773" s="1" t="s">
        <v>1518</v>
      </c>
      <c r="Y773" s="2">
        <v>45518.0</v>
      </c>
      <c r="AE773" s="1">
        <v>69.99</v>
      </c>
      <c r="AG773" s="3" t="str">
        <f>"2000006177329403"</f>
        <v>2000006177329403</v>
      </c>
      <c r="AH773" s="1" t="s">
        <v>58</v>
      </c>
      <c r="AI773" s="1" t="s">
        <v>59</v>
      </c>
      <c r="AJ773" s="1" t="s">
        <v>59</v>
      </c>
      <c r="AK773" s="1" t="s">
        <v>60</v>
      </c>
      <c r="AL773" s="1" t="s">
        <v>60</v>
      </c>
      <c r="AW773" s="1" t="s">
        <v>1519</v>
      </c>
      <c r="AY773" s="1">
        <v>1.0</v>
      </c>
      <c r="AZ773" s="1">
        <v>69.99</v>
      </c>
      <c r="BB773" s="1">
        <v>69.99</v>
      </c>
    </row>
    <row r="774">
      <c r="A774" s="1" t="s">
        <v>567</v>
      </c>
      <c r="C774" s="1" t="s">
        <v>56</v>
      </c>
      <c r="D774" s="1" t="s">
        <v>1520</v>
      </c>
      <c r="Y774" s="2">
        <v>45518.0</v>
      </c>
      <c r="AE774" s="1">
        <v>44.99</v>
      </c>
      <c r="AG774" s="3" t="str">
        <f>"2000006177344785"</f>
        <v>2000006177344785</v>
      </c>
      <c r="AH774" s="1" t="s">
        <v>58</v>
      </c>
      <c r="AI774" s="1" t="s">
        <v>59</v>
      </c>
      <c r="AJ774" s="1" t="s">
        <v>59</v>
      </c>
      <c r="AK774" s="1" t="s">
        <v>60</v>
      </c>
      <c r="AL774" s="1" t="s">
        <v>60</v>
      </c>
      <c r="AW774" s="1" t="s">
        <v>569</v>
      </c>
      <c r="AY774" s="1">
        <v>1.0</v>
      </c>
      <c r="AZ774" s="1">
        <v>44.99</v>
      </c>
      <c r="BB774" s="1">
        <v>44.99</v>
      </c>
    </row>
    <row r="775">
      <c r="A775" s="1" t="s">
        <v>1521</v>
      </c>
      <c r="C775" s="1" t="s">
        <v>56</v>
      </c>
      <c r="D775" s="1" t="s">
        <v>1522</v>
      </c>
      <c r="Y775" s="2">
        <v>45518.0</v>
      </c>
      <c r="AE775" s="1">
        <v>49.99</v>
      </c>
      <c r="AG775" s="3" t="str">
        <f>"2000006177319091"</f>
        <v>2000006177319091</v>
      </c>
      <c r="AH775" s="1" t="s">
        <v>58</v>
      </c>
      <c r="AI775" s="1" t="s">
        <v>59</v>
      </c>
      <c r="AJ775" s="1" t="s">
        <v>59</v>
      </c>
      <c r="AK775" s="1" t="s">
        <v>60</v>
      </c>
      <c r="AL775" s="1" t="s">
        <v>60</v>
      </c>
      <c r="AW775" s="1" t="s">
        <v>1523</v>
      </c>
      <c r="AY775" s="1">
        <v>1.0</v>
      </c>
      <c r="AZ775" s="1">
        <v>49.99</v>
      </c>
      <c r="BB775" s="1">
        <v>49.99</v>
      </c>
    </row>
    <row r="776">
      <c r="A776" s="1" t="s">
        <v>319</v>
      </c>
      <c r="C776" s="1" t="s">
        <v>56</v>
      </c>
      <c r="D776" s="1" t="s">
        <v>1524</v>
      </c>
      <c r="Y776" s="2">
        <v>45518.0</v>
      </c>
      <c r="AE776" s="1">
        <v>74.99</v>
      </c>
      <c r="AG776" s="3" t="str">
        <f>"2000006177321001"</f>
        <v>2000006177321001</v>
      </c>
      <c r="AH776" s="1" t="s">
        <v>58</v>
      </c>
      <c r="AI776" s="1" t="s">
        <v>59</v>
      </c>
      <c r="AJ776" s="1" t="s">
        <v>59</v>
      </c>
      <c r="AK776" s="1" t="s">
        <v>60</v>
      </c>
      <c r="AL776" s="1" t="s">
        <v>60</v>
      </c>
      <c r="AW776" s="1" t="s">
        <v>321</v>
      </c>
      <c r="AY776" s="1">
        <v>1.0</v>
      </c>
      <c r="AZ776" s="1">
        <v>74.99</v>
      </c>
      <c r="BB776" s="1">
        <v>74.99</v>
      </c>
    </row>
    <row r="777">
      <c r="A777" s="1" t="s">
        <v>1148</v>
      </c>
      <c r="C777" s="1" t="s">
        <v>56</v>
      </c>
      <c r="D777" s="1" t="s">
        <v>1525</v>
      </c>
      <c r="Y777" s="2">
        <v>45518.0</v>
      </c>
      <c r="AE777" s="1">
        <v>64.99</v>
      </c>
      <c r="AG777" s="3" t="str">
        <f>"2000006177312799"</f>
        <v>2000006177312799</v>
      </c>
      <c r="AH777" s="1" t="s">
        <v>58</v>
      </c>
      <c r="AI777" s="1" t="s">
        <v>59</v>
      </c>
      <c r="AJ777" s="1" t="s">
        <v>59</v>
      </c>
      <c r="AK777" s="1" t="s">
        <v>60</v>
      </c>
      <c r="AL777" s="1" t="s">
        <v>60</v>
      </c>
      <c r="AW777" s="1" t="s">
        <v>1150</v>
      </c>
      <c r="AY777" s="1">
        <v>1.0</v>
      </c>
      <c r="AZ777" s="1">
        <v>64.99</v>
      </c>
      <c r="BB777" s="1">
        <v>64.99</v>
      </c>
    </row>
    <row r="778">
      <c r="A778" s="1" t="s">
        <v>236</v>
      </c>
      <c r="C778" s="1" t="s">
        <v>56</v>
      </c>
      <c r="D778" s="1" t="s">
        <v>1526</v>
      </c>
      <c r="Y778" s="2">
        <v>45518.0</v>
      </c>
      <c r="AE778" s="1">
        <v>119.99</v>
      </c>
      <c r="AG778" s="3" t="str">
        <f t="shared" ref="AG778:AG779" si="30">"2000006177290383"</f>
        <v>2000006177290383</v>
      </c>
      <c r="AH778" s="1" t="s">
        <v>58</v>
      </c>
      <c r="AI778" s="1" t="s">
        <v>59</v>
      </c>
      <c r="AJ778" s="1" t="s">
        <v>59</v>
      </c>
      <c r="AK778" s="1" t="s">
        <v>60</v>
      </c>
      <c r="AL778" s="1" t="s">
        <v>60</v>
      </c>
      <c r="AW778" s="1" t="s">
        <v>238</v>
      </c>
      <c r="AY778" s="1">
        <v>1.0</v>
      </c>
      <c r="AZ778" s="1">
        <v>119.99</v>
      </c>
      <c r="BB778" s="1">
        <v>119.99</v>
      </c>
    </row>
    <row r="779">
      <c r="A779" s="1" t="s">
        <v>417</v>
      </c>
      <c r="C779" s="1" t="s">
        <v>56</v>
      </c>
      <c r="D779" s="1" t="s">
        <v>1526</v>
      </c>
      <c r="Y779" s="2">
        <v>45518.0</v>
      </c>
      <c r="AE779" s="1">
        <v>99.99</v>
      </c>
      <c r="AG779" s="3" t="str">
        <f t="shared" si="30"/>
        <v>2000006177290383</v>
      </c>
      <c r="AH779" s="1" t="s">
        <v>58</v>
      </c>
      <c r="AI779" s="1" t="s">
        <v>59</v>
      </c>
      <c r="AJ779" s="1" t="s">
        <v>59</v>
      </c>
      <c r="AK779" s="1" t="s">
        <v>60</v>
      </c>
      <c r="AL779" s="1" t="s">
        <v>60</v>
      </c>
      <c r="AW779" s="1" t="s">
        <v>419</v>
      </c>
      <c r="AY779" s="1">
        <v>1.0</v>
      </c>
      <c r="AZ779" s="1">
        <v>99.99</v>
      </c>
      <c r="BB779" s="1">
        <v>99.99</v>
      </c>
    </row>
    <row r="780">
      <c r="A780" s="1" t="s">
        <v>1527</v>
      </c>
      <c r="C780" s="1" t="s">
        <v>56</v>
      </c>
      <c r="D780" s="1" t="s">
        <v>1528</v>
      </c>
      <c r="Y780" s="2">
        <v>45518.0</v>
      </c>
      <c r="AE780" s="1">
        <v>39.99</v>
      </c>
      <c r="AG780" s="3" t="str">
        <f>"2000006177276987"</f>
        <v>2000006177276987</v>
      </c>
      <c r="AH780" s="1" t="s">
        <v>58</v>
      </c>
      <c r="AI780" s="1" t="s">
        <v>59</v>
      </c>
      <c r="AJ780" s="1" t="s">
        <v>59</v>
      </c>
      <c r="AK780" s="1" t="s">
        <v>60</v>
      </c>
      <c r="AL780" s="1" t="s">
        <v>60</v>
      </c>
      <c r="AW780" s="1" t="s">
        <v>1529</v>
      </c>
      <c r="AY780" s="1">
        <v>1.0</v>
      </c>
      <c r="AZ780" s="1">
        <v>39.99</v>
      </c>
      <c r="BB780" s="1">
        <v>39.99</v>
      </c>
    </row>
    <row r="781">
      <c r="A781" s="1" t="s">
        <v>915</v>
      </c>
      <c r="C781" s="1" t="s">
        <v>56</v>
      </c>
      <c r="D781" s="1" t="s">
        <v>1530</v>
      </c>
      <c r="Y781" s="2">
        <v>45518.0</v>
      </c>
      <c r="AE781" s="1">
        <v>109.99</v>
      </c>
      <c r="AG781" s="3" t="str">
        <f>"2000006177257373"</f>
        <v>2000006177257373</v>
      </c>
      <c r="AH781" s="1" t="s">
        <v>58</v>
      </c>
      <c r="AI781" s="1" t="s">
        <v>59</v>
      </c>
      <c r="AJ781" s="1" t="s">
        <v>59</v>
      </c>
      <c r="AK781" s="1" t="s">
        <v>60</v>
      </c>
      <c r="AL781" s="1" t="s">
        <v>60</v>
      </c>
      <c r="AW781" s="1" t="s">
        <v>917</v>
      </c>
      <c r="AY781" s="1">
        <v>1.0</v>
      </c>
      <c r="AZ781" s="1">
        <v>109.99</v>
      </c>
      <c r="BB781" s="1">
        <v>109.99</v>
      </c>
    </row>
    <row r="782">
      <c r="A782" s="1" t="s">
        <v>886</v>
      </c>
      <c r="C782" s="1" t="s">
        <v>56</v>
      </c>
      <c r="D782" s="1" t="s">
        <v>1531</v>
      </c>
      <c r="Y782" s="2">
        <v>45518.0</v>
      </c>
      <c r="AE782" s="1">
        <v>69.99</v>
      </c>
      <c r="AG782" s="3" t="str">
        <f>"2000006177236621"</f>
        <v>2000006177236621</v>
      </c>
      <c r="AH782" s="1" t="s">
        <v>58</v>
      </c>
      <c r="AI782" s="1" t="s">
        <v>59</v>
      </c>
      <c r="AJ782" s="1" t="s">
        <v>59</v>
      </c>
      <c r="AK782" s="1" t="s">
        <v>60</v>
      </c>
      <c r="AL782" s="1" t="s">
        <v>60</v>
      </c>
      <c r="AW782" s="1" t="s">
        <v>888</v>
      </c>
      <c r="AY782" s="1">
        <v>1.0</v>
      </c>
      <c r="AZ782" s="1">
        <v>69.99</v>
      </c>
      <c r="BB782" s="1">
        <v>69.99</v>
      </c>
    </row>
    <row r="783">
      <c r="A783" s="1" t="s">
        <v>114</v>
      </c>
      <c r="C783" s="1" t="s">
        <v>56</v>
      </c>
      <c r="D783" s="1" t="s">
        <v>1532</v>
      </c>
      <c r="Y783" s="2">
        <v>45518.0</v>
      </c>
      <c r="AE783" s="1">
        <v>84.99</v>
      </c>
      <c r="AG783" s="3" t="str">
        <f>"2000006177219799"</f>
        <v>2000006177219799</v>
      </c>
      <c r="AH783" s="1" t="s">
        <v>58</v>
      </c>
      <c r="AI783" s="1" t="s">
        <v>59</v>
      </c>
      <c r="AJ783" s="1" t="s">
        <v>59</v>
      </c>
      <c r="AK783" s="1" t="s">
        <v>60</v>
      </c>
      <c r="AL783" s="1" t="s">
        <v>60</v>
      </c>
      <c r="AW783" s="1" t="s">
        <v>116</v>
      </c>
      <c r="AY783" s="1">
        <v>1.0</v>
      </c>
      <c r="AZ783" s="1">
        <v>84.99</v>
      </c>
      <c r="BB783" s="1">
        <v>84.99</v>
      </c>
    </row>
    <row r="784">
      <c r="A784" s="1" t="s">
        <v>893</v>
      </c>
      <c r="C784" s="1" t="s">
        <v>56</v>
      </c>
      <c r="D784" s="1" t="s">
        <v>1533</v>
      </c>
      <c r="Y784" s="2">
        <v>45518.0</v>
      </c>
      <c r="AE784" s="1">
        <v>99.99</v>
      </c>
      <c r="AG784" s="3" t="str">
        <f>"2000006177211433"</f>
        <v>2000006177211433</v>
      </c>
      <c r="AH784" s="1" t="s">
        <v>58</v>
      </c>
      <c r="AI784" s="1" t="s">
        <v>59</v>
      </c>
      <c r="AJ784" s="1" t="s">
        <v>59</v>
      </c>
      <c r="AK784" s="1" t="s">
        <v>60</v>
      </c>
      <c r="AL784" s="1" t="s">
        <v>60</v>
      </c>
      <c r="AW784" s="1" t="s">
        <v>895</v>
      </c>
      <c r="AY784" s="1">
        <v>1.0</v>
      </c>
      <c r="AZ784" s="1">
        <v>99.99</v>
      </c>
      <c r="BB784" s="1">
        <v>99.99</v>
      </c>
    </row>
    <row r="785">
      <c r="A785" s="1" t="s">
        <v>508</v>
      </c>
      <c r="C785" s="1" t="s">
        <v>56</v>
      </c>
      <c r="D785" s="1" t="s">
        <v>1534</v>
      </c>
      <c r="Y785" s="2">
        <v>45518.0</v>
      </c>
      <c r="AE785" s="1">
        <v>184.99</v>
      </c>
      <c r="AG785" s="3" t="str">
        <f>"2000006176647391"</f>
        <v>2000006176647391</v>
      </c>
      <c r="AH785" s="1" t="s">
        <v>58</v>
      </c>
      <c r="AI785" s="1" t="s">
        <v>59</v>
      </c>
      <c r="AJ785" s="1" t="s">
        <v>59</v>
      </c>
      <c r="AK785" s="1" t="s">
        <v>60</v>
      </c>
      <c r="AL785" s="1" t="s">
        <v>60</v>
      </c>
      <c r="AW785" s="1" t="s">
        <v>1535</v>
      </c>
      <c r="AY785" s="1">
        <v>1.0</v>
      </c>
      <c r="AZ785" s="1">
        <v>184.99</v>
      </c>
      <c r="BB785" s="1">
        <v>184.99</v>
      </c>
    </row>
    <row r="786">
      <c r="A786" s="1" t="s">
        <v>428</v>
      </c>
      <c r="C786" s="1" t="s">
        <v>56</v>
      </c>
      <c r="D786" s="1" t="s">
        <v>1536</v>
      </c>
      <c r="Y786" s="2">
        <v>45518.0</v>
      </c>
      <c r="AE786" s="1">
        <v>279.99</v>
      </c>
      <c r="AG786" s="3" t="str">
        <f>"2000006177148911"</f>
        <v>2000006177148911</v>
      </c>
      <c r="AH786" s="1" t="s">
        <v>58</v>
      </c>
      <c r="AI786" s="1" t="s">
        <v>59</v>
      </c>
      <c r="AJ786" s="1" t="s">
        <v>59</v>
      </c>
      <c r="AK786" s="1" t="s">
        <v>60</v>
      </c>
      <c r="AL786" s="1" t="s">
        <v>60</v>
      </c>
      <c r="AW786" s="1" t="s">
        <v>430</v>
      </c>
      <c r="AY786" s="1">
        <v>1.0</v>
      </c>
      <c r="AZ786" s="1">
        <v>279.99</v>
      </c>
      <c r="BB786" s="1">
        <v>279.99</v>
      </c>
    </row>
    <row r="787">
      <c r="A787" s="1" t="s">
        <v>185</v>
      </c>
      <c r="C787" s="1" t="s">
        <v>56</v>
      </c>
      <c r="D787" s="1" t="s">
        <v>1537</v>
      </c>
      <c r="Y787" s="2">
        <v>45518.0</v>
      </c>
      <c r="AE787" s="1">
        <v>124.99</v>
      </c>
      <c r="AG787" s="3" t="str">
        <f>"2000006177103425"</f>
        <v>2000006177103425</v>
      </c>
      <c r="AH787" s="1" t="s">
        <v>58</v>
      </c>
      <c r="AI787" s="1" t="s">
        <v>59</v>
      </c>
      <c r="AJ787" s="1" t="s">
        <v>59</v>
      </c>
      <c r="AK787" s="1" t="s">
        <v>60</v>
      </c>
      <c r="AL787" s="1" t="s">
        <v>60</v>
      </c>
      <c r="AW787" s="1" t="s">
        <v>187</v>
      </c>
      <c r="AY787" s="1">
        <v>1.0</v>
      </c>
      <c r="AZ787" s="1">
        <v>124.99</v>
      </c>
      <c r="BB787" s="1">
        <v>124.99</v>
      </c>
    </row>
    <row r="788">
      <c r="A788" s="1" t="s">
        <v>1048</v>
      </c>
      <c r="C788" s="1" t="s">
        <v>56</v>
      </c>
      <c r="D788" s="1" t="s">
        <v>1538</v>
      </c>
      <c r="Y788" s="2">
        <v>45518.0</v>
      </c>
      <c r="AE788" s="1">
        <v>119.99</v>
      </c>
      <c r="AG788" s="3" t="str">
        <f>"2000006177062117"</f>
        <v>2000006177062117</v>
      </c>
      <c r="AH788" s="1" t="s">
        <v>58</v>
      </c>
      <c r="AI788" s="1" t="s">
        <v>59</v>
      </c>
      <c r="AJ788" s="1" t="s">
        <v>59</v>
      </c>
      <c r="AK788" s="1" t="s">
        <v>60</v>
      </c>
      <c r="AL788" s="1" t="s">
        <v>60</v>
      </c>
      <c r="AW788" s="1" t="s">
        <v>1050</v>
      </c>
      <c r="AY788" s="1">
        <v>1.0</v>
      </c>
      <c r="AZ788" s="1">
        <v>119.99</v>
      </c>
      <c r="BB788" s="1">
        <v>119.99</v>
      </c>
    </row>
    <row r="789">
      <c r="A789" s="1" t="s">
        <v>1539</v>
      </c>
      <c r="C789" s="1" t="s">
        <v>56</v>
      </c>
      <c r="D789" s="1" t="s">
        <v>1540</v>
      </c>
      <c r="Y789" s="2">
        <v>45518.0</v>
      </c>
      <c r="AE789" s="1">
        <v>109.99</v>
      </c>
      <c r="AG789" s="3" t="str">
        <f>"2000006177042305"</f>
        <v>2000006177042305</v>
      </c>
      <c r="AH789" s="1" t="s">
        <v>58</v>
      </c>
      <c r="AI789" s="1" t="s">
        <v>59</v>
      </c>
      <c r="AJ789" s="1" t="s">
        <v>59</v>
      </c>
      <c r="AK789" s="1" t="s">
        <v>60</v>
      </c>
      <c r="AL789" s="1" t="s">
        <v>60</v>
      </c>
      <c r="AW789" s="1" t="s">
        <v>1541</v>
      </c>
      <c r="AY789" s="1">
        <v>1.0</v>
      </c>
      <c r="AZ789" s="1">
        <v>109.99</v>
      </c>
      <c r="BB789" s="1">
        <v>109.99</v>
      </c>
    </row>
    <row r="790">
      <c r="A790" s="1" t="s">
        <v>1542</v>
      </c>
      <c r="C790" s="1" t="s">
        <v>56</v>
      </c>
      <c r="D790" s="1" t="s">
        <v>1543</v>
      </c>
      <c r="Y790" s="2">
        <v>45518.0</v>
      </c>
      <c r="AE790" s="1">
        <v>64.99</v>
      </c>
      <c r="AG790" s="3" t="str">
        <f>"2000009040070010"</f>
        <v>2000009040070010</v>
      </c>
      <c r="AH790" s="1" t="s">
        <v>58</v>
      </c>
      <c r="AI790" s="1" t="s">
        <v>59</v>
      </c>
      <c r="AJ790" s="1" t="s">
        <v>59</v>
      </c>
      <c r="AK790" s="1" t="s">
        <v>60</v>
      </c>
      <c r="AL790" s="1" t="s">
        <v>60</v>
      </c>
      <c r="AW790" s="1" t="s">
        <v>1190</v>
      </c>
      <c r="AY790" s="1">
        <v>1.0</v>
      </c>
      <c r="AZ790" s="1">
        <v>64.99</v>
      </c>
      <c r="BB790" s="1">
        <v>64.99</v>
      </c>
    </row>
    <row r="791">
      <c r="A791" s="1" t="s">
        <v>1068</v>
      </c>
      <c r="C791" s="1" t="s">
        <v>56</v>
      </c>
      <c r="D791" s="1" t="s">
        <v>1544</v>
      </c>
      <c r="Y791" s="2">
        <v>45518.0</v>
      </c>
      <c r="AE791" s="1">
        <v>219.99</v>
      </c>
      <c r="AG791" s="3" t="str">
        <f>"2000006177046623"</f>
        <v>2000006177046623</v>
      </c>
      <c r="AH791" s="1" t="s">
        <v>58</v>
      </c>
      <c r="AI791" s="1" t="s">
        <v>59</v>
      </c>
      <c r="AJ791" s="1" t="s">
        <v>59</v>
      </c>
      <c r="AK791" s="1" t="s">
        <v>60</v>
      </c>
      <c r="AL791" s="1" t="s">
        <v>60</v>
      </c>
      <c r="AW791" s="1" t="s">
        <v>1070</v>
      </c>
      <c r="AY791" s="1">
        <v>1.0</v>
      </c>
      <c r="AZ791" s="1">
        <v>219.99</v>
      </c>
      <c r="BB791" s="1">
        <v>219.99</v>
      </c>
    </row>
    <row r="792">
      <c r="A792" s="1" t="s">
        <v>517</v>
      </c>
      <c r="C792" s="1" t="s">
        <v>56</v>
      </c>
      <c r="D792" s="1" t="s">
        <v>1545</v>
      </c>
      <c r="Y792" s="2">
        <v>45518.0</v>
      </c>
      <c r="AE792" s="1">
        <v>99.98</v>
      </c>
      <c r="AG792" s="3" t="str">
        <f>"2000006177051435"</f>
        <v>2000006177051435</v>
      </c>
      <c r="AH792" s="1" t="s">
        <v>58</v>
      </c>
      <c r="AI792" s="1" t="s">
        <v>59</v>
      </c>
      <c r="AJ792" s="1" t="s">
        <v>59</v>
      </c>
      <c r="AK792" s="1" t="s">
        <v>60</v>
      </c>
      <c r="AL792" s="1" t="s">
        <v>60</v>
      </c>
      <c r="AW792" s="1" t="s">
        <v>70</v>
      </c>
      <c r="AY792" s="1">
        <v>2.0</v>
      </c>
      <c r="AZ792" s="1">
        <v>49.99</v>
      </c>
      <c r="BB792" s="1">
        <v>99.98</v>
      </c>
    </row>
    <row r="793">
      <c r="A793" s="1" t="s">
        <v>1546</v>
      </c>
      <c r="C793" s="1" t="s">
        <v>56</v>
      </c>
      <c r="D793" s="1" t="s">
        <v>1547</v>
      </c>
      <c r="Y793" s="2">
        <v>45518.0</v>
      </c>
      <c r="AE793" s="1">
        <v>99.99</v>
      </c>
      <c r="AG793" s="3" t="str">
        <f>"2000006177004943"</f>
        <v>2000006177004943</v>
      </c>
      <c r="AH793" s="1" t="s">
        <v>58</v>
      </c>
      <c r="AI793" s="1" t="s">
        <v>59</v>
      </c>
      <c r="AJ793" s="1" t="s">
        <v>59</v>
      </c>
      <c r="AK793" s="1" t="s">
        <v>60</v>
      </c>
      <c r="AL793" s="1" t="s">
        <v>60</v>
      </c>
      <c r="AW793" s="1" t="s">
        <v>1548</v>
      </c>
      <c r="AY793" s="1">
        <v>1.0</v>
      </c>
      <c r="AZ793" s="1">
        <v>99.99</v>
      </c>
      <c r="BB793" s="1">
        <v>99.99</v>
      </c>
    </row>
    <row r="794">
      <c r="A794" s="1" t="s">
        <v>438</v>
      </c>
      <c r="C794" s="1" t="s">
        <v>56</v>
      </c>
      <c r="D794" s="1" t="s">
        <v>1549</v>
      </c>
      <c r="Y794" s="2">
        <v>45518.0</v>
      </c>
      <c r="AE794" s="1">
        <v>194.97</v>
      </c>
      <c r="AG794" s="3" t="str">
        <f>"2000006177010115"</f>
        <v>2000006177010115</v>
      </c>
      <c r="AH794" s="1" t="s">
        <v>58</v>
      </c>
      <c r="AI794" s="1" t="s">
        <v>59</v>
      </c>
      <c r="AJ794" s="1" t="s">
        <v>59</v>
      </c>
      <c r="AK794" s="1" t="s">
        <v>60</v>
      </c>
      <c r="AL794" s="1" t="s">
        <v>60</v>
      </c>
      <c r="AW794" s="1" t="s">
        <v>440</v>
      </c>
      <c r="AY794" s="1">
        <v>3.0</v>
      </c>
      <c r="AZ794" s="1">
        <v>64.99</v>
      </c>
      <c r="BB794" s="1">
        <v>194.969999999999</v>
      </c>
    </row>
    <row r="795">
      <c r="A795" s="1" t="s">
        <v>438</v>
      </c>
      <c r="C795" s="1" t="s">
        <v>235</v>
      </c>
      <c r="D795" s="1" t="s">
        <v>1549</v>
      </c>
      <c r="Y795" s="2">
        <v>45518.0</v>
      </c>
      <c r="AE795" s="1">
        <v>129.98</v>
      </c>
      <c r="AG795" s="3" t="str">
        <f>"2000006177010117"</f>
        <v>2000006177010117</v>
      </c>
      <c r="AH795" s="1" t="s">
        <v>58</v>
      </c>
      <c r="AI795" s="1" t="s">
        <v>59</v>
      </c>
      <c r="AJ795" s="1" t="s">
        <v>59</v>
      </c>
      <c r="AK795" s="1" t="s">
        <v>60</v>
      </c>
      <c r="AL795" s="1" t="s">
        <v>60</v>
      </c>
      <c r="AW795" s="1" t="s">
        <v>440</v>
      </c>
      <c r="AY795" s="1">
        <v>2.0</v>
      </c>
      <c r="AZ795" s="1">
        <v>64.99</v>
      </c>
      <c r="BB795" s="1">
        <v>129.98</v>
      </c>
    </row>
    <row r="796">
      <c r="A796" s="1" t="s">
        <v>496</v>
      </c>
      <c r="C796" s="1" t="s">
        <v>56</v>
      </c>
      <c r="D796" s="1" t="s">
        <v>1550</v>
      </c>
      <c r="Y796" s="2">
        <v>45518.0</v>
      </c>
      <c r="AE796" s="1">
        <v>54.99</v>
      </c>
      <c r="AG796" s="3" t="str">
        <f>"2000006176998405"</f>
        <v>2000006176998405</v>
      </c>
      <c r="AH796" s="1" t="s">
        <v>58</v>
      </c>
      <c r="AI796" s="1" t="s">
        <v>59</v>
      </c>
      <c r="AJ796" s="1" t="s">
        <v>59</v>
      </c>
      <c r="AK796" s="1" t="s">
        <v>60</v>
      </c>
      <c r="AL796" s="1" t="s">
        <v>60</v>
      </c>
      <c r="AW796" s="1" t="s">
        <v>497</v>
      </c>
      <c r="AY796" s="1">
        <v>1.0</v>
      </c>
      <c r="AZ796" s="1">
        <v>54.99</v>
      </c>
      <c r="BB796" s="1">
        <v>54.99</v>
      </c>
    </row>
    <row r="797">
      <c r="A797" s="1" t="s">
        <v>169</v>
      </c>
      <c r="C797" s="1" t="s">
        <v>56</v>
      </c>
      <c r="D797" s="1" t="s">
        <v>1551</v>
      </c>
      <c r="Y797" s="2">
        <v>45518.0</v>
      </c>
      <c r="AE797" s="1">
        <v>109.99</v>
      </c>
      <c r="AG797" s="3" t="str">
        <f>"2000009039980508"</f>
        <v>2000009039980508</v>
      </c>
      <c r="AH797" s="1" t="s">
        <v>58</v>
      </c>
      <c r="AI797" s="1" t="s">
        <v>59</v>
      </c>
      <c r="AJ797" s="1" t="s">
        <v>59</v>
      </c>
      <c r="AK797" s="1" t="s">
        <v>60</v>
      </c>
      <c r="AL797" s="1" t="s">
        <v>60</v>
      </c>
      <c r="AW797" s="1" t="s">
        <v>171</v>
      </c>
      <c r="AY797" s="1">
        <v>1.0</v>
      </c>
      <c r="AZ797" s="1">
        <v>109.99</v>
      </c>
      <c r="BB797" s="1">
        <v>109.99</v>
      </c>
    </row>
    <row r="798">
      <c r="A798" s="1" t="s">
        <v>302</v>
      </c>
      <c r="C798" s="1" t="s">
        <v>235</v>
      </c>
      <c r="D798" s="1" t="s">
        <v>1552</v>
      </c>
      <c r="Y798" s="2">
        <v>45518.0</v>
      </c>
      <c r="AE798" s="1">
        <v>78.96</v>
      </c>
      <c r="AG798" s="3" t="str">
        <f>"2000006176978717"</f>
        <v>2000006176978717</v>
      </c>
      <c r="AH798" s="1" t="s">
        <v>58</v>
      </c>
      <c r="AI798" s="1" t="s">
        <v>59</v>
      </c>
      <c r="AJ798" s="1" t="s">
        <v>59</v>
      </c>
      <c r="AK798" s="1" t="s">
        <v>60</v>
      </c>
      <c r="AL798" s="1" t="s">
        <v>60</v>
      </c>
      <c r="AW798" s="1" t="s">
        <v>304</v>
      </c>
      <c r="AY798" s="1">
        <v>2.0</v>
      </c>
      <c r="AZ798" s="1">
        <v>39.48</v>
      </c>
      <c r="BB798" s="1">
        <v>78.96</v>
      </c>
    </row>
    <row r="799">
      <c r="A799" s="1" t="s">
        <v>933</v>
      </c>
      <c r="C799" s="1" t="s">
        <v>56</v>
      </c>
      <c r="D799" s="1" t="s">
        <v>1553</v>
      </c>
      <c r="Y799" s="2">
        <v>45518.0</v>
      </c>
      <c r="AE799" s="1">
        <v>79.99</v>
      </c>
      <c r="AG799" s="3" t="str">
        <f t="shared" ref="AG799:AG800" si="31">"2000006176943325"</f>
        <v>2000006176943325</v>
      </c>
      <c r="AH799" s="1" t="s">
        <v>58</v>
      </c>
      <c r="AI799" s="1" t="s">
        <v>59</v>
      </c>
      <c r="AJ799" s="1" t="s">
        <v>59</v>
      </c>
      <c r="AK799" s="1" t="s">
        <v>60</v>
      </c>
      <c r="AL799" s="1" t="s">
        <v>60</v>
      </c>
      <c r="AW799" s="1" t="s">
        <v>935</v>
      </c>
      <c r="AY799" s="1">
        <v>1.0</v>
      </c>
      <c r="AZ799" s="1">
        <v>79.99</v>
      </c>
      <c r="BB799" s="1">
        <v>79.99</v>
      </c>
    </row>
    <row r="800">
      <c r="A800" s="1" t="s">
        <v>172</v>
      </c>
      <c r="C800" s="1" t="s">
        <v>56</v>
      </c>
      <c r="D800" s="1" t="s">
        <v>1553</v>
      </c>
      <c r="Y800" s="2">
        <v>45518.0</v>
      </c>
      <c r="AE800" s="1">
        <v>79.99</v>
      </c>
      <c r="AG800" s="3" t="str">
        <f t="shared" si="31"/>
        <v>2000006176943325</v>
      </c>
      <c r="AH800" s="1" t="s">
        <v>58</v>
      </c>
      <c r="AI800" s="1" t="s">
        <v>59</v>
      </c>
      <c r="AJ800" s="1" t="s">
        <v>59</v>
      </c>
      <c r="AK800" s="1" t="s">
        <v>60</v>
      </c>
      <c r="AL800" s="1" t="s">
        <v>60</v>
      </c>
      <c r="AW800" s="1" t="s">
        <v>174</v>
      </c>
      <c r="AY800" s="1">
        <v>1.0</v>
      </c>
      <c r="AZ800" s="1">
        <v>79.99</v>
      </c>
      <c r="BB800" s="1">
        <v>79.99</v>
      </c>
    </row>
    <row r="801">
      <c r="A801" s="1" t="s">
        <v>169</v>
      </c>
      <c r="C801" s="1" t="s">
        <v>56</v>
      </c>
      <c r="D801" s="1" t="s">
        <v>1554</v>
      </c>
      <c r="Y801" s="2">
        <v>45518.0</v>
      </c>
      <c r="AE801" s="1">
        <v>109.99</v>
      </c>
      <c r="AG801" s="3" t="str">
        <f>"2000006176970551"</f>
        <v>2000006176970551</v>
      </c>
      <c r="AH801" s="1" t="s">
        <v>58</v>
      </c>
      <c r="AI801" s="1" t="s">
        <v>59</v>
      </c>
      <c r="AJ801" s="1" t="s">
        <v>59</v>
      </c>
      <c r="AK801" s="1" t="s">
        <v>60</v>
      </c>
      <c r="AL801" s="1" t="s">
        <v>60</v>
      </c>
      <c r="AW801" s="1" t="s">
        <v>171</v>
      </c>
      <c r="AY801" s="1">
        <v>1.0</v>
      </c>
      <c r="AZ801" s="1">
        <v>109.99</v>
      </c>
      <c r="BB801" s="1">
        <v>109.99</v>
      </c>
    </row>
    <row r="802">
      <c r="A802" s="1" t="s">
        <v>505</v>
      </c>
      <c r="C802" s="1" t="s">
        <v>56</v>
      </c>
      <c r="D802" s="1" t="s">
        <v>1555</v>
      </c>
      <c r="Y802" s="2">
        <v>45518.0</v>
      </c>
      <c r="AE802" s="1">
        <v>294.99</v>
      </c>
      <c r="AG802" s="3" t="str">
        <f>"2000009039442968"</f>
        <v>2000009039442968</v>
      </c>
      <c r="AH802" s="1" t="s">
        <v>58</v>
      </c>
      <c r="AI802" s="1" t="s">
        <v>59</v>
      </c>
      <c r="AJ802" s="1" t="s">
        <v>59</v>
      </c>
      <c r="AK802" s="1" t="s">
        <v>60</v>
      </c>
      <c r="AL802" s="1" t="s">
        <v>60</v>
      </c>
      <c r="AW802" s="1" t="s">
        <v>507</v>
      </c>
      <c r="AY802" s="1">
        <v>1.0</v>
      </c>
      <c r="AZ802" s="1">
        <v>294.99</v>
      </c>
      <c r="BB802" s="1">
        <v>294.99</v>
      </c>
    </row>
    <row r="803">
      <c r="A803" s="1" t="s">
        <v>1556</v>
      </c>
      <c r="C803" s="1" t="s">
        <v>56</v>
      </c>
      <c r="D803" s="1" t="s">
        <v>1557</v>
      </c>
      <c r="Y803" s="2">
        <v>45518.0</v>
      </c>
      <c r="AE803" s="1">
        <v>41.48</v>
      </c>
      <c r="AG803" s="3" t="str">
        <f>"2000006176866733"</f>
        <v>2000006176866733</v>
      </c>
      <c r="AH803" s="1" t="s">
        <v>58</v>
      </c>
      <c r="AI803" s="1" t="s">
        <v>59</v>
      </c>
      <c r="AJ803" s="1" t="s">
        <v>59</v>
      </c>
      <c r="AK803" s="1" t="s">
        <v>60</v>
      </c>
      <c r="AL803" s="1" t="s">
        <v>60</v>
      </c>
      <c r="AW803" s="1" t="s">
        <v>1558</v>
      </c>
      <c r="AY803" s="1">
        <v>1.0</v>
      </c>
      <c r="AZ803" s="1">
        <v>41.48</v>
      </c>
      <c r="BB803" s="1">
        <v>41.48</v>
      </c>
    </row>
    <row r="804">
      <c r="A804" s="1" t="s">
        <v>1559</v>
      </c>
      <c r="C804" s="1" t="s">
        <v>56</v>
      </c>
      <c r="D804" s="1" t="s">
        <v>1560</v>
      </c>
      <c r="Y804" s="2">
        <v>45518.0</v>
      </c>
      <c r="AE804" s="1">
        <v>109.99</v>
      </c>
      <c r="AG804" s="3" t="str">
        <f>"2000006176835743"</f>
        <v>2000006176835743</v>
      </c>
      <c r="AH804" s="1" t="s">
        <v>58</v>
      </c>
      <c r="AI804" s="1" t="s">
        <v>59</v>
      </c>
      <c r="AJ804" s="1" t="s">
        <v>59</v>
      </c>
      <c r="AK804" s="1" t="s">
        <v>60</v>
      </c>
      <c r="AL804" s="1" t="s">
        <v>60</v>
      </c>
      <c r="AW804" s="1" t="s">
        <v>76</v>
      </c>
      <c r="AY804" s="1">
        <v>1.0</v>
      </c>
      <c r="AZ804" s="1">
        <v>109.99</v>
      </c>
      <c r="BB804" s="1">
        <v>109.99</v>
      </c>
    </row>
    <row r="805">
      <c r="A805" s="1" t="s">
        <v>1561</v>
      </c>
      <c r="C805" s="1" t="s">
        <v>56</v>
      </c>
      <c r="D805" s="1" t="s">
        <v>1562</v>
      </c>
      <c r="Y805" s="2">
        <v>45518.0</v>
      </c>
      <c r="AE805" s="1">
        <v>279.99</v>
      </c>
      <c r="AG805" s="3" t="str">
        <f>"2000006176739745"</f>
        <v>2000006176739745</v>
      </c>
      <c r="AH805" s="1" t="s">
        <v>58</v>
      </c>
      <c r="AI805" s="1" t="s">
        <v>59</v>
      </c>
      <c r="AJ805" s="1" t="s">
        <v>59</v>
      </c>
      <c r="AK805" s="1" t="s">
        <v>60</v>
      </c>
      <c r="AL805" s="1" t="s">
        <v>60</v>
      </c>
      <c r="AW805" s="1" t="s">
        <v>1563</v>
      </c>
      <c r="AY805" s="1">
        <v>1.0</v>
      </c>
      <c r="AZ805" s="1">
        <v>279.99</v>
      </c>
      <c r="BB805" s="1">
        <v>279.99</v>
      </c>
    </row>
    <row r="806">
      <c r="A806" s="1" t="s">
        <v>1137</v>
      </c>
      <c r="C806" s="1" t="s">
        <v>56</v>
      </c>
      <c r="D806" s="1" t="s">
        <v>1564</v>
      </c>
      <c r="Y806" s="2">
        <v>45518.0</v>
      </c>
      <c r="AE806" s="1">
        <v>79.99</v>
      </c>
      <c r="AG806" s="3" t="str">
        <f>"2000006176825719"</f>
        <v>2000006176825719</v>
      </c>
      <c r="AH806" s="1" t="s">
        <v>58</v>
      </c>
      <c r="AI806" s="1" t="s">
        <v>59</v>
      </c>
      <c r="AJ806" s="1" t="s">
        <v>59</v>
      </c>
      <c r="AK806" s="1" t="s">
        <v>60</v>
      </c>
      <c r="AL806" s="1" t="s">
        <v>60</v>
      </c>
      <c r="AW806" s="1" t="s">
        <v>1139</v>
      </c>
      <c r="AY806" s="1">
        <v>1.0</v>
      </c>
      <c r="AZ806" s="1">
        <v>79.99</v>
      </c>
      <c r="BB806" s="1">
        <v>79.99</v>
      </c>
    </row>
    <row r="807">
      <c r="A807" s="1" t="s">
        <v>480</v>
      </c>
      <c r="C807" s="1" t="s">
        <v>56</v>
      </c>
      <c r="D807" s="1" t="s">
        <v>1565</v>
      </c>
      <c r="Y807" s="2">
        <v>45518.0</v>
      </c>
      <c r="AE807" s="1">
        <v>129.98</v>
      </c>
      <c r="AG807" s="3" t="str">
        <f>"2000006176776365"</f>
        <v>2000006176776365</v>
      </c>
      <c r="AH807" s="1" t="s">
        <v>58</v>
      </c>
      <c r="AI807" s="1" t="s">
        <v>59</v>
      </c>
      <c r="AJ807" s="1" t="s">
        <v>59</v>
      </c>
      <c r="AK807" s="1" t="s">
        <v>60</v>
      </c>
      <c r="AL807" s="1" t="s">
        <v>60</v>
      </c>
      <c r="AW807" s="1" t="s">
        <v>482</v>
      </c>
      <c r="AY807" s="1">
        <v>2.0</v>
      </c>
      <c r="AZ807" s="1">
        <v>64.99</v>
      </c>
      <c r="BB807" s="1">
        <v>129.98</v>
      </c>
    </row>
    <row r="808">
      <c r="A808" s="1" t="s">
        <v>1566</v>
      </c>
      <c r="C808" s="1" t="s">
        <v>56</v>
      </c>
      <c r="D808" s="1" t="s">
        <v>1567</v>
      </c>
      <c r="Y808" s="2">
        <v>45518.0</v>
      </c>
      <c r="AE808" s="1">
        <v>49.99</v>
      </c>
      <c r="AG808" s="3" t="str">
        <f>"2000006176768025"</f>
        <v>2000006176768025</v>
      </c>
      <c r="AH808" s="1" t="s">
        <v>58</v>
      </c>
      <c r="AI808" s="1" t="s">
        <v>59</v>
      </c>
      <c r="AJ808" s="1" t="s">
        <v>59</v>
      </c>
      <c r="AK808" s="1" t="s">
        <v>60</v>
      </c>
      <c r="AL808" s="1" t="s">
        <v>60</v>
      </c>
      <c r="AW808" s="1" t="s">
        <v>97</v>
      </c>
      <c r="AY808" s="1">
        <v>1.0</v>
      </c>
      <c r="AZ808" s="1">
        <v>49.99</v>
      </c>
      <c r="BB808" s="1">
        <v>49.99</v>
      </c>
    </row>
    <row r="809">
      <c r="A809" s="1" t="s">
        <v>252</v>
      </c>
      <c r="C809" s="1" t="s">
        <v>56</v>
      </c>
      <c r="D809" s="1" t="s">
        <v>1568</v>
      </c>
      <c r="Y809" s="2">
        <v>45518.0</v>
      </c>
      <c r="AE809" s="1">
        <v>59.99</v>
      </c>
      <c r="AG809" s="3" t="str">
        <f t="shared" ref="AG809:AG810" si="32">"2000006176670683"</f>
        <v>2000006176670683</v>
      </c>
      <c r="AH809" s="1" t="s">
        <v>58</v>
      </c>
      <c r="AI809" s="1" t="s">
        <v>59</v>
      </c>
      <c r="AJ809" s="1" t="s">
        <v>59</v>
      </c>
      <c r="AK809" s="1" t="s">
        <v>60</v>
      </c>
      <c r="AL809" s="1" t="s">
        <v>60</v>
      </c>
      <c r="AW809" s="1" t="s">
        <v>254</v>
      </c>
      <c r="AY809" s="1">
        <v>1.0</v>
      </c>
      <c r="AZ809" s="1">
        <v>59.99</v>
      </c>
      <c r="BB809" s="1">
        <v>59.99</v>
      </c>
    </row>
    <row r="810">
      <c r="A810" s="1" t="s">
        <v>1569</v>
      </c>
      <c r="C810" s="1" t="s">
        <v>56</v>
      </c>
      <c r="D810" s="1" t="s">
        <v>1568</v>
      </c>
      <c r="Y810" s="2">
        <v>45518.0</v>
      </c>
      <c r="AE810" s="1">
        <v>59.99</v>
      </c>
      <c r="AG810" s="3" t="str">
        <f t="shared" si="32"/>
        <v>2000006176670683</v>
      </c>
      <c r="AH810" s="1" t="s">
        <v>58</v>
      </c>
      <c r="AI810" s="1" t="s">
        <v>59</v>
      </c>
      <c r="AJ810" s="1" t="s">
        <v>59</v>
      </c>
      <c r="AK810" s="1" t="s">
        <v>60</v>
      </c>
      <c r="AL810" s="1" t="s">
        <v>60</v>
      </c>
      <c r="AW810" s="1" t="s">
        <v>254</v>
      </c>
      <c r="AY810" s="1">
        <v>1.0</v>
      </c>
      <c r="AZ810" s="1">
        <v>59.99</v>
      </c>
      <c r="BB810" s="1">
        <v>59.99</v>
      </c>
    </row>
    <row r="811">
      <c r="A811" s="1" t="s">
        <v>776</v>
      </c>
      <c r="C811" s="1" t="s">
        <v>56</v>
      </c>
      <c r="D811" s="1" t="s">
        <v>1570</v>
      </c>
      <c r="Y811" s="2">
        <v>45518.0</v>
      </c>
      <c r="AE811" s="1">
        <v>79.99</v>
      </c>
      <c r="AG811" s="3" t="str">
        <f>"2000006176659773"</f>
        <v>2000006176659773</v>
      </c>
      <c r="AH811" s="1" t="s">
        <v>58</v>
      </c>
      <c r="AI811" s="1" t="s">
        <v>59</v>
      </c>
      <c r="AJ811" s="1" t="s">
        <v>59</v>
      </c>
      <c r="AK811" s="1" t="s">
        <v>60</v>
      </c>
      <c r="AL811" s="1" t="s">
        <v>60</v>
      </c>
      <c r="AW811" s="1" t="s">
        <v>778</v>
      </c>
      <c r="AY811" s="1">
        <v>1.0</v>
      </c>
      <c r="AZ811" s="1">
        <v>79.99</v>
      </c>
      <c r="BB811" s="1">
        <v>79.99</v>
      </c>
    </row>
    <row r="812">
      <c r="A812" s="1" t="s">
        <v>426</v>
      </c>
      <c r="C812" s="1" t="s">
        <v>56</v>
      </c>
      <c r="D812" s="1" t="s">
        <v>1571</v>
      </c>
      <c r="Y812" s="2">
        <v>45518.0</v>
      </c>
      <c r="AE812" s="1">
        <v>54.99</v>
      </c>
      <c r="AG812" s="3" t="str">
        <f>"2000006165972155"</f>
        <v>2000006165972155</v>
      </c>
      <c r="AH812" s="1" t="s">
        <v>58</v>
      </c>
      <c r="AI812" s="1" t="s">
        <v>59</v>
      </c>
      <c r="AJ812" s="1" t="s">
        <v>59</v>
      </c>
      <c r="AK812" s="1" t="s">
        <v>60</v>
      </c>
      <c r="AL812" s="1" t="s">
        <v>60</v>
      </c>
      <c r="AW812" s="1" t="s">
        <v>1572</v>
      </c>
      <c r="AY812" s="1">
        <v>1.0</v>
      </c>
      <c r="AZ812" s="1">
        <v>54.99</v>
      </c>
      <c r="BB812" s="1">
        <v>54.99</v>
      </c>
    </row>
    <row r="813">
      <c r="A813" s="1" t="s">
        <v>536</v>
      </c>
      <c r="C813" s="1" t="s">
        <v>56</v>
      </c>
      <c r="D813" s="1" t="s">
        <v>1573</v>
      </c>
      <c r="Y813" s="2">
        <v>45518.0</v>
      </c>
      <c r="AE813" s="1">
        <v>89.99</v>
      </c>
      <c r="AG813" s="3" t="str">
        <f>"2000006176649241"</f>
        <v>2000006176649241</v>
      </c>
      <c r="AH813" s="1" t="s">
        <v>58</v>
      </c>
      <c r="AI813" s="1" t="s">
        <v>59</v>
      </c>
      <c r="AJ813" s="1" t="s">
        <v>59</v>
      </c>
      <c r="AK813" s="1" t="s">
        <v>60</v>
      </c>
      <c r="AL813" s="1" t="s">
        <v>60</v>
      </c>
      <c r="AW813" s="1" t="s">
        <v>538</v>
      </c>
      <c r="AY813" s="1">
        <v>1.0</v>
      </c>
      <c r="AZ813" s="1">
        <v>89.99</v>
      </c>
      <c r="BB813" s="1">
        <v>89.99</v>
      </c>
    </row>
    <row r="814">
      <c r="A814" s="1" t="s">
        <v>1514</v>
      </c>
      <c r="C814" s="1" t="s">
        <v>235</v>
      </c>
      <c r="D814" s="1" t="s">
        <v>1574</v>
      </c>
      <c r="Y814" s="2">
        <v>45518.0</v>
      </c>
      <c r="AE814" s="1">
        <v>39.99</v>
      </c>
      <c r="AG814" s="3" t="str">
        <f>"2000006176057547"</f>
        <v>2000006176057547</v>
      </c>
      <c r="AH814" s="1" t="s">
        <v>58</v>
      </c>
      <c r="AI814" s="1" t="s">
        <v>59</v>
      </c>
      <c r="AJ814" s="1" t="s">
        <v>59</v>
      </c>
      <c r="AK814" s="1" t="s">
        <v>60</v>
      </c>
      <c r="AL814" s="1" t="s">
        <v>60</v>
      </c>
      <c r="AW814" s="1" t="s">
        <v>1516</v>
      </c>
      <c r="AY814" s="1">
        <v>1.0</v>
      </c>
      <c r="AZ814" s="1">
        <v>39.99</v>
      </c>
      <c r="BB814" s="1">
        <v>39.99</v>
      </c>
    </row>
    <row r="815">
      <c r="A815" s="1" t="s">
        <v>77</v>
      </c>
      <c r="C815" s="1" t="s">
        <v>56</v>
      </c>
      <c r="D815" s="1" t="s">
        <v>1575</v>
      </c>
      <c r="Y815" s="2">
        <v>45518.0</v>
      </c>
      <c r="AE815" s="1">
        <v>64.99</v>
      </c>
      <c r="AG815" s="3" t="str">
        <f>"2000009039320510"</f>
        <v>2000009039320510</v>
      </c>
      <c r="AH815" s="1" t="s">
        <v>58</v>
      </c>
      <c r="AI815" s="1" t="s">
        <v>59</v>
      </c>
      <c r="AJ815" s="1" t="s">
        <v>59</v>
      </c>
      <c r="AK815" s="1" t="s">
        <v>60</v>
      </c>
      <c r="AL815" s="1" t="s">
        <v>60</v>
      </c>
      <c r="AW815" s="1" t="s">
        <v>79</v>
      </c>
      <c r="AY815" s="1">
        <v>1.0</v>
      </c>
      <c r="AZ815" s="1">
        <v>64.99</v>
      </c>
      <c r="BB815" s="1">
        <v>64.99</v>
      </c>
    </row>
    <row r="816">
      <c r="A816" s="1" t="s">
        <v>798</v>
      </c>
      <c r="C816" s="1" t="s">
        <v>56</v>
      </c>
      <c r="D816" s="1" t="s">
        <v>1576</v>
      </c>
      <c r="Y816" s="2">
        <v>45518.0</v>
      </c>
      <c r="AE816" s="1">
        <v>89.99</v>
      </c>
      <c r="AG816" s="3" t="str">
        <f>"2000006176616515"</f>
        <v>2000006176616515</v>
      </c>
      <c r="AH816" s="1" t="s">
        <v>58</v>
      </c>
      <c r="AI816" s="1" t="s">
        <v>59</v>
      </c>
      <c r="AJ816" s="1" t="s">
        <v>59</v>
      </c>
      <c r="AK816" s="1" t="s">
        <v>60</v>
      </c>
      <c r="AL816" s="1" t="s">
        <v>60</v>
      </c>
      <c r="AW816" s="1" t="s">
        <v>800</v>
      </c>
      <c r="AY816" s="1">
        <v>1.0</v>
      </c>
      <c r="AZ816" s="1">
        <v>89.99</v>
      </c>
      <c r="BB816" s="1">
        <v>89.99</v>
      </c>
    </row>
    <row r="817">
      <c r="A817" s="1" t="s">
        <v>933</v>
      </c>
      <c r="C817" s="1" t="s">
        <v>56</v>
      </c>
      <c r="D817" s="1" t="s">
        <v>1577</v>
      </c>
      <c r="Y817" s="2">
        <v>45518.0</v>
      </c>
      <c r="AE817" s="1">
        <v>79.99</v>
      </c>
      <c r="AG817" s="3" t="str">
        <f>"2000006176616217"</f>
        <v>2000006176616217</v>
      </c>
      <c r="AH817" s="1" t="s">
        <v>58</v>
      </c>
      <c r="AI817" s="1" t="s">
        <v>59</v>
      </c>
      <c r="AJ817" s="1" t="s">
        <v>59</v>
      </c>
      <c r="AK817" s="1" t="s">
        <v>60</v>
      </c>
      <c r="AL817" s="1" t="s">
        <v>60</v>
      </c>
      <c r="AW817" s="1" t="s">
        <v>935</v>
      </c>
      <c r="AY817" s="1">
        <v>1.0</v>
      </c>
      <c r="AZ817" s="1">
        <v>79.99</v>
      </c>
      <c r="BB817" s="1">
        <v>79.99</v>
      </c>
    </row>
    <row r="818">
      <c r="A818" s="1" t="s">
        <v>195</v>
      </c>
      <c r="C818" s="1" t="s">
        <v>56</v>
      </c>
      <c r="D818" s="1" t="s">
        <v>1578</v>
      </c>
      <c r="Y818" s="2">
        <v>45518.0</v>
      </c>
      <c r="AE818" s="1">
        <v>47.99</v>
      </c>
      <c r="AG818" s="3" t="str">
        <f>"2000006176579863"</f>
        <v>2000006176579863</v>
      </c>
      <c r="AH818" s="1" t="s">
        <v>58</v>
      </c>
      <c r="AI818" s="1" t="s">
        <v>59</v>
      </c>
      <c r="AJ818" s="1" t="s">
        <v>59</v>
      </c>
      <c r="AK818" s="1" t="s">
        <v>60</v>
      </c>
      <c r="AL818" s="1" t="s">
        <v>60</v>
      </c>
      <c r="AW818" s="1" t="s">
        <v>197</v>
      </c>
      <c r="AY818" s="1">
        <v>1.0</v>
      </c>
      <c r="AZ818" s="1">
        <v>47.99</v>
      </c>
      <c r="BB818" s="1">
        <v>47.99</v>
      </c>
    </row>
    <row r="819">
      <c r="A819" s="1" t="s">
        <v>1579</v>
      </c>
      <c r="C819" s="1" t="s">
        <v>56</v>
      </c>
      <c r="D819" s="1" t="s">
        <v>1580</v>
      </c>
      <c r="Y819" s="2">
        <v>45518.0</v>
      </c>
      <c r="AE819" s="1">
        <v>79.99</v>
      </c>
      <c r="AG819" s="3" t="str">
        <f>"2000006176578453"</f>
        <v>2000006176578453</v>
      </c>
      <c r="AH819" s="1" t="s">
        <v>58</v>
      </c>
      <c r="AI819" s="1" t="s">
        <v>59</v>
      </c>
      <c r="AJ819" s="1" t="s">
        <v>59</v>
      </c>
      <c r="AK819" s="1" t="s">
        <v>60</v>
      </c>
      <c r="AL819" s="1" t="s">
        <v>60</v>
      </c>
      <c r="AW819" s="1" t="s">
        <v>1581</v>
      </c>
      <c r="AY819" s="1">
        <v>1.0</v>
      </c>
      <c r="AZ819" s="1">
        <v>79.99</v>
      </c>
      <c r="BB819" s="1">
        <v>79.99</v>
      </c>
    </row>
    <row r="820">
      <c r="A820" s="1" t="s">
        <v>368</v>
      </c>
      <c r="C820" s="1" t="s">
        <v>56</v>
      </c>
      <c r="D820" s="1" t="s">
        <v>1582</v>
      </c>
      <c r="Y820" s="2">
        <v>45518.0</v>
      </c>
      <c r="AE820" s="1">
        <v>94.99</v>
      </c>
      <c r="AG820" s="3" t="str">
        <f>"2000006176554153"</f>
        <v>2000006176554153</v>
      </c>
      <c r="AH820" s="1" t="s">
        <v>58</v>
      </c>
      <c r="AI820" s="1" t="s">
        <v>59</v>
      </c>
      <c r="AJ820" s="1" t="s">
        <v>59</v>
      </c>
      <c r="AK820" s="1" t="s">
        <v>60</v>
      </c>
      <c r="AL820" s="1" t="s">
        <v>60</v>
      </c>
      <c r="AW820" s="1" t="s">
        <v>370</v>
      </c>
      <c r="AY820" s="1">
        <v>1.0</v>
      </c>
      <c r="AZ820" s="1">
        <v>94.99</v>
      </c>
      <c r="BB820" s="1">
        <v>94.99</v>
      </c>
    </row>
    <row r="821">
      <c r="A821" s="1" t="s">
        <v>1583</v>
      </c>
      <c r="C821" s="1" t="s">
        <v>56</v>
      </c>
      <c r="D821" s="1" t="s">
        <v>1584</v>
      </c>
      <c r="Y821" s="2">
        <v>45518.0</v>
      </c>
      <c r="AE821" s="1">
        <v>54.99</v>
      </c>
      <c r="AG821" s="3" t="str">
        <f>"2000006175980583"</f>
        <v>2000006175980583</v>
      </c>
      <c r="AH821" s="1" t="s">
        <v>58</v>
      </c>
      <c r="AI821" s="1" t="s">
        <v>59</v>
      </c>
      <c r="AJ821" s="1" t="s">
        <v>59</v>
      </c>
      <c r="AK821" s="1" t="s">
        <v>60</v>
      </c>
      <c r="AL821" s="1" t="s">
        <v>60</v>
      </c>
      <c r="AW821" s="1" t="s">
        <v>1585</v>
      </c>
      <c r="AY821" s="1">
        <v>1.0</v>
      </c>
      <c r="AZ821" s="1">
        <v>54.99</v>
      </c>
      <c r="BB821" s="1">
        <v>54.99</v>
      </c>
    </row>
    <row r="822">
      <c r="A822" s="1" t="s">
        <v>296</v>
      </c>
      <c r="C822" s="1" t="s">
        <v>56</v>
      </c>
      <c r="D822" s="1" t="s">
        <v>1586</v>
      </c>
      <c r="Y822" s="2">
        <v>45518.0</v>
      </c>
      <c r="AE822" s="1">
        <v>139.99</v>
      </c>
      <c r="AG822" s="3" t="str">
        <f>"2000006176518389"</f>
        <v>2000006176518389</v>
      </c>
      <c r="AH822" s="1" t="s">
        <v>58</v>
      </c>
      <c r="AI822" s="1" t="s">
        <v>59</v>
      </c>
      <c r="AJ822" s="1" t="s">
        <v>59</v>
      </c>
      <c r="AK822" s="1" t="s">
        <v>60</v>
      </c>
      <c r="AL822" s="1" t="s">
        <v>60</v>
      </c>
      <c r="AW822" s="1" t="s">
        <v>298</v>
      </c>
      <c r="AY822" s="1">
        <v>1.0</v>
      </c>
      <c r="AZ822" s="1">
        <v>139.99</v>
      </c>
      <c r="BB822" s="1">
        <v>139.99</v>
      </c>
    </row>
    <row r="823">
      <c r="A823" s="1" t="s">
        <v>1587</v>
      </c>
      <c r="C823" s="1" t="s">
        <v>56</v>
      </c>
      <c r="D823" s="1" t="s">
        <v>1588</v>
      </c>
      <c r="Y823" s="2">
        <v>45518.0</v>
      </c>
      <c r="AE823" s="1">
        <v>61.99</v>
      </c>
      <c r="AG823" s="3" t="str">
        <f>"2000006176488739"</f>
        <v>2000006176488739</v>
      </c>
      <c r="AH823" s="1" t="s">
        <v>58</v>
      </c>
      <c r="AI823" s="1" t="s">
        <v>59</v>
      </c>
      <c r="AJ823" s="1" t="s">
        <v>59</v>
      </c>
      <c r="AK823" s="1" t="s">
        <v>60</v>
      </c>
      <c r="AL823" s="1" t="s">
        <v>60</v>
      </c>
      <c r="AW823" s="1" t="s">
        <v>211</v>
      </c>
      <c r="AY823" s="1">
        <v>1.0</v>
      </c>
      <c r="AZ823" s="1">
        <v>61.99</v>
      </c>
      <c r="BB823" s="1">
        <v>61.99</v>
      </c>
    </row>
    <row r="824">
      <c r="A824" s="1" t="s">
        <v>1474</v>
      </c>
      <c r="C824" s="1" t="s">
        <v>56</v>
      </c>
      <c r="D824" s="1" t="s">
        <v>1589</v>
      </c>
      <c r="Y824" s="2">
        <v>45518.0</v>
      </c>
      <c r="AE824" s="1">
        <v>169.98</v>
      </c>
      <c r="AG824" s="3" t="str">
        <f>"2000006176441761"</f>
        <v>2000006176441761</v>
      </c>
      <c r="AH824" s="1" t="s">
        <v>58</v>
      </c>
      <c r="AI824" s="1" t="s">
        <v>59</v>
      </c>
      <c r="AJ824" s="1" t="s">
        <v>59</v>
      </c>
      <c r="AK824" s="1" t="s">
        <v>60</v>
      </c>
      <c r="AL824" s="1" t="s">
        <v>60</v>
      </c>
      <c r="AW824" s="1" t="s">
        <v>1476</v>
      </c>
      <c r="AY824" s="1">
        <v>2.0</v>
      </c>
      <c r="AZ824" s="1">
        <v>84.99</v>
      </c>
      <c r="BB824" s="1">
        <v>169.98</v>
      </c>
    </row>
    <row r="825">
      <c r="A825" s="1" t="s">
        <v>178</v>
      </c>
      <c r="C825" s="1" t="s">
        <v>235</v>
      </c>
      <c r="D825" s="1" t="s">
        <v>1590</v>
      </c>
      <c r="Y825" s="2">
        <v>45518.0</v>
      </c>
      <c r="AE825" s="1">
        <v>134.99</v>
      </c>
      <c r="AG825" s="3" t="str">
        <f>"2000006176437149"</f>
        <v>2000006176437149</v>
      </c>
      <c r="AH825" s="1" t="s">
        <v>58</v>
      </c>
      <c r="AI825" s="1" t="s">
        <v>59</v>
      </c>
      <c r="AJ825" s="1" t="s">
        <v>59</v>
      </c>
      <c r="AK825" s="1" t="s">
        <v>60</v>
      </c>
      <c r="AL825" s="1" t="s">
        <v>60</v>
      </c>
      <c r="AW825" s="1" t="s">
        <v>180</v>
      </c>
      <c r="AY825" s="1">
        <v>1.0</v>
      </c>
      <c r="AZ825" s="1">
        <v>134.99</v>
      </c>
      <c r="BB825" s="1">
        <v>134.99</v>
      </c>
    </row>
    <row r="826">
      <c r="A826" s="1" t="s">
        <v>410</v>
      </c>
      <c r="C826" s="1" t="s">
        <v>56</v>
      </c>
      <c r="D826" s="1" t="s">
        <v>1591</v>
      </c>
      <c r="Y826" s="2">
        <v>45518.0</v>
      </c>
      <c r="AE826" s="1">
        <v>62.99</v>
      </c>
      <c r="AG826" s="3" t="str">
        <f>"2000006176412057"</f>
        <v>2000006176412057</v>
      </c>
      <c r="AH826" s="1" t="s">
        <v>58</v>
      </c>
      <c r="AI826" s="1" t="s">
        <v>59</v>
      </c>
      <c r="AJ826" s="1" t="s">
        <v>59</v>
      </c>
      <c r="AK826" s="1" t="s">
        <v>60</v>
      </c>
      <c r="AL826" s="1" t="s">
        <v>60</v>
      </c>
      <c r="AW826" s="1" t="s">
        <v>412</v>
      </c>
      <c r="AY826" s="1">
        <v>1.0</v>
      </c>
      <c r="AZ826" s="1">
        <v>62.99</v>
      </c>
      <c r="BB826" s="1">
        <v>62.99</v>
      </c>
    </row>
    <row r="827">
      <c r="A827" s="1" t="s">
        <v>1592</v>
      </c>
      <c r="C827" s="1" t="s">
        <v>56</v>
      </c>
      <c r="D827" s="1" t="s">
        <v>1593</v>
      </c>
      <c r="Y827" s="2">
        <v>45518.0</v>
      </c>
      <c r="AE827" s="1">
        <v>129.99</v>
      </c>
      <c r="AG827" s="3" t="str">
        <f>"2000006176381527"</f>
        <v>2000006176381527</v>
      </c>
      <c r="AH827" s="1" t="s">
        <v>58</v>
      </c>
      <c r="AI827" s="1" t="s">
        <v>59</v>
      </c>
      <c r="AJ827" s="1" t="s">
        <v>59</v>
      </c>
      <c r="AK827" s="1" t="s">
        <v>60</v>
      </c>
      <c r="AL827" s="1" t="s">
        <v>60</v>
      </c>
      <c r="AW827" s="1" t="s">
        <v>1594</v>
      </c>
      <c r="AY827" s="1">
        <v>1.0</v>
      </c>
      <c r="AZ827" s="1">
        <v>129.99</v>
      </c>
      <c r="BB827" s="1">
        <v>129.99</v>
      </c>
    </row>
    <row r="828">
      <c r="A828" s="1" t="s">
        <v>477</v>
      </c>
      <c r="C828" s="1" t="s">
        <v>56</v>
      </c>
      <c r="D828" s="1" t="s">
        <v>1595</v>
      </c>
      <c r="Y828" s="2">
        <v>45518.0</v>
      </c>
      <c r="AE828" s="1">
        <v>89.99</v>
      </c>
      <c r="AG828" s="3" t="str">
        <f>"2000006176372753"</f>
        <v>2000006176372753</v>
      </c>
      <c r="AH828" s="1" t="s">
        <v>58</v>
      </c>
      <c r="AI828" s="1" t="s">
        <v>59</v>
      </c>
      <c r="AJ828" s="1" t="s">
        <v>59</v>
      </c>
      <c r="AK828" s="1" t="s">
        <v>60</v>
      </c>
      <c r="AL828" s="1" t="s">
        <v>60</v>
      </c>
      <c r="AW828" s="1" t="s">
        <v>479</v>
      </c>
      <c r="AY828" s="1">
        <v>1.0</v>
      </c>
      <c r="AZ828" s="1">
        <v>89.99</v>
      </c>
      <c r="BB828" s="1">
        <v>89.99</v>
      </c>
    </row>
    <row r="829">
      <c r="A829" s="1" t="s">
        <v>605</v>
      </c>
      <c r="C829" s="1" t="s">
        <v>56</v>
      </c>
      <c r="D829" s="1" t="s">
        <v>1596</v>
      </c>
      <c r="Y829" s="2">
        <v>45518.0</v>
      </c>
      <c r="AE829" s="1">
        <v>89.99</v>
      </c>
      <c r="AG829" s="3" t="str">
        <f>"2000006176374653"</f>
        <v>2000006176374653</v>
      </c>
      <c r="AH829" s="1" t="s">
        <v>58</v>
      </c>
      <c r="AI829" s="1" t="s">
        <v>59</v>
      </c>
      <c r="AJ829" s="1" t="s">
        <v>59</v>
      </c>
      <c r="AK829" s="1" t="s">
        <v>60</v>
      </c>
      <c r="AL829" s="1" t="s">
        <v>60</v>
      </c>
      <c r="AW829" s="1" t="s">
        <v>607</v>
      </c>
      <c r="AY829" s="1">
        <v>1.0</v>
      </c>
      <c r="AZ829" s="1">
        <v>89.99</v>
      </c>
      <c r="BB829" s="1">
        <v>89.99</v>
      </c>
    </row>
    <row r="830">
      <c r="A830" s="1" t="s">
        <v>559</v>
      </c>
      <c r="C830" s="1" t="s">
        <v>56</v>
      </c>
      <c r="D830" s="1" t="s">
        <v>1597</v>
      </c>
      <c r="Y830" s="2">
        <v>45518.0</v>
      </c>
      <c r="AE830" s="1">
        <v>59.99</v>
      </c>
      <c r="AG830" s="3" t="str">
        <f>"2000009038833914"</f>
        <v>2000009038833914</v>
      </c>
      <c r="AH830" s="1" t="s">
        <v>58</v>
      </c>
      <c r="AI830" s="1" t="s">
        <v>59</v>
      </c>
      <c r="AJ830" s="1" t="s">
        <v>59</v>
      </c>
      <c r="AK830" s="1" t="s">
        <v>60</v>
      </c>
      <c r="AL830" s="1" t="s">
        <v>60</v>
      </c>
      <c r="AW830" s="1" t="s">
        <v>558</v>
      </c>
      <c r="AY830" s="1">
        <v>1.0</v>
      </c>
      <c r="AZ830" s="1">
        <v>59.99</v>
      </c>
      <c r="BB830" s="1">
        <v>59.99</v>
      </c>
    </row>
    <row r="831">
      <c r="A831" s="1" t="s">
        <v>498</v>
      </c>
      <c r="C831" s="1" t="s">
        <v>56</v>
      </c>
      <c r="D831" s="1" t="s">
        <v>1598</v>
      </c>
      <c r="Y831" s="2">
        <v>45518.0</v>
      </c>
      <c r="AE831" s="1">
        <v>59.99</v>
      </c>
      <c r="AG831" s="3" t="str">
        <f>"2000006176324239"</f>
        <v>2000006176324239</v>
      </c>
      <c r="AH831" s="1" t="s">
        <v>58</v>
      </c>
      <c r="AI831" s="1" t="s">
        <v>59</v>
      </c>
      <c r="AJ831" s="1" t="s">
        <v>59</v>
      </c>
      <c r="AK831" s="1" t="s">
        <v>60</v>
      </c>
      <c r="AL831" s="1" t="s">
        <v>60</v>
      </c>
      <c r="AW831" s="1" t="s">
        <v>500</v>
      </c>
      <c r="AY831" s="1">
        <v>1.0</v>
      </c>
      <c r="AZ831" s="1">
        <v>59.99</v>
      </c>
      <c r="BB831" s="1">
        <v>59.99</v>
      </c>
    </row>
    <row r="832">
      <c r="A832" s="1" t="s">
        <v>198</v>
      </c>
      <c r="C832" s="1" t="s">
        <v>56</v>
      </c>
      <c r="D832" s="1" t="s">
        <v>1599</v>
      </c>
      <c r="Y832" s="2">
        <v>45518.0</v>
      </c>
      <c r="AE832" s="1">
        <v>49.99</v>
      </c>
      <c r="AG832" s="3" t="str">
        <f>"2000009038811388"</f>
        <v>2000009038811388</v>
      </c>
      <c r="AH832" s="1" t="s">
        <v>58</v>
      </c>
      <c r="AI832" s="1" t="s">
        <v>59</v>
      </c>
      <c r="AJ832" s="1" t="s">
        <v>59</v>
      </c>
      <c r="AK832" s="1" t="s">
        <v>60</v>
      </c>
      <c r="AL832" s="1" t="s">
        <v>60</v>
      </c>
      <c r="AW832" s="1" t="s">
        <v>200</v>
      </c>
      <c r="AY832" s="1">
        <v>1.0</v>
      </c>
      <c r="AZ832" s="1">
        <v>49.99</v>
      </c>
      <c r="BB832" s="1">
        <v>49.99</v>
      </c>
    </row>
    <row r="833">
      <c r="A833" s="1" t="s">
        <v>1600</v>
      </c>
      <c r="C833" s="1" t="s">
        <v>56</v>
      </c>
      <c r="D833" s="1" t="s">
        <v>1598</v>
      </c>
      <c r="Y833" s="2">
        <v>45518.0</v>
      </c>
      <c r="AE833" s="1">
        <v>89.99</v>
      </c>
      <c r="AG833" s="3" t="str">
        <f>"2000006176324239"</f>
        <v>2000006176324239</v>
      </c>
      <c r="AH833" s="1" t="s">
        <v>58</v>
      </c>
      <c r="AI833" s="1" t="s">
        <v>59</v>
      </c>
      <c r="AJ833" s="1" t="s">
        <v>59</v>
      </c>
      <c r="AK833" s="1" t="s">
        <v>60</v>
      </c>
      <c r="AL833" s="1" t="s">
        <v>60</v>
      </c>
      <c r="AW833" s="1" t="s">
        <v>1601</v>
      </c>
      <c r="AY833" s="1">
        <v>1.0</v>
      </c>
      <c r="AZ833" s="1">
        <v>89.99</v>
      </c>
      <c r="BB833" s="1">
        <v>89.99</v>
      </c>
    </row>
    <row r="834">
      <c r="A834" s="1" t="s">
        <v>1602</v>
      </c>
      <c r="C834" s="1" t="s">
        <v>56</v>
      </c>
      <c r="D834" s="1" t="s">
        <v>1603</v>
      </c>
      <c r="Y834" s="2">
        <v>45518.0</v>
      </c>
      <c r="AE834" s="1">
        <v>89.99</v>
      </c>
      <c r="AG834" s="3" t="str">
        <f>"2000009038794008"</f>
        <v>2000009038794008</v>
      </c>
      <c r="AH834" s="1" t="s">
        <v>58</v>
      </c>
      <c r="AI834" s="1" t="s">
        <v>59</v>
      </c>
      <c r="AJ834" s="1" t="s">
        <v>59</v>
      </c>
      <c r="AK834" s="1" t="s">
        <v>60</v>
      </c>
      <c r="AL834" s="1" t="s">
        <v>60</v>
      </c>
      <c r="AW834" s="1" t="s">
        <v>1604</v>
      </c>
      <c r="AY834" s="1">
        <v>1.0</v>
      </c>
      <c r="AZ834" s="1">
        <v>89.99</v>
      </c>
      <c r="BB834" s="1">
        <v>89.99</v>
      </c>
    </row>
    <row r="835">
      <c r="A835" s="1" t="s">
        <v>940</v>
      </c>
      <c r="C835" s="1" t="s">
        <v>56</v>
      </c>
      <c r="D835" s="1" t="s">
        <v>1605</v>
      </c>
      <c r="Y835" s="2">
        <v>45518.0</v>
      </c>
      <c r="AE835" s="1">
        <v>79.99</v>
      </c>
      <c r="AG835" s="3" t="str">
        <f>"2000006176307615"</f>
        <v>2000006176307615</v>
      </c>
      <c r="AH835" s="1" t="s">
        <v>58</v>
      </c>
      <c r="AI835" s="1" t="s">
        <v>59</v>
      </c>
      <c r="AJ835" s="1" t="s">
        <v>59</v>
      </c>
      <c r="AK835" s="1" t="s">
        <v>60</v>
      </c>
      <c r="AL835" s="1" t="s">
        <v>60</v>
      </c>
      <c r="AW835" s="1" t="s">
        <v>146</v>
      </c>
      <c r="AY835" s="1">
        <v>1.0</v>
      </c>
      <c r="AZ835" s="1">
        <v>79.99</v>
      </c>
      <c r="BB835" s="1">
        <v>79.99</v>
      </c>
    </row>
    <row r="836">
      <c r="A836" s="1" t="s">
        <v>947</v>
      </c>
      <c r="C836" s="1" t="s">
        <v>56</v>
      </c>
      <c r="D836" s="1" t="s">
        <v>1606</v>
      </c>
      <c r="Y836" s="2">
        <v>45518.0</v>
      </c>
      <c r="AE836" s="1">
        <v>129.99</v>
      </c>
      <c r="AG836" s="3" t="str">
        <f>"2000009038684072"</f>
        <v>2000009038684072</v>
      </c>
      <c r="AH836" s="1" t="s">
        <v>58</v>
      </c>
      <c r="AI836" s="1" t="s">
        <v>59</v>
      </c>
      <c r="AJ836" s="1" t="s">
        <v>59</v>
      </c>
      <c r="AK836" s="1" t="s">
        <v>60</v>
      </c>
      <c r="AL836" s="1" t="s">
        <v>60</v>
      </c>
      <c r="AW836" s="1" t="s">
        <v>949</v>
      </c>
      <c r="AY836" s="1">
        <v>1.0</v>
      </c>
      <c r="AZ836" s="1">
        <v>129.99</v>
      </c>
      <c r="BB836" s="1">
        <v>129.99</v>
      </c>
    </row>
    <row r="837">
      <c r="A837" s="1" t="s">
        <v>567</v>
      </c>
      <c r="C837" s="1" t="s">
        <v>56</v>
      </c>
      <c r="D837" s="1" t="s">
        <v>1607</v>
      </c>
      <c r="Y837" s="2">
        <v>45518.0</v>
      </c>
      <c r="AE837" s="1">
        <v>44.99</v>
      </c>
      <c r="AG837" s="3" t="str">
        <f>"2000006176268059"</f>
        <v>2000006176268059</v>
      </c>
      <c r="AH837" s="1" t="s">
        <v>58</v>
      </c>
      <c r="AI837" s="1" t="s">
        <v>59</v>
      </c>
      <c r="AJ837" s="1" t="s">
        <v>59</v>
      </c>
      <c r="AK837" s="1" t="s">
        <v>60</v>
      </c>
      <c r="AL837" s="1" t="s">
        <v>60</v>
      </c>
      <c r="AW837" s="1" t="s">
        <v>569</v>
      </c>
      <c r="AY837" s="1">
        <v>1.0</v>
      </c>
      <c r="AZ837" s="1">
        <v>44.99</v>
      </c>
      <c r="BB837" s="1">
        <v>44.99</v>
      </c>
    </row>
    <row r="838">
      <c r="A838" s="1" t="s">
        <v>1608</v>
      </c>
      <c r="C838" s="1" t="s">
        <v>56</v>
      </c>
      <c r="D838" s="1" t="s">
        <v>1609</v>
      </c>
      <c r="Y838" s="2">
        <v>45518.0</v>
      </c>
      <c r="AE838" s="1">
        <v>69.98</v>
      </c>
      <c r="AG838" s="3" t="str">
        <f>"2000009038599748"</f>
        <v>2000009038599748</v>
      </c>
      <c r="AH838" s="1" t="s">
        <v>58</v>
      </c>
      <c r="AI838" s="1" t="s">
        <v>59</v>
      </c>
      <c r="AJ838" s="1" t="s">
        <v>59</v>
      </c>
      <c r="AK838" s="1" t="s">
        <v>60</v>
      </c>
      <c r="AL838" s="1" t="s">
        <v>60</v>
      </c>
      <c r="AW838" s="1" t="s">
        <v>1036</v>
      </c>
      <c r="AY838" s="1">
        <v>1.0</v>
      </c>
      <c r="AZ838" s="1">
        <v>69.98</v>
      </c>
      <c r="BB838" s="1">
        <v>69.98</v>
      </c>
    </row>
    <row r="839">
      <c r="A839" s="1" t="s">
        <v>1610</v>
      </c>
      <c r="C839" s="1" t="s">
        <v>56</v>
      </c>
      <c r="D839" s="1" t="s">
        <v>1611</v>
      </c>
      <c r="Y839" s="2">
        <v>45518.0</v>
      </c>
      <c r="AE839" s="1">
        <v>59.99</v>
      </c>
      <c r="AG839" s="3" t="str">
        <f>"2000006176226447"</f>
        <v>2000006176226447</v>
      </c>
      <c r="AH839" s="1" t="s">
        <v>58</v>
      </c>
      <c r="AI839" s="1" t="s">
        <v>59</v>
      </c>
      <c r="AJ839" s="1" t="s">
        <v>59</v>
      </c>
      <c r="AK839" s="1" t="s">
        <v>60</v>
      </c>
      <c r="AL839" s="1" t="s">
        <v>60</v>
      </c>
      <c r="AW839" s="1" t="s">
        <v>104</v>
      </c>
      <c r="AY839" s="1">
        <v>1.0</v>
      </c>
      <c r="AZ839" s="1">
        <v>59.99</v>
      </c>
      <c r="BB839" s="1">
        <v>59.99</v>
      </c>
    </row>
    <row r="840">
      <c r="A840" s="1" t="s">
        <v>709</v>
      </c>
      <c r="C840" s="1" t="s">
        <v>56</v>
      </c>
      <c r="D840" s="1" t="s">
        <v>1612</v>
      </c>
      <c r="Y840" s="2">
        <v>45518.0</v>
      </c>
      <c r="AE840" s="1">
        <v>479.99</v>
      </c>
      <c r="AG840" s="3" t="str">
        <f>"2000006176223301"</f>
        <v>2000006176223301</v>
      </c>
      <c r="AH840" s="1" t="s">
        <v>58</v>
      </c>
      <c r="AI840" s="1" t="s">
        <v>59</v>
      </c>
      <c r="AJ840" s="1" t="s">
        <v>59</v>
      </c>
      <c r="AK840" s="1" t="s">
        <v>60</v>
      </c>
      <c r="AL840" s="1" t="s">
        <v>60</v>
      </c>
      <c r="AW840" s="1" t="s">
        <v>711</v>
      </c>
      <c r="AY840" s="1">
        <v>1.0</v>
      </c>
      <c r="AZ840" s="1">
        <v>479.99</v>
      </c>
      <c r="BB840" s="1">
        <v>479.99</v>
      </c>
    </row>
    <row r="841">
      <c r="A841" s="1" t="s">
        <v>1613</v>
      </c>
      <c r="C841" s="1" t="s">
        <v>56</v>
      </c>
      <c r="D841" s="1" t="s">
        <v>1614</v>
      </c>
      <c r="Y841" s="2">
        <v>45518.0</v>
      </c>
      <c r="AE841" s="1">
        <v>169.99</v>
      </c>
      <c r="AG841" s="3" t="str">
        <f>"2000009038564662"</f>
        <v>2000009038564662</v>
      </c>
      <c r="AH841" s="1" t="s">
        <v>58</v>
      </c>
      <c r="AI841" s="1" t="s">
        <v>59</v>
      </c>
      <c r="AJ841" s="1" t="s">
        <v>59</v>
      </c>
      <c r="AK841" s="1" t="s">
        <v>60</v>
      </c>
      <c r="AL841" s="1" t="s">
        <v>60</v>
      </c>
      <c r="AW841" s="1" t="s">
        <v>1615</v>
      </c>
      <c r="AY841" s="1">
        <v>1.0</v>
      </c>
      <c r="AZ841" s="1">
        <v>169.99</v>
      </c>
      <c r="BB841" s="1">
        <v>169.99</v>
      </c>
    </row>
    <row r="842">
      <c r="A842" s="1" t="s">
        <v>851</v>
      </c>
      <c r="C842" s="1" t="s">
        <v>56</v>
      </c>
      <c r="D842" s="1" t="s">
        <v>1616</v>
      </c>
      <c r="Y842" s="2">
        <v>45518.0</v>
      </c>
      <c r="AE842" s="1">
        <v>153.98</v>
      </c>
      <c r="AG842" s="3" t="str">
        <f>"2000006176173191"</f>
        <v>2000006176173191</v>
      </c>
      <c r="AH842" s="1" t="s">
        <v>58</v>
      </c>
      <c r="AI842" s="1" t="s">
        <v>59</v>
      </c>
      <c r="AJ842" s="1" t="s">
        <v>59</v>
      </c>
      <c r="AK842" s="1" t="s">
        <v>60</v>
      </c>
      <c r="AL842" s="1" t="s">
        <v>60</v>
      </c>
      <c r="AW842" s="1" t="s">
        <v>853</v>
      </c>
      <c r="AY842" s="1">
        <v>2.0</v>
      </c>
      <c r="AZ842" s="1">
        <v>76.99</v>
      </c>
      <c r="BB842" s="1">
        <v>153.98</v>
      </c>
    </row>
    <row r="843">
      <c r="A843" s="1" t="s">
        <v>426</v>
      </c>
      <c r="C843" s="1" t="s">
        <v>56</v>
      </c>
      <c r="D843" s="1" t="s">
        <v>1617</v>
      </c>
      <c r="Y843" s="2">
        <v>45518.0</v>
      </c>
      <c r="AE843" s="1">
        <v>109.98</v>
      </c>
      <c r="AG843" s="3" t="str">
        <f>"2000006176173083"</f>
        <v>2000006176173083</v>
      </c>
      <c r="AH843" s="1" t="s">
        <v>58</v>
      </c>
      <c r="AI843" s="1" t="s">
        <v>59</v>
      </c>
      <c r="AJ843" s="1" t="s">
        <v>59</v>
      </c>
      <c r="AK843" s="1" t="s">
        <v>60</v>
      </c>
      <c r="AL843" s="1" t="s">
        <v>60</v>
      </c>
      <c r="AW843" s="1" t="s">
        <v>1572</v>
      </c>
      <c r="AY843" s="1">
        <v>2.0</v>
      </c>
      <c r="AZ843" s="1">
        <v>54.99</v>
      </c>
      <c r="BB843" s="1">
        <v>109.98</v>
      </c>
    </row>
    <row r="844">
      <c r="A844" s="1" t="s">
        <v>918</v>
      </c>
      <c r="C844" s="1" t="s">
        <v>56</v>
      </c>
      <c r="D844" s="1" t="s">
        <v>1618</v>
      </c>
      <c r="Y844" s="2">
        <v>45518.0</v>
      </c>
      <c r="AE844" s="1">
        <v>139.99</v>
      </c>
      <c r="AG844" s="3" t="str">
        <f>"2000006176130667"</f>
        <v>2000006176130667</v>
      </c>
      <c r="AH844" s="1" t="s">
        <v>58</v>
      </c>
      <c r="AI844" s="1" t="s">
        <v>59</v>
      </c>
      <c r="AJ844" s="1" t="s">
        <v>59</v>
      </c>
      <c r="AK844" s="1" t="s">
        <v>60</v>
      </c>
      <c r="AL844" s="1" t="s">
        <v>60</v>
      </c>
      <c r="AW844" s="1" t="s">
        <v>920</v>
      </c>
      <c r="AY844" s="1">
        <v>1.0</v>
      </c>
      <c r="AZ844" s="1">
        <v>139.99</v>
      </c>
      <c r="BB844" s="1">
        <v>139.99</v>
      </c>
    </row>
    <row r="845">
      <c r="A845" s="1" t="s">
        <v>1619</v>
      </c>
      <c r="C845" s="1" t="s">
        <v>56</v>
      </c>
      <c r="D845" s="1" t="s">
        <v>1620</v>
      </c>
      <c r="Y845" s="2">
        <v>45518.0</v>
      </c>
      <c r="AE845" s="1">
        <v>174.99</v>
      </c>
      <c r="AG845" s="3" t="str">
        <f>"2000006176098487"</f>
        <v>2000006176098487</v>
      </c>
      <c r="AH845" s="1" t="s">
        <v>58</v>
      </c>
      <c r="AI845" s="1" t="s">
        <v>59</v>
      </c>
      <c r="AJ845" s="1" t="s">
        <v>59</v>
      </c>
      <c r="AK845" s="1" t="s">
        <v>60</v>
      </c>
      <c r="AL845" s="1" t="s">
        <v>60</v>
      </c>
      <c r="AW845" s="1" t="s">
        <v>1621</v>
      </c>
      <c r="AY845" s="1">
        <v>1.0</v>
      </c>
      <c r="AZ845" s="1">
        <v>174.99</v>
      </c>
      <c r="BB845" s="1">
        <v>174.99</v>
      </c>
    </row>
    <row r="846">
      <c r="A846" s="1" t="s">
        <v>854</v>
      </c>
      <c r="C846" s="1" t="s">
        <v>56</v>
      </c>
      <c r="D846" s="1" t="s">
        <v>1622</v>
      </c>
      <c r="Y846" s="2">
        <v>45518.0</v>
      </c>
      <c r="AE846" s="1">
        <v>159.98</v>
      </c>
      <c r="AG846" s="3" t="str">
        <f t="shared" ref="AG846:AG847" si="33">"2000006176088395"</f>
        <v>2000006176088395</v>
      </c>
      <c r="AH846" s="1" t="s">
        <v>58</v>
      </c>
      <c r="AI846" s="1" t="s">
        <v>59</v>
      </c>
      <c r="AJ846" s="1" t="s">
        <v>59</v>
      </c>
      <c r="AK846" s="1" t="s">
        <v>60</v>
      </c>
      <c r="AL846" s="1" t="s">
        <v>60</v>
      </c>
      <c r="AW846" s="1" t="s">
        <v>856</v>
      </c>
      <c r="AY846" s="1">
        <v>2.0</v>
      </c>
      <c r="AZ846" s="1">
        <v>79.99</v>
      </c>
      <c r="BB846" s="1">
        <v>159.98</v>
      </c>
    </row>
    <row r="847">
      <c r="A847" s="1" t="s">
        <v>410</v>
      </c>
      <c r="C847" s="1" t="s">
        <v>56</v>
      </c>
      <c r="D847" s="1" t="s">
        <v>1622</v>
      </c>
      <c r="Y847" s="2">
        <v>45518.0</v>
      </c>
      <c r="AE847" s="1">
        <v>62.99</v>
      </c>
      <c r="AG847" s="3" t="str">
        <f t="shared" si="33"/>
        <v>2000006176088395</v>
      </c>
      <c r="AH847" s="1" t="s">
        <v>58</v>
      </c>
      <c r="AI847" s="1" t="s">
        <v>59</v>
      </c>
      <c r="AJ847" s="1" t="s">
        <v>59</v>
      </c>
      <c r="AK847" s="1" t="s">
        <v>60</v>
      </c>
      <c r="AL847" s="1" t="s">
        <v>60</v>
      </c>
      <c r="AW847" s="1" t="s">
        <v>412</v>
      </c>
      <c r="AY847" s="1">
        <v>1.0</v>
      </c>
      <c r="AZ847" s="1">
        <v>62.99</v>
      </c>
      <c r="BB847" s="1">
        <v>62.99</v>
      </c>
    </row>
    <row r="848">
      <c r="A848" s="1" t="s">
        <v>172</v>
      </c>
      <c r="C848" s="1" t="s">
        <v>56</v>
      </c>
      <c r="D848" s="1" t="s">
        <v>1623</v>
      </c>
      <c r="Y848" s="2">
        <v>45518.0</v>
      </c>
      <c r="AE848" s="1">
        <v>79.99</v>
      </c>
      <c r="AG848" s="3" t="str">
        <f>"2000006176050301"</f>
        <v>2000006176050301</v>
      </c>
      <c r="AH848" s="1" t="s">
        <v>58</v>
      </c>
      <c r="AI848" s="1" t="s">
        <v>59</v>
      </c>
      <c r="AJ848" s="1" t="s">
        <v>59</v>
      </c>
      <c r="AK848" s="1" t="s">
        <v>60</v>
      </c>
      <c r="AL848" s="1" t="s">
        <v>60</v>
      </c>
      <c r="AW848" s="1" t="s">
        <v>174</v>
      </c>
      <c r="AY848" s="1">
        <v>1.0</v>
      </c>
      <c r="AZ848" s="1">
        <v>79.99</v>
      </c>
      <c r="BB848" s="1">
        <v>79.99</v>
      </c>
    </row>
    <row r="849">
      <c r="A849" s="1" t="s">
        <v>1318</v>
      </c>
      <c r="C849" s="1" t="s">
        <v>56</v>
      </c>
      <c r="D849" s="1" t="s">
        <v>1624</v>
      </c>
      <c r="Y849" s="2">
        <v>45518.0</v>
      </c>
      <c r="AE849" s="1">
        <v>64.99</v>
      </c>
      <c r="AG849" s="3" t="str">
        <f>"2000006176020607"</f>
        <v>2000006176020607</v>
      </c>
      <c r="AH849" s="1" t="s">
        <v>58</v>
      </c>
      <c r="AI849" s="1" t="s">
        <v>59</v>
      </c>
      <c r="AJ849" s="1" t="s">
        <v>59</v>
      </c>
      <c r="AK849" s="1" t="s">
        <v>60</v>
      </c>
      <c r="AL849" s="1" t="s">
        <v>60</v>
      </c>
      <c r="AW849" s="1" t="s">
        <v>1320</v>
      </c>
      <c r="AY849" s="1">
        <v>1.0</v>
      </c>
      <c r="AZ849" s="1">
        <v>64.99</v>
      </c>
      <c r="BB849" s="1">
        <v>64.99</v>
      </c>
    </row>
    <row r="850">
      <c r="A850" s="1" t="s">
        <v>1514</v>
      </c>
      <c r="C850" s="1" t="s">
        <v>56</v>
      </c>
      <c r="D850" s="1" t="s">
        <v>1625</v>
      </c>
      <c r="Y850" s="2">
        <v>45518.0</v>
      </c>
      <c r="AE850" s="1">
        <v>39.99</v>
      </c>
      <c r="AG850" s="3" t="str">
        <f>"2000006175925907"</f>
        <v>2000006175925907</v>
      </c>
      <c r="AH850" s="1" t="s">
        <v>58</v>
      </c>
      <c r="AI850" s="1" t="s">
        <v>59</v>
      </c>
      <c r="AJ850" s="1" t="s">
        <v>59</v>
      </c>
      <c r="AK850" s="1" t="s">
        <v>60</v>
      </c>
      <c r="AL850" s="1" t="s">
        <v>60</v>
      </c>
      <c r="AW850" s="1" t="s">
        <v>1516</v>
      </c>
      <c r="AY850" s="1">
        <v>1.0</v>
      </c>
      <c r="AZ850" s="1">
        <v>39.99</v>
      </c>
      <c r="BB850" s="1">
        <v>39.99</v>
      </c>
    </row>
    <row r="851">
      <c r="A851" s="1" t="s">
        <v>1626</v>
      </c>
      <c r="C851" s="1" t="s">
        <v>56</v>
      </c>
      <c r="D851" s="1" t="s">
        <v>1627</v>
      </c>
      <c r="Y851" s="2">
        <v>45518.0</v>
      </c>
      <c r="AE851" s="1">
        <v>59.99</v>
      </c>
      <c r="AG851" s="3" t="str">
        <f>"2000006175911755"</f>
        <v>2000006175911755</v>
      </c>
      <c r="AH851" s="1" t="s">
        <v>58</v>
      </c>
      <c r="AI851" s="1" t="s">
        <v>59</v>
      </c>
      <c r="AJ851" s="1" t="s">
        <v>59</v>
      </c>
      <c r="AK851" s="1" t="s">
        <v>60</v>
      </c>
      <c r="AL851" s="1" t="s">
        <v>60</v>
      </c>
      <c r="AW851" s="1" t="s">
        <v>1628</v>
      </c>
      <c r="AY851" s="1">
        <v>1.0</v>
      </c>
      <c r="AZ851" s="1">
        <v>59.99</v>
      </c>
      <c r="BB851" s="1">
        <v>59.99</v>
      </c>
    </row>
    <row r="852">
      <c r="A852" s="1" t="s">
        <v>1629</v>
      </c>
      <c r="C852" s="1" t="s">
        <v>56</v>
      </c>
      <c r="D852" s="1" t="s">
        <v>1630</v>
      </c>
      <c r="Y852" s="2">
        <v>45518.0</v>
      </c>
      <c r="AE852" s="1">
        <v>109.99</v>
      </c>
      <c r="AG852" s="3" t="str">
        <f>"2000006175851913"</f>
        <v>2000006175851913</v>
      </c>
      <c r="AH852" s="1" t="s">
        <v>58</v>
      </c>
      <c r="AI852" s="1" t="s">
        <v>59</v>
      </c>
      <c r="AJ852" s="1" t="s">
        <v>59</v>
      </c>
      <c r="AK852" s="1" t="s">
        <v>60</v>
      </c>
      <c r="AL852" s="1" t="s">
        <v>60</v>
      </c>
      <c r="AW852" s="1" t="s">
        <v>1631</v>
      </c>
      <c r="AY852" s="1">
        <v>1.0</v>
      </c>
      <c r="AZ852" s="1">
        <v>109.99</v>
      </c>
      <c r="BB852" s="1">
        <v>109.99</v>
      </c>
    </row>
    <row r="853">
      <c r="A853" s="1" t="s">
        <v>1632</v>
      </c>
      <c r="C853" s="1" t="s">
        <v>56</v>
      </c>
      <c r="D853" s="1" t="s">
        <v>1633</v>
      </c>
      <c r="Y853" s="2">
        <v>45518.0</v>
      </c>
      <c r="AE853" s="1">
        <v>619.99</v>
      </c>
      <c r="AG853" s="3" t="str">
        <f>"2000009037592536"</f>
        <v>2000009037592536</v>
      </c>
      <c r="AH853" s="1" t="s">
        <v>58</v>
      </c>
      <c r="AI853" s="1" t="s">
        <v>59</v>
      </c>
      <c r="AJ853" s="1" t="s">
        <v>59</v>
      </c>
      <c r="AK853" s="1" t="s">
        <v>60</v>
      </c>
      <c r="AL853" s="1" t="s">
        <v>60</v>
      </c>
      <c r="AW853" s="1" t="s">
        <v>1634</v>
      </c>
      <c r="AY853" s="1">
        <v>1.0</v>
      </c>
      <c r="AZ853" s="1">
        <v>619.99</v>
      </c>
      <c r="BB853" s="1">
        <v>619.99</v>
      </c>
    </row>
    <row r="854">
      <c r="A854" s="1" t="s">
        <v>410</v>
      </c>
      <c r="C854" s="1" t="s">
        <v>56</v>
      </c>
      <c r="D854" s="1" t="s">
        <v>1635</v>
      </c>
      <c r="Y854" s="2">
        <v>45518.0</v>
      </c>
      <c r="AE854" s="1">
        <v>62.99</v>
      </c>
      <c r="AG854" s="3" t="str">
        <f>"2000006172618249"</f>
        <v>2000006172618249</v>
      </c>
      <c r="AH854" s="1" t="s">
        <v>58</v>
      </c>
      <c r="AI854" s="1" t="s">
        <v>59</v>
      </c>
      <c r="AJ854" s="1" t="s">
        <v>59</v>
      </c>
      <c r="AK854" s="1" t="s">
        <v>60</v>
      </c>
      <c r="AL854" s="1" t="s">
        <v>60</v>
      </c>
      <c r="AW854" s="1" t="s">
        <v>412</v>
      </c>
      <c r="AY854" s="1">
        <v>1.0</v>
      </c>
      <c r="AZ854" s="1">
        <v>62.99</v>
      </c>
      <c r="BB854" s="1">
        <v>62.99</v>
      </c>
    </row>
    <row r="855">
      <c r="A855" s="1" t="s">
        <v>714</v>
      </c>
      <c r="C855" s="1" t="s">
        <v>56</v>
      </c>
      <c r="D855" s="1" t="s">
        <v>1636</v>
      </c>
      <c r="Y855" s="2">
        <v>45518.0</v>
      </c>
      <c r="AE855" s="1">
        <v>149.99</v>
      </c>
      <c r="AG855" s="3" t="str">
        <f>"2000009037474326"</f>
        <v>2000009037474326</v>
      </c>
      <c r="AH855" s="1" t="s">
        <v>58</v>
      </c>
      <c r="AI855" s="1" t="s">
        <v>59</v>
      </c>
      <c r="AJ855" s="1" t="s">
        <v>59</v>
      </c>
      <c r="AK855" s="1" t="s">
        <v>60</v>
      </c>
      <c r="AL855" s="1" t="s">
        <v>60</v>
      </c>
      <c r="AW855" s="1" t="s">
        <v>716</v>
      </c>
      <c r="AY855" s="1">
        <v>1.0</v>
      </c>
      <c r="AZ855" s="1">
        <v>149.99</v>
      </c>
      <c r="BB855" s="1">
        <v>149.99</v>
      </c>
    </row>
    <row r="856">
      <c r="A856" s="1" t="s">
        <v>714</v>
      </c>
      <c r="C856" s="1" t="s">
        <v>56</v>
      </c>
      <c r="D856" s="1" t="s">
        <v>1637</v>
      </c>
      <c r="Y856" s="2">
        <v>45518.0</v>
      </c>
      <c r="AE856" s="1">
        <v>149.99</v>
      </c>
      <c r="AG856" s="3" t="str">
        <f>"2000006175634543"</f>
        <v>2000006175634543</v>
      </c>
      <c r="AH856" s="1" t="s">
        <v>58</v>
      </c>
      <c r="AI856" s="1" t="s">
        <v>59</v>
      </c>
      <c r="AJ856" s="1" t="s">
        <v>59</v>
      </c>
      <c r="AK856" s="1" t="s">
        <v>60</v>
      </c>
      <c r="AL856" s="1" t="s">
        <v>60</v>
      </c>
      <c r="AW856" s="1" t="s">
        <v>716</v>
      </c>
      <c r="AY856" s="1">
        <v>1.0</v>
      </c>
      <c r="AZ856" s="1">
        <v>149.99</v>
      </c>
      <c r="BB856" s="1">
        <v>149.99</v>
      </c>
    </row>
    <row r="857">
      <c r="A857" s="1" t="s">
        <v>403</v>
      </c>
      <c r="C857" s="1" t="s">
        <v>235</v>
      </c>
      <c r="D857" s="1" t="s">
        <v>404</v>
      </c>
      <c r="Y857" s="2">
        <v>45518.0</v>
      </c>
      <c r="AE857" s="1">
        <v>76.99</v>
      </c>
      <c r="AG857" s="3" t="str">
        <f>"2000009037455786"</f>
        <v>2000009037455786</v>
      </c>
      <c r="AH857" s="1" t="s">
        <v>58</v>
      </c>
      <c r="AI857" s="1" t="s">
        <v>59</v>
      </c>
      <c r="AJ857" s="1" t="s">
        <v>59</v>
      </c>
      <c r="AK857" s="1" t="s">
        <v>60</v>
      </c>
      <c r="AL857" s="1" t="s">
        <v>60</v>
      </c>
      <c r="AW857" s="1" t="s">
        <v>405</v>
      </c>
      <c r="AY857" s="1">
        <v>1.0</v>
      </c>
      <c r="AZ857" s="1">
        <v>76.99</v>
      </c>
      <c r="BB857" s="1">
        <v>76.99</v>
      </c>
    </row>
    <row r="858">
      <c r="A858" s="1" t="s">
        <v>1245</v>
      </c>
      <c r="C858" s="1" t="s">
        <v>56</v>
      </c>
      <c r="D858" s="1" t="s">
        <v>1638</v>
      </c>
      <c r="Y858" s="2">
        <v>45514.0</v>
      </c>
      <c r="AE858" s="1">
        <v>219.99</v>
      </c>
      <c r="AG858" s="3" t="str">
        <f>"2000009001775624"</f>
        <v>2000009001775624</v>
      </c>
      <c r="AH858" s="1" t="s">
        <v>58</v>
      </c>
      <c r="AI858" s="1" t="s">
        <v>59</v>
      </c>
      <c r="AJ858" s="1" t="s">
        <v>59</v>
      </c>
      <c r="AK858" s="1" t="s">
        <v>60</v>
      </c>
      <c r="AL858" s="1" t="s">
        <v>60</v>
      </c>
      <c r="AW858" s="1" t="s">
        <v>1247</v>
      </c>
      <c r="AY858" s="1">
        <v>1.0</v>
      </c>
      <c r="AZ858" s="1">
        <v>219.99</v>
      </c>
      <c r="BB858" s="1">
        <v>219.99</v>
      </c>
    </row>
    <row r="859">
      <c r="A859" s="1" t="s">
        <v>771</v>
      </c>
      <c r="C859" s="1" t="s">
        <v>56</v>
      </c>
      <c r="D859" s="1" t="s">
        <v>1639</v>
      </c>
      <c r="Y859" s="2">
        <v>45518.0</v>
      </c>
      <c r="AE859" s="1">
        <v>139.98</v>
      </c>
      <c r="AG859" s="3" t="str">
        <f>"2000009037211982"</f>
        <v>2000009037211982</v>
      </c>
      <c r="AH859" s="1" t="s">
        <v>58</v>
      </c>
      <c r="AI859" s="1" t="s">
        <v>59</v>
      </c>
      <c r="AJ859" s="1" t="s">
        <v>59</v>
      </c>
      <c r="AK859" s="1" t="s">
        <v>60</v>
      </c>
      <c r="AL859" s="1" t="s">
        <v>60</v>
      </c>
      <c r="AW859" s="1" t="s">
        <v>773</v>
      </c>
      <c r="AY859" s="1">
        <v>1.0</v>
      </c>
      <c r="AZ859" s="1">
        <v>139.98</v>
      </c>
      <c r="BB859" s="1">
        <v>139.98</v>
      </c>
    </row>
    <row r="860">
      <c r="A860" s="1" t="s">
        <v>1521</v>
      </c>
      <c r="C860" s="1" t="s">
        <v>56</v>
      </c>
      <c r="D860" s="1" t="s">
        <v>1640</v>
      </c>
      <c r="Y860" s="2">
        <v>45518.0</v>
      </c>
      <c r="AE860" s="1">
        <v>49.99</v>
      </c>
      <c r="AG860" s="3" t="str">
        <f>"2000006175500369"</f>
        <v>2000006175500369</v>
      </c>
      <c r="AH860" s="1" t="s">
        <v>58</v>
      </c>
      <c r="AI860" s="1" t="s">
        <v>59</v>
      </c>
      <c r="AJ860" s="1" t="s">
        <v>59</v>
      </c>
      <c r="AK860" s="1" t="s">
        <v>60</v>
      </c>
      <c r="AL860" s="1" t="s">
        <v>60</v>
      </c>
      <c r="AW860" s="1" t="s">
        <v>1523</v>
      </c>
      <c r="AY860" s="1">
        <v>1.0</v>
      </c>
      <c r="AZ860" s="1">
        <v>49.99</v>
      </c>
      <c r="BB860" s="1">
        <v>49.99</v>
      </c>
    </row>
    <row r="861">
      <c r="A861" s="1" t="s">
        <v>957</v>
      </c>
      <c r="C861" s="1" t="s">
        <v>56</v>
      </c>
      <c r="D861" s="1" t="s">
        <v>1641</v>
      </c>
      <c r="Y861" s="2">
        <v>45518.0</v>
      </c>
      <c r="AE861" s="1">
        <v>139.99</v>
      </c>
      <c r="AG861" s="3" t="str">
        <f>"2000009037135850"</f>
        <v>2000009037135850</v>
      </c>
      <c r="AH861" s="1" t="s">
        <v>58</v>
      </c>
      <c r="AI861" s="1" t="s">
        <v>59</v>
      </c>
      <c r="AJ861" s="1" t="s">
        <v>59</v>
      </c>
      <c r="AK861" s="1" t="s">
        <v>60</v>
      </c>
      <c r="AL861" s="1" t="s">
        <v>60</v>
      </c>
      <c r="AW861" s="1" t="s">
        <v>959</v>
      </c>
      <c r="AY861" s="1">
        <v>1.0</v>
      </c>
      <c r="AZ861" s="1">
        <v>139.99</v>
      </c>
      <c r="BB861" s="1">
        <v>139.99</v>
      </c>
    </row>
    <row r="862">
      <c r="A862" s="1" t="s">
        <v>496</v>
      </c>
      <c r="C862" s="1" t="s">
        <v>56</v>
      </c>
      <c r="D862" s="1" t="s">
        <v>1642</v>
      </c>
      <c r="Y862" s="2">
        <v>45518.0</v>
      </c>
      <c r="AE862" s="1">
        <v>54.99</v>
      </c>
      <c r="AG862" s="3" t="str">
        <f>"2000009037179966"</f>
        <v>2000009037179966</v>
      </c>
      <c r="AH862" s="1" t="s">
        <v>58</v>
      </c>
      <c r="AI862" s="1" t="s">
        <v>59</v>
      </c>
      <c r="AJ862" s="1" t="s">
        <v>59</v>
      </c>
      <c r="AK862" s="1" t="s">
        <v>60</v>
      </c>
      <c r="AL862" s="1" t="s">
        <v>60</v>
      </c>
      <c r="AW862" s="1" t="s">
        <v>497</v>
      </c>
      <c r="AY862" s="1">
        <v>1.0</v>
      </c>
      <c r="AZ862" s="1">
        <v>54.99</v>
      </c>
      <c r="BB862" s="1">
        <v>54.99</v>
      </c>
    </row>
    <row r="863">
      <c r="A863" s="1" t="s">
        <v>131</v>
      </c>
      <c r="C863" s="1" t="s">
        <v>56</v>
      </c>
      <c r="D863" s="1" t="s">
        <v>1643</v>
      </c>
      <c r="Y863" s="2">
        <v>45518.0</v>
      </c>
      <c r="AE863" s="1">
        <v>54.99</v>
      </c>
      <c r="AG863" s="3" t="str">
        <f>"2000009037182716"</f>
        <v>2000009037182716</v>
      </c>
      <c r="AH863" s="1" t="s">
        <v>58</v>
      </c>
      <c r="AI863" s="1" t="s">
        <v>59</v>
      </c>
      <c r="AJ863" s="1" t="s">
        <v>59</v>
      </c>
      <c r="AK863" s="1" t="s">
        <v>60</v>
      </c>
      <c r="AL863" s="1" t="s">
        <v>60</v>
      </c>
      <c r="AW863" s="1" t="s">
        <v>133</v>
      </c>
      <c r="AY863" s="1">
        <v>1.0</v>
      </c>
      <c r="AZ863" s="1">
        <v>54.99</v>
      </c>
      <c r="BB863" s="1">
        <v>54.99</v>
      </c>
    </row>
    <row r="864">
      <c r="A864" s="1" t="s">
        <v>776</v>
      </c>
      <c r="C864" s="1" t="s">
        <v>56</v>
      </c>
      <c r="D864" s="1" t="s">
        <v>1644</v>
      </c>
      <c r="Y864" s="2">
        <v>45518.0</v>
      </c>
      <c r="AE864" s="1">
        <v>79.99</v>
      </c>
      <c r="AG864" s="3" t="str">
        <f>"2000006175483941"</f>
        <v>2000006175483941</v>
      </c>
      <c r="AH864" s="1" t="s">
        <v>58</v>
      </c>
      <c r="AI864" s="1" t="s">
        <v>59</v>
      </c>
      <c r="AJ864" s="1" t="s">
        <v>59</v>
      </c>
      <c r="AK864" s="1" t="s">
        <v>60</v>
      </c>
      <c r="AL864" s="1" t="s">
        <v>60</v>
      </c>
      <c r="AW864" s="1" t="s">
        <v>778</v>
      </c>
      <c r="AY864" s="1">
        <v>1.0</v>
      </c>
      <c r="AZ864" s="1">
        <v>79.99</v>
      </c>
      <c r="BB864" s="1">
        <v>79.99</v>
      </c>
    </row>
    <row r="865">
      <c r="A865" s="1" t="s">
        <v>1360</v>
      </c>
      <c r="C865" s="1" t="s">
        <v>56</v>
      </c>
      <c r="D865" s="1" t="s">
        <v>1645</v>
      </c>
      <c r="Y865" s="2">
        <v>45518.0</v>
      </c>
      <c r="AE865" s="1">
        <v>499.99</v>
      </c>
      <c r="AG865" s="3" t="str">
        <f>"2000009037139314"</f>
        <v>2000009037139314</v>
      </c>
      <c r="AH865" s="1" t="s">
        <v>58</v>
      </c>
      <c r="AI865" s="1" t="s">
        <v>59</v>
      </c>
      <c r="AJ865" s="1" t="s">
        <v>59</v>
      </c>
      <c r="AK865" s="1" t="s">
        <v>60</v>
      </c>
      <c r="AL865" s="1" t="s">
        <v>60</v>
      </c>
      <c r="AW865" s="1" t="s">
        <v>1362</v>
      </c>
      <c r="AY865" s="1">
        <v>1.0</v>
      </c>
      <c r="AZ865" s="1">
        <v>499.99</v>
      </c>
      <c r="BB865" s="1">
        <v>499.99</v>
      </c>
    </row>
    <row r="866">
      <c r="A866" s="1" t="s">
        <v>230</v>
      </c>
      <c r="C866" s="1" t="s">
        <v>56</v>
      </c>
      <c r="D866" s="1" t="s">
        <v>1646</v>
      </c>
      <c r="Y866" s="2">
        <v>45518.0</v>
      </c>
      <c r="AE866" s="1">
        <v>109.98</v>
      </c>
      <c r="AG866" s="3" t="str">
        <f>"2000006175452241"</f>
        <v>2000006175452241</v>
      </c>
      <c r="AH866" s="1" t="s">
        <v>58</v>
      </c>
      <c r="AI866" s="1" t="s">
        <v>59</v>
      </c>
      <c r="AJ866" s="1" t="s">
        <v>59</v>
      </c>
      <c r="AK866" s="1" t="s">
        <v>60</v>
      </c>
      <c r="AL866" s="1" t="s">
        <v>60</v>
      </c>
      <c r="AW866" s="1" t="s">
        <v>85</v>
      </c>
      <c r="AY866" s="1">
        <v>2.0</v>
      </c>
      <c r="AZ866" s="1">
        <v>54.99</v>
      </c>
      <c r="BB866" s="1">
        <v>109.98</v>
      </c>
    </row>
    <row r="867">
      <c r="A867" s="1" t="s">
        <v>329</v>
      </c>
      <c r="C867" s="1" t="s">
        <v>56</v>
      </c>
      <c r="D867" s="1" t="s">
        <v>1647</v>
      </c>
      <c r="Y867" s="2">
        <v>45518.0</v>
      </c>
      <c r="AE867" s="1">
        <v>429.99</v>
      </c>
      <c r="AG867" s="3" t="str">
        <f>"2000009037076746"</f>
        <v>2000009037076746</v>
      </c>
      <c r="AH867" s="1" t="s">
        <v>58</v>
      </c>
      <c r="AI867" s="1" t="s">
        <v>59</v>
      </c>
      <c r="AJ867" s="1" t="s">
        <v>59</v>
      </c>
      <c r="AK867" s="1" t="s">
        <v>60</v>
      </c>
      <c r="AL867" s="1" t="s">
        <v>60</v>
      </c>
      <c r="AW867" s="1" t="s">
        <v>331</v>
      </c>
      <c r="AY867" s="1">
        <v>1.0</v>
      </c>
      <c r="AZ867" s="1">
        <v>429.99</v>
      </c>
      <c r="BB867" s="1">
        <v>429.99</v>
      </c>
    </row>
    <row r="868">
      <c r="A868" s="1" t="s">
        <v>1648</v>
      </c>
      <c r="C868" s="1" t="s">
        <v>56</v>
      </c>
      <c r="D868" s="1" t="s">
        <v>1649</v>
      </c>
      <c r="Y868" s="2">
        <v>45518.0</v>
      </c>
      <c r="AE868" s="1">
        <v>99.99</v>
      </c>
      <c r="AG868" s="3" t="str">
        <f>"2000006175282893"</f>
        <v>2000006175282893</v>
      </c>
      <c r="AH868" s="1" t="s">
        <v>58</v>
      </c>
      <c r="AI868" s="1" t="s">
        <v>59</v>
      </c>
      <c r="AJ868" s="1" t="s">
        <v>59</v>
      </c>
      <c r="AK868" s="1" t="s">
        <v>60</v>
      </c>
      <c r="AL868" s="1" t="s">
        <v>60</v>
      </c>
      <c r="AW868" s="1" t="s">
        <v>1650</v>
      </c>
      <c r="AY868" s="1">
        <v>1.0</v>
      </c>
      <c r="AZ868" s="1">
        <v>99.99</v>
      </c>
      <c r="BB868" s="1">
        <v>99.99</v>
      </c>
    </row>
    <row r="869">
      <c r="A869" s="1" t="s">
        <v>539</v>
      </c>
      <c r="C869" s="1" t="s">
        <v>56</v>
      </c>
      <c r="D869" s="1" t="s">
        <v>1651</v>
      </c>
      <c r="Y869" s="2">
        <v>45518.0</v>
      </c>
      <c r="AE869" s="1">
        <v>73.99</v>
      </c>
      <c r="AG869" s="3" t="str">
        <f>"2000006175394357"</f>
        <v>2000006175394357</v>
      </c>
      <c r="AH869" s="1" t="s">
        <v>58</v>
      </c>
      <c r="AI869" s="1" t="s">
        <v>59</v>
      </c>
      <c r="AJ869" s="1" t="s">
        <v>59</v>
      </c>
      <c r="AK869" s="1" t="s">
        <v>60</v>
      </c>
      <c r="AL869" s="1" t="s">
        <v>60</v>
      </c>
      <c r="AW869" s="1" t="s">
        <v>541</v>
      </c>
      <c r="AY869" s="1">
        <v>1.0</v>
      </c>
      <c r="AZ869" s="1">
        <v>73.99</v>
      </c>
      <c r="BB869" s="1">
        <v>73.99</v>
      </c>
    </row>
    <row r="870">
      <c r="A870" s="1" t="s">
        <v>102</v>
      </c>
      <c r="C870" s="1" t="s">
        <v>56</v>
      </c>
      <c r="D870" s="1" t="s">
        <v>1652</v>
      </c>
      <c r="Y870" s="2">
        <v>45518.0</v>
      </c>
      <c r="AE870" s="1">
        <v>59.99</v>
      </c>
      <c r="AG870" s="3" t="str">
        <f>"2000006175361329"</f>
        <v>2000006175361329</v>
      </c>
      <c r="AH870" s="1" t="s">
        <v>58</v>
      </c>
      <c r="AI870" s="1" t="s">
        <v>59</v>
      </c>
      <c r="AJ870" s="1" t="s">
        <v>59</v>
      </c>
      <c r="AK870" s="1" t="s">
        <v>60</v>
      </c>
      <c r="AL870" s="1" t="s">
        <v>60</v>
      </c>
      <c r="AW870" s="1" t="s">
        <v>104</v>
      </c>
      <c r="AY870" s="1">
        <v>1.0</v>
      </c>
      <c r="AZ870" s="1">
        <v>59.99</v>
      </c>
      <c r="BB870" s="1">
        <v>59.99</v>
      </c>
    </row>
    <row r="871">
      <c r="A871" s="1" t="s">
        <v>953</v>
      </c>
      <c r="C871" s="1" t="s">
        <v>56</v>
      </c>
      <c r="D871" s="1" t="s">
        <v>1653</v>
      </c>
      <c r="Y871" s="2">
        <v>45518.0</v>
      </c>
      <c r="AE871" s="1">
        <v>39.99</v>
      </c>
      <c r="AG871" s="3" t="str">
        <f>"2000006175314535"</f>
        <v>2000006175314535</v>
      </c>
      <c r="AH871" s="1" t="s">
        <v>58</v>
      </c>
      <c r="AI871" s="1" t="s">
        <v>59</v>
      </c>
      <c r="AJ871" s="1" t="s">
        <v>59</v>
      </c>
      <c r="AK871" s="1" t="s">
        <v>60</v>
      </c>
      <c r="AL871" s="1" t="s">
        <v>60</v>
      </c>
      <c r="AW871" s="1" t="s">
        <v>955</v>
      </c>
      <c r="AY871" s="1">
        <v>1.0</v>
      </c>
      <c r="AZ871" s="1">
        <v>39.99</v>
      </c>
      <c r="BB871" s="1">
        <v>39.99</v>
      </c>
    </row>
    <row r="872">
      <c r="A872" s="1" t="s">
        <v>1336</v>
      </c>
      <c r="C872" s="1" t="s">
        <v>56</v>
      </c>
      <c r="D872" s="1" t="s">
        <v>1654</v>
      </c>
      <c r="Y872" s="2">
        <v>45518.0</v>
      </c>
      <c r="AE872" s="1">
        <v>49.99</v>
      </c>
      <c r="AG872" s="3" t="str">
        <f>"2000006175324969"</f>
        <v>2000006175324969</v>
      </c>
      <c r="AH872" s="1" t="s">
        <v>58</v>
      </c>
      <c r="AI872" s="1" t="s">
        <v>59</v>
      </c>
      <c r="AJ872" s="1" t="s">
        <v>59</v>
      </c>
      <c r="AK872" s="1" t="s">
        <v>60</v>
      </c>
      <c r="AL872" s="1" t="s">
        <v>60</v>
      </c>
      <c r="AW872" s="1" t="s">
        <v>1338</v>
      </c>
      <c r="AY872" s="1">
        <v>1.0</v>
      </c>
      <c r="AZ872" s="1">
        <v>49.99</v>
      </c>
      <c r="BB872" s="1">
        <v>49.99</v>
      </c>
    </row>
    <row r="873">
      <c r="A873" s="1" t="s">
        <v>1648</v>
      </c>
      <c r="C873" s="1" t="s">
        <v>56</v>
      </c>
      <c r="D873" s="1" t="s">
        <v>1655</v>
      </c>
      <c r="Y873" s="2">
        <v>45518.0</v>
      </c>
      <c r="AE873" s="1">
        <v>99.99</v>
      </c>
      <c r="AG873" s="3" t="str">
        <f>"2000009036882260"</f>
        <v>2000009036882260</v>
      </c>
      <c r="AH873" s="1" t="s">
        <v>58</v>
      </c>
      <c r="AI873" s="1" t="s">
        <v>59</v>
      </c>
      <c r="AJ873" s="1" t="s">
        <v>59</v>
      </c>
      <c r="AK873" s="1" t="s">
        <v>60</v>
      </c>
      <c r="AL873" s="1" t="s">
        <v>60</v>
      </c>
      <c r="AW873" s="1" t="s">
        <v>1650</v>
      </c>
      <c r="AY873" s="1">
        <v>1.0</v>
      </c>
      <c r="AZ873" s="1">
        <v>99.99</v>
      </c>
      <c r="BB873" s="1">
        <v>99.99</v>
      </c>
    </row>
    <row r="874">
      <c r="A874" s="1" t="s">
        <v>1619</v>
      </c>
      <c r="C874" s="1" t="s">
        <v>56</v>
      </c>
      <c r="D874" s="1" t="s">
        <v>1656</v>
      </c>
      <c r="Y874" s="2">
        <v>45518.0</v>
      </c>
      <c r="AE874" s="1">
        <v>174.99</v>
      </c>
      <c r="AG874" s="3" t="str">
        <f>"2000006175303511"</f>
        <v>2000006175303511</v>
      </c>
      <c r="AH874" s="1" t="s">
        <v>58</v>
      </c>
      <c r="AI874" s="1" t="s">
        <v>59</v>
      </c>
      <c r="AJ874" s="1" t="s">
        <v>59</v>
      </c>
      <c r="AK874" s="1" t="s">
        <v>60</v>
      </c>
      <c r="AL874" s="1" t="s">
        <v>60</v>
      </c>
      <c r="AW874" s="1" t="s">
        <v>1621</v>
      </c>
      <c r="AY874" s="1">
        <v>1.0</v>
      </c>
      <c r="AZ874" s="1">
        <v>174.99</v>
      </c>
      <c r="BB874" s="1">
        <v>174.99</v>
      </c>
    </row>
    <row r="875">
      <c r="A875" s="1" t="s">
        <v>357</v>
      </c>
      <c r="C875" s="1" t="s">
        <v>56</v>
      </c>
      <c r="D875" s="1" t="s">
        <v>1657</v>
      </c>
      <c r="Y875" s="2">
        <v>45518.0</v>
      </c>
      <c r="AE875" s="1">
        <v>89.99</v>
      </c>
      <c r="AG875" s="3" t="str">
        <f>"2000006175251601"</f>
        <v>2000006175251601</v>
      </c>
      <c r="AH875" s="1" t="s">
        <v>58</v>
      </c>
      <c r="AI875" s="1" t="s">
        <v>59</v>
      </c>
      <c r="AJ875" s="1" t="s">
        <v>59</v>
      </c>
      <c r="AK875" s="1" t="s">
        <v>60</v>
      </c>
      <c r="AL875" s="1" t="s">
        <v>60</v>
      </c>
      <c r="AW875" s="1" t="s">
        <v>359</v>
      </c>
      <c r="AY875" s="1">
        <v>1.0</v>
      </c>
      <c r="AZ875" s="1">
        <v>89.99</v>
      </c>
      <c r="BB875" s="1">
        <v>89.99</v>
      </c>
    </row>
    <row r="876">
      <c r="A876" s="1" t="s">
        <v>1658</v>
      </c>
      <c r="C876" s="1" t="s">
        <v>56</v>
      </c>
      <c r="D876" s="1" t="s">
        <v>1659</v>
      </c>
      <c r="Y876" s="2">
        <v>45518.0</v>
      </c>
      <c r="AE876" s="1">
        <v>86.48</v>
      </c>
      <c r="AG876" s="3" t="str">
        <f>"2000006175260893"</f>
        <v>2000006175260893</v>
      </c>
      <c r="AH876" s="1" t="s">
        <v>58</v>
      </c>
      <c r="AI876" s="1" t="s">
        <v>59</v>
      </c>
      <c r="AJ876" s="1" t="s">
        <v>59</v>
      </c>
      <c r="AK876" s="1" t="s">
        <v>60</v>
      </c>
      <c r="AL876" s="1" t="s">
        <v>60</v>
      </c>
      <c r="AW876" s="1" t="s">
        <v>1660</v>
      </c>
      <c r="AY876" s="1">
        <v>1.0</v>
      </c>
      <c r="AZ876" s="1">
        <v>86.48</v>
      </c>
      <c r="BB876" s="1">
        <v>86.48</v>
      </c>
    </row>
    <row r="877">
      <c r="A877" s="1" t="s">
        <v>1566</v>
      </c>
      <c r="C877" s="1" t="s">
        <v>56</v>
      </c>
      <c r="D877" s="1" t="s">
        <v>1661</v>
      </c>
      <c r="Y877" s="2">
        <v>45518.0</v>
      </c>
      <c r="AE877" s="1">
        <v>199.96</v>
      </c>
      <c r="AG877" s="3" t="str">
        <f>"2000006175255859"</f>
        <v>2000006175255859</v>
      </c>
      <c r="AH877" s="1" t="s">
        <v>58</v>
      </c>
      <c r="AI877" s="1" t="s">
        <v>59</v>
      </c>
      <c r="AJ877" s="1" t="s">
        <v>59</v>
      </c>
      <c r="AK877" s="1" t="s">
        <v>60</v>
      </c>
      <c r="AL877" s="1" t="s">
        <v>60</v>
      </c>
      <c r="AW877" s="1" t="s">
        <v>97</v>
      </c>
      <c r="AY877" s="1">
        <v>4.0</v>
      </c>
      <c r="AZ877" s="1">
        <v>49.99</v>
      </c>
      <c r="BB877" s="1">
        <v>199.96</v>
      </c>
    </row>
    <row r="878">
      <c r="A878" s="1" t="s">
        <v>795</v>
      </c>
      <c r="C878" s="1" t="s">
        <v>56</v>
      </c>
      <c r="D878" s="1" t="s">
        <v>1662</v>
      </c>
      <c r="Y878" s="2">
        <v>45518.0</v>
      </c>
      <c r="AE878" s="1">
        <v>59.99</v>
      </c>
      <c r="AG878" s="3" t="str">
        <f>"2000006175255895"</f>
        <v>2000006175255895</v>
      </c>
      <c r="AH878" s="1" t="s">
        <v>58</v>
      </c>
      <c r="AI878" s="1" t="s">
        <v>59</v>
      </c>
      <c r="AJ878" s="1" t="s">
        <v>59</v>
      </c>
      <c r="AK878" s="1" t="s">
        <v>60</v>
      </c>
      <c r="AL878" s="1" t="s">
        <v>60</v>
      </c>
      <c r="AW878" s="1" t="s">
        <v>797</v>
      </c>
      <c r="AY878" s="1">
        <v>1.0</v>
      </c>
      <c r="AZ878" s="1">
        <v>59.99</v>
      </c>
      <c r="BB878" s="1">
        <v>59.99</v>
      </c>
    </row>
    <row r="879">
      <c r="A879" s="1" t="s">
        <v>602</v>
      </c>
      <c r="C879" s="1" t="s">
        <v>56</v>
      </c>
      <c r="D879" s="1" t="s">
        <v>1663</v>
      </c>
      <c r="Y879" s="2">
        <v>45518.0</v>
      </c>
      <c r="AE879" s="1">
        <v>84.99</v>
      </c>
      <c r="AG879" s="3" t="str">
        <f>"2000006175205583"</f>
        <v>2000006175205583</v>
      </c>
      <c r="AH879" s="1" t="s">
        <v>58</v>
      </c>
      <c r="AI879" s="1" t="s">
        <v>59</v>
      </c>
      <c r="AJ879" s="1" t="s">
        <v>59</v>
      </c>
      <c r="AK879" s="1" t="s">
        <v>60</v>
      </c>
      <c r="AL879" s="1" t="s">
        <v>60</v>
      </c>
      <c r="AW879" s="1" t="s">
        <v>604</v>
      </c>
      <c r="AY879" s="1">
        <v>1.0</v>
      </c>
      <c r="AZ879" s="1">
        <v>84.99</v>
      </c>
      <c r="BB879" s="1">
        <v>84.99</v>
      </c>
    </row>
    <row r="880">
      <c r="A880" s="1" t="s">
        <v>195</v>
      </c>
      <c r="C880" s="1" t="s">
        <v>56</v>
      </c>
      <c r="D880" s="1" t="s">
        <v>1664</v>
      </c>
      <c r="Y880" s="2">
        <v>45518.0</v>
      </c>
      <c r="AE880" s="1">
        <v>47.99</v>
      </c>
      <c r="AG880" s="3" t="str">
        <f>"2000006175206135"</f>
        <v>2000006175206135</v>
      </c>
      <c r="AH880" s="1" t="s">
        <v>58</v>
      </c>
      <c r="AI880" s="1" t="s">
        <v>59</v>
      </c>
      <c r="AJ880" s="1" t="s">
        <v>59</v>
      </c>
      <c r="AK880" s="1" t="s">
        <v>60</v>
      </c>
      <c r="AL880" s="1" t="s">
        <v>60</v>
      </c>
      <c r="AW880" s="1" t="s">
        <v>197</v>
      </c>
      <c r="AY880" s="1">
        <v>1.0</v>
      </c>
      <c r="AZ880" s="1">
        <v>47.99</v>
      </c>
      <c r="BB880" s="1">
        <v>47.99</v>
      </c>
    </row>
    <row r="881">
      <c r="A881" s="1" t="s">
        <v>354</v>
      </c>
      <c r="C881" s="1" t="s">
        <v>56</v>
      </c>
      <c r="D881" s="1" t="s">
        <v>1665</v>
      </c>
      <c r="Y881" s="2">
        <v>45517.0</v>
      </c>
      <c r="AE881" s="1">
        <v>649.99</v>
      </c>
      <c r="AG881" s="3" t="str">
        <f>"2000009025590018"</f>
        <v>2000009025590018</v>
      </c>
      <c r="AH881" s="1" t="s">
        <v>58</v>
      </c>
      <c r="AI881" s="1" t="s">
        <v>59</v>
      </c>
      <c r="AJ881" s="1" t="s">
        <v>59</v>
      </c>
      <c r="AK881" s="1" t="s">
        <v>60</v>
      </c>
      <c r="AL881" s="1" t="s">
        <v>60</v>
      </c>
      <c r="AW881" s="1" t="s">
        <v>356</v>
      </c>
      <c r="AY881" s="1">
        <v>1.0</v>
      </c>
      <c r="AZ881" s="1">
        <v>649.99</v>
      </c>
      <c r="BB881" s="1">
        <v>649.99</v>
      </c>
    </row>
    <row r="882">
      <c r="A882" s="1" t="s">
        <v>1666</v>
      </c>
      <c r="C882" s="1" t="s">
        <v>56</v>
      </c>
      <c r="D882" s="1" t="s">
        <v>1667</v>
      </c>
      <c r="Y882" s="2">
        <v>45518.0</v>
      </c>
      <c r="AE882" s="1">
        <v>129.99</v>
      </c>
      <c r="AG882" s="3" t="str">
        <f>"2000006175189155"</f>
        <v>2000006175189155</v>
      </c>
      <c r="AH882" s="1" t="s">
        <v>58</v>
      </c>
      <c r="AI882" s="1" t="s">
        <v>59</v>
      </c>
      <c r="AJ882" s="1" t="s">
        <v>59</v>
      </c>
      <c r="AK882" s="1" t="s">
        <v>60</v>
      </c>
      <c r="AL882" s="1" t="s">
        <v>60</v>
      </c>
      <c r="AW882" s="1" t="s">
        <v>763</v>
      </c>
      <c r="AY882" s="1">
        <v>1.0</v>
      </c>
      <c r="AZ882" s="1">
        <v>129.99</v>
      </c>
      <c r="BB882" s="1">
        <v>129.99</v>
      </c>
    </row>
    <row r="883">
      <c r="A883" s="1" t="s">
        <v>1668</v>
      </c>
      <c r="C883" s="1" t="s">
        <v>56</v>
      </c>
      <c r="D883" s="1" t="s">
        <v>1669</v>
      </c>
      <c r="Y883" s="2">
        <v>45518.0</v>
      </c>
      <c r="AE883" s="1">
        <v>89.99</v>
      </c>
      <c r="AG883" s="3" t="str">
        <f>"2000006175184587"</f>
        <v>2000006175184587</v>
      </c>
      <c r="AH883" s="1" t="s">
        <v>58</v>
      </c>
      <c r="AI883" s="1" t="s">
        <v>59</v>
      </c>
      <c r="AJ883" s="1" t="s">
        <v>59</v>
      </c>
      <c r="AK883" s="1" t="s">
        <v>60</v>
      </c>
      <c r="AL883" s="1" t="s">
        <v>60</v>
      </c>
      <c r="AW883" s="1" t="s">
        <v>1670</v>
      </c>
      <c r="AY883" s="1">
        <v>1.0</v>
      </c>
      <c r="AZ883" s="1">
        <v>89.99</v>
      </c>
      <c r="BB883" s="1">
        <v>89.99</v>
      </c>
    </row>
    <row r="884">
      <c r="A884" s="1" t="s">
        <v>1671</v>
      </c>
      <c r="C884" s="1" t="s">
        <v>56</v>
      </c>
      <c r="D884" s="1" t="s">
        <v>1672</v>
      </c>
      <c r="Y884" s="2">
        <v>45518.0</v>
      </c>
      <c r="AE884" s="1">
        <v>79.99</v>
      </c>
      <c r="AG884" s="3" t="str">
        <f>"2000006175173813"</f>
        <v>2000006175173813</v>
      </c>
      <c r="AH884" s="1" t="s">
        <v>58</v>
      </c>
      <c r="AI884" s="1" t="s">
        <v>59</v>
      </c>
      <c r="AJ884" s="1" t="s">
        <v>59</v>
      </c>
      <c r="AK884" s="1" t="s">
        <v>60</v>
      </c>
      <c r="AL884" s="1" t="s">
        <v>60</v>
      </c>
      <c r="AW884" s="1" t="s">
        <v>1673</v>
      </c>
      <c r="AY884" s="1">
        <v>1.0</v>
      </c>
      <c r="AZ884" s="1">
        <v>79.99</v>
      </c>
      <c r="BB884" s="1">
        <v>79.99</v>
      </c>
    </row>
    <row r="885">
      <c r="A885" s="1" t="s">
        <v>1674</v>
      </c>
      <c r="C885" s="1" t="s">
        <v>56</v>
      </c>
      <c r="D885" s="1" t="s">
        <v>1675</v>
      </c>
      <c r="Y885" s="2">
        <v>45518.0</v>
      </c>
      <c r="AE885" s="1">
        <v>105.99</v>
      </c>
      <c r="AG885" s="3" t="str">
        <f>"2000006173933143"</f>
        <v>2000006173933143</v>
      </c>
      <c r="AH885" s="1" t="s">
        <v>58</v>
      </c>
      <c r="AI885" s="1" t="s">
        <v>59</v>
      </c>
      <c r="AJ885" s="1" t="s">
        <v>59</v>
      </c>
      <c r="AK885" s="1" t="s">
        <v>60</v>
      </c>
      <c r="AL885" s="1" t="s">
        <v>60</v>
      </c>
      <c r="AW885" s="1" t="s">
        <v>1676</v>
      </c>
      <c r="AY885" s="1">
        <v>1.0</v>
      </c>
      <c r="AZ885" s="1">
        <v>105.99</v>
      </c>
      <c r="BB885" s="1">
        <v>105.99</v>
      </c>
    </row>
    <row r="886">
      <c r="A886" s="1" t="s">
        <v>933</v>
      </c>
      <c r="C886" s="1" t="s">
        <v>56</v>
      </c>
      <c r="D886" s="1" t="s">
        <v>1677</v>
      </c>
      <c r="Y886" s="2">
        <v>45518.0</v>
      </c>
      <c r="AE886" s="1">
        <v>79.99</v>
      </c>
      <c r="AG886" s="3" t="str">
        <f>"2000006175147951"</f>
        <v>2000006175147951</v>
      </c>
      <c r="AH886" s="1" t="s">
        <v>58</v>
      </c>
      <c r="AI886" s="1" t="s">
        <v>59</v>
      </c>
      <c r="AJ886" s="1" t="s">
        <v>59</v>
      </c>
      <c r="AK886" s="1" t="s">
        <v>60</v>
      </c>
      <c r="AL886" s="1" t="s">
        <v>60</v>
      </c>
      <c r="AW886" s="1" t="s">
        <v>935</v>
      </c>
      <c r="AY886" s="1">
        <v>1.0</v>
      </c>
      <c r="AZ886" s="1">
        <v>79.99</v>
      </c>
      <c r="BB886" s="1">
        <v>79.99</v>
      </c>
    </row>
    <row r="887">
      <c r="A887" s="1" t="s">
        <v>319</v>
      </c>
      <c r="C887" s="1" t="s">
        <v>56</v>
      </c>
      <c r="D887" s="1" t="s">
        <v>1678</v>
      </c>
      <c r="Y887" s="2">
        <v>45518.0</v>
      </c>
      <c r="AE887" s="1">
        <v>74.99</v>
      </c>
      <c r="AG887" s="3" t="str">
        <f>"2000006175139467"</f>
        <v>2000006175139467</v>
      </c>
      <c r="AH887" s="1" t="s">
        <v>58</v>
      </c>
      <c r="AI887" s="1" t="s">
        <v>59</v>
      </c>
      <c r="AJ887" s="1" t="s">
        <v>59</v>
      </c>
      <c r="AK887" s="1" t="s">
        <v>60</v>
      </c>
      <c r="AL887" s="1" t="s">
        <v>60</v>
      </c>
      <c r="AW887" s="1" t="s">
        <v>321</v>
      </c>
      <c r="AY887" s="1">
        <v>1.0</v>
      </c>
      <c r="AZ887" s="1">
        <v>74.99</v>
      </c>
      <c r="BB887" s="1">
        <v>74.99</v>
      </c>
    </row>
    <row r="888">
      <c r="A888" s="1" t="s">
        <v>1679</v>
      </c>
      <c r="C888" s="1" t="s">
        <v>56</v>
      </c>
      <c r="D888" s="1" t="s">
        <v>1680</v>
      </c>
      <c r="Y888" s="2">
        <v>45518.0</v>
      </c>
      <c r="AE888" s="1">
        <v>229.99</v>
      </c>
      <c r="AG888" s="3" t="str">
        <f>"2000009036460196"</f>
        <v>2000009036460196</v>
      </c>
      <c r="AH888" s="1" t="s">
        <v>58</v>
      </c>
      <c r="AI888" s="1" t="s">
        <v>59</v>
      </c>
      <c r="AJ888" s="1" t="s">
        <v>59</v>
      </c>
      <c r="AK888" s="1" t="s">
        <v>60</v>
      </c>
      <c r="AL888" s="1" t="s">
        <v>60</v>
      </c>
      <c r="AW888" s="1" t="s">
        <v>1681</v>
      </c>
      <c r="AY888" s="1">
        <v>1.0</v>
      </c>
      <c r="AZ888" s="1">
        <v>229.99</v>
      </c>
      <c r="BB888" s="1">
        <v>229.99</v>
      </c>
    </row>
    <row r="889">
      <c r="A889" s="1" t="s">
        <v>1682</v>
      </c>
      <c r="C889" s="1" t="s">
        <v>56</v>
      </c>
      <c r="D889" s="1" t="s">
        <v>1683</v>
      </c>
      <c r="Y889" s="2">
        <v>45518.0</v>
      </c>
      <c r="AE889" s="1">
        <v>749.97</v>
      </c>
      <c r="AG889" s="3" t="str">
        <f>"2000006175081739"</f>
        <v>2000006175081739</v>
      </c>
      <c r="AH889" s="1" t="s">
        <v>58</v>
      </c>
      <c r="AI889" s="1" t="s">
        <v>59</v>
      </c>
      <c r="AJ889" s="1" t="s">
        <v>59</v>
      </c>
      <c r="AK889" s="1" t="s">
        <v>60</v>
      </c>
      <c r="AL889" s="1" t="s">
        <v>60</v>
      </c>
      <c r="AW889" s="1" t="s">
        <v>193</v>
      </c>
      <c r="AY889" s="1">
        <v>3.0</v>
      </c>
      <c r="AZ889" s="1">
        <v>249.99</v>
      </c>
      <c r="BB889" s="1">
        <v>749.97</v>
      </c>
    </row>
    <row r="890">
      <c r="A890" s="1" t="s">
        <v>1045</v>
      </c>
      <c r="C890" s="1" t="s">
        <v>56</v>
      </c>
      <c r="D890" s="1" t="s">
        <v>1684</v>
      </c>
      <c r="Y890" s="2">
        <v>45518.0</v>
      </c>
      <c r="AE890" s="1">
        <v>89.99</v>
      </c>
      <c r="AG890" s="3" t="str">
        <f>"2000006175064803"</f>
        <v>2000006175064803</v>
      </c>
      <c r="AH890" s="1" t="s">
        <v>58</v>
      </c>
      <c r="AI890" s="1" t="s">
        <v>59</v>
      </c>
      <c r="AJ890" s="1" t="s">
        <v>59</v>
      </c>
      <c r="AK890" s="1" t="s">
        <v>60</v>
      </c>
      <c r="AL890" s="1" t="s">
        <v>60</v>
      </c>
      <c r="AW890" s="1" t="s">
        <v>1047</v>
      </c>
      <c r="AY890" s="1">
        <v>1.0</v>
      </c>
      <c r="AZ890" s="1">
        <v>89.99</v>
      </c>
      <c r="BB890" s="1">
        <v>89.99</v>
      </c>
    </row>
    <row r="891">
      <c r="A891" s="1" t="s">
        <v>1685</v>
      </c>
      <c r="C891" s="1" t="s">
        <v>56</v>
      </c>
      <c r="D891" s="1" t="s">
        <v>1686</v>
      </c>
      <c r="Y891" s="2">
        <v>45518.0</v>
      </c>
      <c r="AE891" s="1">
        <v>99.99</v>
      </c>
      <c r="AG891" s="3" t="str">
        <f>"2000009036398320"</f>
        <v>2000009036398320</v>
      </c>
      <c r="AH891" s="1" t="s">
        <v>58</v>
      </c>
      <c r="AI891" s="1" t="s">
        <v>59</v>
      </c>
      <c r="AJ891" s="1" t="s">
        <v>59</v>
      </c>
      <c r="AK891" s="1" t="s">
        <v>60</v>
      </c>
      <c r="AL891" s="1" t="s">
        <v>60</v>
      </c>
      <c r="AW891" s="1" t="s">
        <v>617</v>
      </c>
      <c r="AY891" s="1">
        <v>1.0</v>
      </c>
      <c r="AZ891" s="1">
        <v>99.99</v>
      </c>
      <c r="BB891" s="1">
        <v>99.99</v>
      </c>
    </row>
    <row r="892">
      <c r="A892" s="1" t="s">
        <v>95</v>
      </c>
      <c r="C892" s="1" t="s">
        <v>56</v>
      </c>
      <c r="D892" s="1" t="s">
        <v>1687</v>
      </c>
      <c r="Y892" s="2">
        <v>45518.0</v>
      </c>
      <c r="AE892" s="1">
        <v>49.99</v>
      </c>
      <c r="AG892" s="3" t="str">
        <f>"2000006174141323"</f>
        <v>2000006174141323</v>
      </c>
      <c r="AH892" s="1" t="s">
        <v>58</v>
      </c>
      <c r="AI892" s="1" t="s">
        <v>59</v>
      </c>
      <c r="AJ892" s="1" t="s">
        <v>59</v>
      </c>
      <c r="AK892" s="1" t="s">
        <v>60</v>
      </c>
      <c r="AL892" s="1" t="s">
        <v>60</v>
      </c>
      <c r="AW892" s="1" t="s">
        <v>97</v>
      </c>
      <c r="AY892" s="1">
        <v>1.0</v>
      </c>
      <c r="AZ892" s="1">
        <v>49.99</v>
      </c>
      <c r="BB892" s="1">
        <v>49.99</v>
      </c>
    </row>
    <row r="893">
      <c r="A893" s="1" t="s">
        <v>539</v>
      </c>
      <c r="C893" s="1" t="s">
        <v>56</v>
      </c>
      <c r="D893" s="1" t="s">
        <v>1688</v>
      </c>
      <c r="Y893" s="2">
        <v>45518.0</v>
      </c>
      <c r="AE893" s="1">
        <v>73.99</v>
      </c>
      <c r="AG893" s="3" t="str">
        <f>"2000006175006571"</f>
        <v>2000006175006571</v>
      </c>
      <c r="AH893" s="1" t="s">
        <v>58</v>
      </c>
      <c r="AI893" s="1" t="s">
        <v>59</v>
      </c>
      <c r="AJ893" s="1" t="s">
        <v>59</v>
      </c>
      <c r="AK893" s="1" t="s">
        <v>60</v>
      </c>
      <c r="AL893" s="1" t="s">
        <v>60</v>
      </c>
      <c r="AW893" s="1" t="s">
        <v>541</v>
      </c>
      <c r="AY893" s="1">
        <v>1.0</v>
      </c>
      <c r="AZ893" s="1">
        <v>73.99</v>
      </c>
      <c r="BB893" s="1">
        <v>73.99</v>
      </c>
    </row>
    <row r="894">
      <c r="A894" s="1" t="s">
        <v>1689</v>
      </c>
      <c r="C894" s="1" t="s">
        <v>56</v>
      </c>
      <c r="D894" s="1" t="s">
        <v>1690</v>
      </c>
      <c r="Y894" s="2">
        <v>45518.0</v>
      </c>
      <c r="AE894" s="1">
        <v>79.99</v>
      </c>
      <c r="AG894" s="3" t="str">
        <f>"2000009036294296"</f>
        <v>2000009036294296</v>
      </c>
      <c r="AH894" s="1" t="s">
        <v>58</v>
      </c>
      <c r="AI894" s="1" t="s">
        <v>59</v>
      </c>
      <c r="AJ894" s="1" t="s">
        <v>59</v>
      </c>
      <c r="AK894" s="1" t="s">
        <v>60</v>
      </c>
      <c r="AL894" s="1" t="s">
        <v>60</v>
      </c>
      <c r="AW894" s="1" t="s">
        <v>856</v>
      </c>
      <c r="AY894" s="1">
        <v>1.0</v>
      </c>
      <c r="AZ894" s="1">
        <v>79.99</v>
      </c>
      <c r="BB894" s="1">
        <v>79.99</v>
      </c>
    </row>
    <row r="895">
      <c r="A895" s="1" t="s">
        <v>1002</v>
      </c>
      <c r="C895" s="1" t="s">
        <v>56</v>
      </c>
      <c r="D895" s="1" t="s">
        <v>1691</v>
      </c>
      <c r="Y895" s="2">
        <v>45518.0</v>
      </c>
      <c r="AE895" s="1">
        <v>49.99</v>
      </c>
      <c r="AG895" s="3" t="str">
        <f>"2000006174974995"</f>
        <v>2000006174974995</v>
      </c>
      <c r="AH895" s="1" t="s">
        <v>58</v>
      </c>
      <c r="AI895" s="1" t="s">
        <v>59</v>
      </c>
      <c r="AJ895" s="1" t="s">
        <v>59</v>
      </c>
      <c r="AK895" s="1" t="s">
        <v>60</v>
      </c>
      <c r="AL895" s="1" t="s">
        <v>60</v>
      </c>
      <c r="AW895" s="1" t="s">
        <v>1004</v>
      </c>
      <c r="AY895" s="1">
        <v>1.0</v>
      </c>
      <c r="AZ895" s="1">
        <v>49.99</v>
      </c>
      <c r="BB895" s="1">
        <v>49.99</v>
      </c>
    </row>
    <row r="896">
      <c r="A896" s="1" t="s">
        <v>420</v>
      </c>
      <c r="C896" s="1" t="s">
        <v>56</v>
      </c>
      <c r="D896" s="1" t="s">
        <v>1692</v>
      </c>
      <c r="Y896" s="2">
        <v>45518.0</v>
      </c>
      <c r="AE896" s="1">
        <v>579.99</v>
      </c>
      <c r="AG896" s="3" t="str">
        <f>"2000009036227160"</f>
        <v>2000009036227160</v>
      </c>
      <c r="AH896" s="1" t="s">
        <v>58</v>
      </c>
      <c r="AI896" s="1" t="s">
        <v>59</v>
      </c>
      <c r="AJ896" s="1" t="s">
        <v>59</v>
      </c>
      <c r="AK896" s="1" t="s">
        <v>60</v>
      </c>
      <c r="AL896" s="1" t="s">
        <v>60</v>
      </c>
      <c r="AW896" s="1" t="s">
        <v>422</v>
      </c>
      <c r="AY896" s="1">
        <v>1.0</v>
      </c>
      <c r="AZ896" s="1">
        <v>579.99</v>
      </c>
      <c r="BB896" s="1">
        <v>579.99</v>
      </c>
    </row>
    <row r="897">
      <c r="A897" s="1" t="s">
        <v>1318</v>
      </c>
      <c r="C897" s="1" t="s">
        <v>56</v>
      </c>
      <c r="D897" s="1" t="s">
        <v>1693</v>
      </c>
      <c r="Y897" s="2">
        <v>45518.0</v>
      </c>
      <c r="AE897" s="1">
        <v>64.99</v>
      </c>
      <c r="AG897" s="3" t="str">
        <f t="shared" ref="AG897:AG898" si="34">"2000006174934487"</f>
        <v>2000006174934487</v>
      </c>
      <c r="AH897" s="1" t="s">
        <v>58</v>
      </c>
      <c r="AI897" s="1" t="s">
        <v>59</v>
      </c>
      <c r="AJ897" s="1" t="s">
        <v>59</v>
      </c>
      <c r="AK897" s="1" t="s">
        <v>60</v>
      </c>
      <c r="AL897" s="1" t="s">
        <v>60</v>
      </c>
      <c r="AW897" s="1" t="s">
        <v>1320</v>
      </c>
      <c r="AY897" s="1">
        <v>1.0</v>
      </c>
      <c r="AZ897" s="1">
        <v>64.99</v>
      </c>
      <c r="BB897" s="1">
        <v>64.99</v>
      </c>
    </row>
    <row r="898">
      <c r="A898" s="1" t="s">
        <v>1409</v>
      </c>
      <c r="C898" s="1" t="s">
        <v>56</v>
      </c>
      <c r="D898" s="1" t="s">
        <v>1693</v>
      </c>
      <c r="Y898" s="2">
        <v>45518.0</v>
      </c>
      <c r="AE898" s="1">
        <v>99.99</v>
      </c>
      <c r="AG898" s="3" t="str">
        <f t="shared" si="34"/>
        <v>2000006174934487</v>
      </c>
      <c r="AH898" s="1" t="s">
        <v>58</v>
      </c>
      <c r="AI898" s="1" t="s">
        <v>59</v>
      </c>
      <c r="AJ898" s="1" t="s">
        <v>59</v>
      </c>
      <c r="AK898" s="1" t="s">
        <v>60</v>
      </c>
      <c r="AL898" s="1" t="s">
        <v>60</v>
      </c>
      <c r="AW898" s="1" t="s">
        <v>1411</v>
      </c>
      <c r="AY898" s="1">
        <v>1.0</v>
      </c>
      <c r="AZ898" s="1">
        <v>99.99</v>
      </c>
      <c r="BB898" s="1">
        <v>99.99</v>
      </c>
    </row>
    <row r="899">
      <c r="A899" s="1" t="s">
        <v>204</v>
      </c>
      <c r="C899" s="1" t="s">
        <v>56</v>
      </c>
      <c r="D899" s="1" t="s">
        <v>1694</v>
      </c>
      <c r="Y899" s="2">
        <v>45518.0</v>
      </c>
      <c r="AE899" s="1">
        <v>57.99</v>
      </c>
      <c r="AG899" s="3" t="str">
        <f>"2000006174933411"</f>
        <v>2000006174933411</v>
      </c>
      <c r="AH899" s="1" t="s">
        <v>58</v>
      </c>
      <c r="AI899" s="1" t="s">
        <v>59</v>
      </c>
      <c r="AJ899" s="1" t="s">
        <v>59</v>
      </c>
      <c r="AK899" s="1" t="s">
        <v>60</v>
      </c>
      <c r="AL899" s="1" t="s">
        <v>60</v>
      </c>
      <c r="AW899" s="1" t="s">
        <v>206</v>
      </c>
      <c r="AY899" s="1">
        <v>1.0</v>
      </c>
      <c r="AZ899" s="1">
        <v>57.99</v>
      </c>
      <c r="BB899" s="1">
        <v>57.99</v>
      </c>
    </row>
    <row r="900">
      <c r="A900" s="1" t="s">
        <v>368</v>
      </c>
      <c r="C900" s="1" t="s">
        <v>56</v>
      </c>
      <c r="D900" s="1" t="s">
        <v>1695</v>
      </c>
      <c r="Y900" s="2">
        <v>45518.0</v>
      </c>
      <c r="AE900" s="1">
        <v>94.99</v>
      </c>
      <c r="AG900" s="3" t="str">
        <f>"2000006174873079"</f>
        <v>2000006174873079</v>
      </c>
      <c r="AH900" s="1" t="s">
        <v>58</v>
      </c>
      <c r="AI900" s="1" t="s">
        <v>59</v>
      </c>
      <c r="AJ900" s="1" t="s">
        <v>59</v>
      </c>
      <c r="AK900" s="1" t="s">
        <v>60</v>
      </c>
      <c r="AL900" s="1" t="s">
        <v>60</v>
      </c>
      <c r="AW900" s="1" t="s">
        <v>370</v>
      </c>
      <c r="AY900" s="1">
        <v>1.0</v>
      </c>
      <c r="AZ900" s="1">
        <v>94.99</v>
      </c>
      <c r="BB900" s="1">
        <v>94.99</v>
      </c>
    </row>
    <row r="901">
      <c r="A901" s="1" t="s">
        <v>86</v>
      </c>
      <c r="C901" s="1" t="s">
        <v>56</v>
      </c>
      <c r="D901" s="1" t="s">
        <v>1696</v>
      </c>
      <c r="Y901" s="2">
        <v>45518.0</v>
      </c>
      <c r="AE901" s="1">
        <v>64.99</v>
      </c>
      <c r="AG901" s="3" t="str">
        <f>"2000006174768973"</f>
        <v>2000006174768973</v>
      </c>
      <c r="AH901" s="1" t="s">
        <v>58</v>
      </c>
      <c r="AI901" s="1" t="s">
        <v>59</v>
      </c>
      <c r="AJ901" s="1" t="s">
        <v>59</v>
      </c>
      <c r="AK901" s="1" t="s">
        <v>60</v>
      </c>
      <c r="AL901" s="1" t="s">
        <v>60</v>
      </c>
      <c r="AW901" s="1" t="s">
        <v>88</v>
      </c>
      <c r="AY901" s="1">
        <v>1.0</v>
      </c>
      <c r="AZ901" s="1">
        <v>64.99</v>
      </c>
      <c r="BB901" s="1">
        <v>64.99</v>
      </c>
    </row>
    <row r="902">
      <c r="A902" s="1" t="s">
        <v>496</v>
      </c>
      <c r="C902" s="1" t="s">
        <v>56</v>
      </c>
      <c r="D902" s="1" t="s">
        <v>1697</v>
      </c>
      <c r="Y902" s="2">
        <v>45518.0</v>
      </c>
      <c r="AE902" s="1">
        <v>109.98</v>
      </c>
      <c r="AG902" s="3" t="str">
        <f t="shared" ref="AG902:AG903" si="35">"2000006174824613"</f>
        <v>2000006174824613</v>
      </c>
      <c r="AH902" s="1" t="s">
        <v>58</v>
      </c>
      <c r="AI902" s="1" t="s">
        <v>59</v>
      </c>
      <c r="AJ902" s="1" t="s">
        <v>59</v>
      </c>
      <c r="AK902" s="1" t="s">
        <v>60</v>
      </c>
      <c r="AL902" s="1" t="s">
        <v>60</v>
      </c>
      <c r="AW902" s="1" t="s">
        <v>497</v>
      </c>
      <c r="AY902" s="1">
        <v>2.0</v>
      </c>
      <c r="AZ902" s="1">
        <v>54.99</v>
      </c>
      <c r="BB902" s="1">
        <v>109.98</v>
      </c>
    </row>
    <row r="903">
      <c r="A903" s="1" t="s">
        <v>83</v>
      </c>
      <c r="C903" s="1" t="s">
        <v>56</v>
      </c>
      <c r="D903" s="1" t="s">
        <v>1697</v>
      </c>
      <c r="Y903" s="2">
        <v>45518.0</v>
      </c>
      <c r="AE903" s="1">
        <v>109.98</v>
      </c>
      <c r="AG903" s="3" t="str">
        <f t="shared" si="35"/>
        <v>2000006174824613</v>
      </c>
      <c r="AH903" s="1" t="s">
        <v>58</v>
      </c>
      <c r="AI903" s="1" t="s">
        <v>59</v>
      </c>
      <c r="AJ903" s="1" t="s">
        <v>59</v>
      </c>
      <c r="AK903" s="1" t="s">
        <v>60</v>
      </c>
      <c r="AL903" s="1" t="s">
        <v>60</v>
      </c>
      <c r="AW903" s="1" t="s">
        <v>85</v>
      </c>
      <c r="AY903" s="1">
        <v>2.0</v>
      </c>
      <c r="AZ903" s="1">
        <v>54.99</v>
      </c>
      <c r="BB903" s="1">
        <v>109.98</v>
      </c>
    </row>
    <row r="904">
      <c r="A904" s="1" t="s">
        <v>1698</v>
      </c>
      <c r="C904" s="1" t="s">
        <v>56</v>
      </c>
      <c r="D904" s="1" t="s">
        <v>1697</v>
      </c>
      <c r="Y904" s="2">
        <v>45518.0</v>
      </c>
      <c r="AE904" s="1">
        <v>54.99</v>
      </c>
      <c r="AG904" s="3" t="str">
        <f t="shared" ref="AG904:AG905" si="36">"2000006174824611"</f>
        <v>2000006174824611</v>
      </c>
      <c r="AH904" s="1" t="s">
        <v>58</v>
      </c>
      <c r="AI904" s="1" t="s">
        <v>59</v>
      </c>
      <c r="AJ904" s="1" t="s">
        <v>59</v>
      </c>
      <c r="AK904" s="1" t="s">
        <v>60</v>
      </c>
      <c r="AL904" s="1" t="s">
        <v>60</v>
      </c>
      <c r="AW904" s="1" t="s">
        <v>497</v>
      </c>
      <c r="AY904" s="1">
        <v>1.0</v>
      </c>
      <c r="AZ904" s="1">
        <v>54.99</v>
      </c>
      <c r="BB904" s="1">
        <v>54.99</v>
      </c>
    </row>
    <row r="905">
      <c r="A905" s="1" t="s">
        <v>525</v>
      </c>
      <c r="C905" s="1" t="s">
        <v>56</v>
      </c>
      <c r="D905" s="1" t="s">
        <v>1697</v>
      </c>
      <c r="Y905" s="2">
        <v>45518.0</v>
      </c>
      <c r="AE905" s="1">
        <v>54.99</v>
      </c>
      <c r="AG905" s="3" t="str">
        <f t="shared" si="36"/>
        <v>2000006174824611</v>
      </c>
      <c r="AH905" s="1" t="s">
        <v>58</v>
      </c>
      <c r="AI905" s="1" t="s">
        <v>59</v>
      </c>
      <c r="AJ905" s="1" t="s">
        <v>59</v>
      </c>
      <c r="AK905" s="1" t="s">
        <v>60</v>
      </c>
      <c r="AL905" s="1" t="s">
        <v>60</v>
      </c>
      <c r="AW905" s="1" t="s">
        <v>497</v>
      </c>
      <c r="AY905" s="1">
        <v>1.0</v>
      </c>
      <c r="AZ905" s="1">
        <v>54.99</v>
      </c>
      <c r="BB905" s="1">
        <v>54.99</v>
      </c>
    </row>
    <row r="906">
      <c r="A906" s="1" t="s">
        <v>212</v>
      </c>
      <c r="C906" s="1" t="s">
        <v>56</v>
      </c>
      <c r="D906" s="1" t="s">
        <v>1699</v>
      </c>
      <c r="Y906" s="2">
        <v>45518.0</v>
      </c>
      <c r="AE906" s="1">
        <v>49.99</v>
      </c>
      <c r="AG906" s="3" t="str">
        <f>"2000006174682465"</f>
        <v>2000006174682465</v>
      </c>
      <c r="AH906" s="1" t="s">
        <v>58</v>
      </c>
      <c r="AI906" s="1" t="s">
        <v>59</v>
      </c>
      <c r="AJ906" s="1" t="s">
        <v>59</v>
      </c>
      <c r="AK906" s="1" t="s">
        <v>60</v>
      </c>
      <c r="AL906" s="1" t="s">
        <v>60</v>
      </c>
      <c r="AW906" s="1" t="s">
        <v>214</v>
      </c>
      <c r="AY906" s="1">
        <v>1.0</v>
      </c>
      <c r="AZ906" s="1">
        <v>49.99</v>
      </c>
      <c r="BB906" s="1">
        <v>49.99</v>
      </c>
    </row>
    <row r="907">
      <c r="A907" s="1" t="s">
        <v>1700</v>
      </c>
      <c r="C907" s="1" t="s">
        <v>56</v>
      </c>
      <c r="D907" s="1" t="s">
        <v>1701</v>
      </c>
      <c r="Y907" s="2">
        <v>45518.0</v>
      </c>
      <c r="AE907" s="1">
        <v>219.99</v>
      </c>
      <c r="AG907" s="3" t="str">
        <f>"2000006174674809"</f>
        <v>2000006174674809</v>
      </c>
      <c r="AH907" s="1" t="s">
        <v>58</v>
      </c>
      <c r="AI907" s="1" t="s">
        <v>59</v>
      </c>
      <c r="AJ907" s="1" t="s">
        <v>59</v>
      </c>
      <c r="AK907" s="1" t="s">
        <v>60</v>
      </c>
      <c r="AL907" s="1" t="s">
        <v>60</v>
      </c>
      <c r="AW907" s="1" t="s">
        <v>1702</v>
      </c>
      <c r="AY907" s="1">
        <v>1.0</v>
      </c>
      <c r="AZ907" s="1">
        <v>219.99</v>
      </c>
      <c r="BB907" s="1">
        <v>219.99</v>
      </c>
    </row>
    <row r="908">
      <c r="A908" s="1" t="s">
        <v>517</v>
      </c>
      <c r="C908" s="1" t="s">
        <v>56</v>
      </c>
      <c r="D908" s="1" t="s">
        <v>1703</v>
      </c>
      <c r="Y908" s="2">
        <v>45518.0</v>
      </c>
      <c r="AE908" s="1">
        <v>49.99</v>
      </c>
      <c r="AG908" s="3" t="str">
        <f>"2000006174672613"</f>
        <v>2000006174672613</v>
      </c>
      <c r="AH908" s="1" t="s">
        <v>58</v>
      </c>
      <c r="AI908" s="1" t="s">
        <v>59</v>
      </c>
      <c r="AJ908" s="1" t="s">
        <v>59</v>
      </c>
      <c r="AK908" s="1" t="s">
        <v>60</v>
      </c>
      <c r="AL908" s="1" t="s">
        <v>60</v>
      </c>
      <c r="AW908" s="1" t="s">
        <v>70</v>
      </c>
      <c r="AY908" s="1">
        <v>1.0</v>
      </c>
      <c r="AZ908" s="1">
        <v>49.99</v>
      </c>
      <c r="BB908" s="1">
        <v>49.99</v>
      </c>
    </row>
    <row r="909">
      <c r="A909" s="1" t="s">
        <v>86</v>
      </c>
      <c r="C909" s="1" t="s">
        <v>56</v>
      </c>
      <c r="D909" s="1" t="s">
        <v>1704</v>
      </c>
      <c r="Y909" s="2">
        <v>45518.0</v>
      </c>
      <c r="AE909" s="1">
        <v>64.99</v>
      </c>
      <c r="AG909" s="3" t="str">
        <f>"2000006174657337"</f>
        <v>2000006174657337</v>
      </c>
      <c r="AH909" s="1" t="s">
        <v>58</v>
      </c>
      <c r="AI909" s="1" t="s">
        <v>59</v>
      </c>
      <c r="AJ909" s="1" t="s">
        <v>59</v>
      </c>
      <c r="AK909" s="1" t="s">
        <v>60</v>
      </c>
      <c r="AL909" s="1" t="s">
        <v>60</v>
      </c>
      <c r="AW909" s="1" t="s">
        <v>88</v>
      </c>
      <c r="AY909" s="1">
        <v>1.0</v>
      </c>
      <c r="AZ909" s="1">
        <v>64.99</v>
      </c>
      <c r="BB909" s="1">
        <v>64.99</v>
      </c>
    </row>
    <row r="910">
      <c r="A910" s="1" t="s">
        <v>567</v>
      </c>
      <c r="C910" s="1" t="s">
        <v>56</v>
      </c>
      <c r="D910" s="1" t="s">
        <v>1705</v>
      </c>
      <c r="Y910" s="2">
        <v>45518.0</v>
      </c>
      <c r="AE910" s="1">
        <v>44.99</v>
      </c>
      <c r="AG910" s="3" t="str">
        <f>"2000006174653707"</f>
        <v>2000006174653707</v>
      </c>
      <c r="AH910" s="1" t="s">
        <v>58</v>
      </c>
      <c r="AI910" s="1" t="s">
        <v>59</v>
      </c>
      <c r="AJ910" s="1" t="s">
        <v>59</v>
      </c>
      <c r="AK910" s="1" t="s">
        <v>60</v>
      </c>
      <c r="AL910" s="1" t="s">
        <v>60</v>
      </c>
      <c r="AW910" s="1" t="s">
        <v>569</v>
      </c>
      <c r="AY910" s="1">
        <v>1.0</v>
      </c>
      <c r="AZ910" s="1">
        <v>44.99</v>
      </c>
      <c r="BB910" s="1">
        <v>44.99</v>
      </c>
    </row>
    <row r="911">
      <c r="A911" s="1" t="s">
        <v>1034</v>
      </c>
      <c r="C911" s="1" t="s">
        <v>56</v>
      </c>
      <c r="D911" s="1" t="s">
        <v>1706</v>
      </c>
      <c r="Y911" s="2">
        <v>45518.0</v>
      </c>
      <c r="AE911" s="1">
        <v>69.98</v>
      </c>
      <c r="AG911" s="3" t="str">
        <f>"2000009035650012"</f>
        <v>2000009035650012</v>
      </c>
      <c r="AH911" s="1" t="s">
        <v>58</v>
      </c>
      <c r="AI911" s="1" t="s">
        <v>59</v>
      </c>
      <c r="AJ911" s="1" t="s">
        <v>59</v>
      </c>
      <c r="AK911" s="1" t="s">
        <v>60</v>
      </c>
      <c r="AL911" s="1" t="s">
        <v>60</v>
      </c>
      <c r="AW911" s="1" t="s">
        <v>1036</v>
      </c>
      <c r="AY911" s="1">
        <v>1.0</v>
      </c>
      <c r="AZ911" s="1">
        <v>69.98</v>
      </c>
      <c r="BB911" s="1">
        <v>69.98</v>
      </c>
    </row>
    <row r="912">
      <c r="A912" s="1" t="s">
        <v>1707</v>
      </c>
      <c r="C912" s="1" t="s">
        <v>56</v>
      </c>
      <c r="D912" s="1" t="s">
        <v>1708</v>
      </c>
      <c r="Y912" s="2">
        <v>45518.0</v>
      </c>
      <c r="AE912" s="1">
        <v>54.99</v>
      </c>
      <c r="AG912" s="3" t="str">
        <f>"2000006174606571"</f>
        <v>2000006174606571</v>
      </c>
      <c r="AH912" s="1" t="s">
        <v>58</v>
      </c>
      <c r="AI912" s="1" t="s">
        <v>59</v>
      </c>
      <c r="AJ912" s="1" t="s">
        <v>59</v>
      </c>
      <c r="AK912" s="1" t="s">
        <v>60</v>
      </c>
      <c r="AL912" s="1" t="s">
        <v>60</v>
      </c>
      <c r="AW912" s="1" t="s">
        <v>1709</v>
      </c>
      <c r="AY912" s="1">
        <v>1.0</v>
      </c>
      <c r="AZ912" s="1">
        <v>54.99</v>
      </c>
      <c r="BB912" s="1">
        <v>54.99</v>
      </c>
    </row>
    <row r="913">
      <c r="A913" s="1" t="s">
        <v>185</v>
      </c>
      <c r="C913" s="1" t="s">
        <v>56</v>
      </c>
      <c r="D913" s="1" t="s">
        <v>1710</v>
      </c>
      <c r="Y913" s="2">
        <v>45518.0</v>
      </c>
      <c r="AE913" s="1">
        <v>124.99</v>
      </c>
      <c r="AG913" s="3" t="str">
        <f>"2000006174634875"</f>
        <v>2000006174634875</v>
      </c>
      <c r="AH913" s="1" t="s">
        <v>58</v>
      </c>
      <c r="AI913" s="1" t="s">
        <v>59</v>
      </c>
      <c r="AJ913" s="1" t="s">
        <v>59</v>
      </c>
      <c r="AK913" s="1" t="s">
        <v>60</v>
      </c>
      <c r="AL913" s="1" t="s">
        <v>60</v>
      </c>
      <c r="AW913" s="1" t="s">
        <v>187</v>
      </c>
      <c r="AY913" s="1">
        <v>1.0</v>
      </c>
      <c r="AZ913" s="1">
        <v>124.99</v>
      </c>
      <c r="BB913" s="1">
        <v>124.99</v>
      </c>
    </row>
    <row r="914">
      <c r="A914" s="1" t="s">
        <v>1336</v>
      </c>
      <c r="C914" s="1" t="s">
        <v>56</v>
      </c>
      <c r="D914" s="1" t="s">
        <v>1711</v>
      </c>
      <c r="Y914" s="2">
        <v>45518.0</v>
      </c>
      <c r="AE914" s="1">
        <v>49.99</v>
      </c>
      <c r="AG914" s="3" t="str">
        <f>"2000006174630979"</f>
        <v>2000006174630979</v>
      </c>
      <c r="AH914" s="1" t="s">
        <v>58</v>
      </c>
      <c r="AI914" s="1" t="s">
        <v>59</v>
      </c>
      <c r="AJ914" s="1" t="s">
        <v>59</v>
      </c>
      <c r="AK914" s="1" t="s">
        <v>60</v>
      </c>
      <c r="AL914" s="1" t="s">
        <v>60</v>
      </c>
      <c r="AW914" s="1" t="s">
        <v>1338</v>
      </c>
      <c r="AY914" s="1">
        <v>1.0</v>
      </c>
      <c r="AZ914" s="1">
        <v>49.99</v>
      </c>
      <c r="BB914" s="1">
        <v>49.99</v>
      </c>
    </row>
    <row r="915">
      <c r="A915" s="1" t="s">
        <v>1148</v>
      </c>
      <c r="C915" s="1" t="s">
        <v>56</v>
      </c>
      <c r="D915" s="1" t="s">
        <v>1712</v>
      </c>
      <c r="Y915" s="2">
        <v>45518.0</v>
      </c>
      <c r="AE915" s="1">
        <v>259.96</v>
      </c>
      <c r="AG915" s="3" t="str">
        <f>"2000006174618117"</f>
        <v>2000006174618117</v>
      </c>
      <c r="AH915" s="1" t="s">
        <v>58</v>
      </c>
      <c r="AI915" s="1" t="s">
        <v>59</v>
      </c>
      <c r="AJ915" s="1" t="s">
        <v>59</v>
      </c>
      <c r="AK915" s="1" t="s">
        <v>60</v>
      </c>
      <c r="AL915" s="1" t="s">
        <v>60</v>
      </c>
      <c r="AW915" s="1" t="s">
        <v>1150</v>
      </c>
      <c r="AY915" s="1">
        <v>4.0</v>
      </c>
      <c r="AZ915" s="1">
        <v>64.99</v>
      </c>
      <c r="BB915" s="1">
        <v>259.96</v>
      </c>
    </row>
    <row r="916">
      <c r="A916" s="1" t="s">
        <v>1713</v>
      </c>
      <c r="C916" s="1" t="s">
        <v>56</v>
      </c>
      <c r="D916" s="1" t="s">
        <v>1199</v>
      </c>
      <c r="Y916" s="2">
        <v>45518.0</v>
      </c>
      <c r="AE916" s="1">
        <v>119.99</v>
      </c>
      <c r="AG916" s="3" t="str">
        <f>"2000006174612325"</f>
        <v>2000006174612325</v>
      </c>
      <c r="AH916" s="1" t="s">
        <v>58</v>
      </c>
      <c r="AI916" s="1" t="s">
        <v>59</v>
      </c>
      <c r="AJ916" s="1" t="s">
        <v>59</v>
      </c>
      <c r="AK916" s="1" t="s">
        <v>60</v>
      </c>
      <c r="AL916" s="1" t="s">
        <v>60</v>
      </c>
      <c r="AW916" s="1" t="s">
        <v>1714</v>
      </c>
      <c r="AY916" s="1">
        <v>1.0</v>
      </c>
      <c r="AZ916" s="1">
        <v>119.99</v>
      </c>
      <c r="BB916" s="1">
        <v>119.99</v>
      </c>
    </row>
    <row r="917">
      <c r="A917" s="1" t="s">
        <v>1148</v>
      </c>
      <c r="C917" s="1" t="s">
        <v>56</v>
      </c>
      <c r="D917" s="1" t="s">
        <v>1715</v>
      </c>
      <c r="Y917" s="2">
        <v>45518.0</v>
      </c>
      <c r="AE917" s="1">
        <v>64.99</v>
      </c>
      <c r="AG917" s="3" t="str">
        <f>"2000006174529745"</f>
        <v>2000006174529745</v>
      </c>
      <c r="AH917" s="1" t="s">
        <v>58</v>
      </c>
      <c r="AI917" s="1" t="s">
        <v>59</v>
      </c>
      <c r="AJ917" s="1" t="s">
        <v>59</v>
      </c>
      <c r="AK917" s="1" t="s">
        <v>60</v>
      </c>
      <c r="AL917" s="1" t="s">
        <v>60</v>
      </c>
      <c r="AW917" s="1" t="s">
        <v>1150</v>
      </c>
      <c r="AY917" s="1">
        <v>1.0</v>
      </c>
      <c r="AZ917" s="1">
        <v>64.99</v>
      </c>
      <c r="BB917" s="1">
        <v>64.99</v>
      </c>
    </row>
    <row r="918">
      <c r="A918" s="1" t="s">
        <v>1716</v>
      </c>
      <c r="C918" s="1" t="s">
        <v>56</v>
      </c>
      <c r="D918" s="1" t="s">
        <v>1717</v>
      </c>
      <c r="Y918" s="2">
        <v>45518.0</v>
      </c>
      <c r="AE918" s="1">
        <v>64.99</v>
      </c>
      <c r="AG918" s="3" t="str">
        <f>"2000006174509053"</f>
        <v>2000006174509053</v>
      </c>
      <c r="AH918" s="1" t="s">
        <v>58</v>
      </c>
      <c r="AI918" s="1" t="s">
        <v>59</v>
      </c>
      <c r="AJ918" s="1" t="s">
        <v>59</v>
      </c>
      <c r="AK918" s="1" t="s">
        <v>60</v>
      </c>
      <c r="AL918" s="1" t="s">
        <v>60</v>
      </c>
      <c r="AW918" s="1" t="s">
        <v>1718</v>
      </c>
      <c r="AY918" s="1">
        <v>1.0</v>
      </c>
      <c r="AZ918" s="1">
        <v>64.99</v>
      </c>
      <c r="BB918" s="1">
        <v>64.99</v>
      </c>
    </row>
    <row r="919">
      <c r="A919" s="1" t="s">
        <v>1713</v>
      </c>
      <c r="C919" s="1" t="s">
        <v>56</v>
      </c>
      <c r="D919" s="1" t="s">
        <v>1719</v>
      </c>
      <c r="Y919" s="2">
        <v>45518.0</v>
      </c>
      <c r="AE919" s="1">
        <v>119.99</v>
      </c>
      <c r="AG919" s="3" t="str">
        <f>"2000006174503203"</f>
        <v>2000006174503203</v>
      </c>
      <c r="AH919" s="1" t="s">
        <v>58</v>
      </c>
      <c r="AI919" s="1" t="s">
        <v>59</v>
      </c>
      <c r="AJ919" s="1" t="s">
        <v>59</v>
      </c>
      <c r="AK919" s="1" t="s">
        <v>60</v>
      </c>
      <c r="AL919" s="1" t="s">
        <v>60</v>
      </c>
      <c r="AW919" s="1" t="s">
        <v>1714</v>
      </c>
      <c r="AY919" s="1">
        <v>1.0</v>
      </c>
      <c r="AZ919" s="1">
        <v>119.99</v>
      </c>
      <c r="BB919" s="1">
        <v>119.99</v>
      </c>
    </row>
    <row r="920">
      <c r="A920" s="1" t="s">
        <v>1134</v>
      </c>
      <c r="C920" s="1" t="s">
        <v>56</v>
      </c>
      <c r="D920" s="1" t="s">
        <v>1720</v>
      </c>
      <c r="Y920" s="2">
        <v>45518.0</v>
      </c>
      <c r="AE920" s="1">
        <v>49.99</v>
      </c>
      <c r="AG920" s="3" t="str">
        <f>"2000006174487129"</f>
        <v>2000006174487129</v>
      </c>
      <c r="AH920" s="1" t="s">
        <v>58</v>
      </c>
      <c r="AI920" s="1" t="s">
        <v>59</v>
      </c>
      <c r="AJ920" s="1" t="s">
        <v>59</v>
      </c>
      <c r="AK920" s="1" t="s">
        <v>60</v>
      </c>
      <c r="AL920" s="1" t="s">
        <v>60</v>
      </c>
      <c r="AW920" s="1" t="s">
        <v>1136</v>
      </c>
      <c r="AY920" s="1">
        <v>1.0</v>
      </c>
      <c r="AZ920" s="1">
        <v>49.99</v>
      </c>
      <c r="BB920" s="1">
        <v>49.99</v>
      </c>
    </row>
    <row r="921">
      <c r="A921" s="1" t="s">
        <v>195</v>
      </c>
      <c r="C921" s="1" t="s">
        <v>56</v>
      </c>
      <c r="D921" s="1" t="s">
        <v>1721</v>
      </c>
      <c r="Y921" s="2">
        <v>45518.0</v>
      </c>
      <c r="AE921" s="1">
        <v>47.99</v>
      </c>
      <c r="AG921" s="3" t="str">
        <f>"2000006174434975"</f>
        <v>2000006174434975</v>
      </c>
      <c r="AH921" s="1" t="s">
        <v>58</v>
      </c>
      <c r="AI921" s="1" t="s">
        <v>59</v>
      </c>
      <c r="AJ921" s="1" t="s">
        <v>59</v>
      </c>
      <c r="AK921" s="1" t="s">
        <v>60</v>
      </c>
      <c r="AL921" s="1" t="s">
        <v>60</v>
      </c>
      <c r="AW921" s="1" t="s">
        <v>197</v>
      </c>
      <c r="AY921" s="1">
        <v>1.0</v>
      </c>
      <c r="AZ921" s="1">
        <v>47.99</v>
      </c>
      <c r="BB921" s="1">
        <v>47.99</v>
      </c>
    </row>
    <row r="922">
      <c r="A922" s="1" t="s">
        <v>1336</v>
      </c>
      <c r="C922" s="1" t="s">
        <v>56</v>
      </c>
      <c r="D922" s="1" t="s">
        <v>1722</v>
      </c>
      <c r="Y922" s="2">
        <v>45518.0</v>
      </c>
      <c r="AE922" s="1">
        <v>49.99</v>
      </c>
      <c r="AG922" s="3" t="str">
        <f>"2000006174385801"</f>
        <v>2000006174385801</v>
      </c>
      <c r="AH922" s="1" t="s">
        <v>58</v>
      </c>
      <c r="AI922" s="1" t="s">
        <v>59</v>
      </c>
      <c r="AJ922" s="1" t="s">
        <v>59</v>
      </c>
      <c r="AK922" s="1" t="s">
        <v>60</v>
      </c>
      <c r="AL922" s="1" t="s">
        <v>60</v>
      </c>
      <c r="AW922" s="1" t="s">
        <v>1338</v>
      </c>
      <c r="AY922" s="1">
        <v>1.0</v>
      </c>
      <c r="AZ922" s="1">
        <v>49.99</v>
      </c>
      <c r="BB922" s="1">
        <v>49.99</v>
      </c>
    </row>
    <row r="923">
      <c r="A923" s="1" t="s">
        <v>1051</v>
      </c>
      <c r="C923" s="1" t="s">
        <v>56</v>
      </c>
      <c r="D923" s="1" t="s">
        <v>1723</v>
      </c>
      <c r="Y923" s="2">
        <v>45518.0</v>
      </c>
      <c r="AE923" s="1">
        <v>69.99</v>
      </c>
      <c r="AG923" s="3" t="str">
        <f>"2000006174402031"</f>
        <v>2000006174402031</v>
      </c>
      <c r="AH923" s="1" t="s">
        <v>58</v>
      </c>
      <c r="AI923" s="1" t="s">
        <v>59</v>
      </c>
      <c r="AJ923" s="1" t="s">
        <v>59</v>
      </c>
      <c r="AK923" s="1" t="s">
        <v>60</v>
      </c>
      <c r="AL923" s="1" t="s">
        <v>60</v>
      </c>
      <c r="AW923" s="1" t="s">
        <v>1053</v>
      </c>
      <c r="AY923" s="1">
        <v>1.0</v>
      </c>
      <c r="AZ923" s="1">
        <v>69.99</v>
      </c>
      <c r="BB923" s="1">
        <v>69.99</v>
      </c>
    </row>
    <row r="924">
      <c r="A924" s="1" t="s">
        <v>1724</v>
      </c>
      <c r="C924" s="1" t="s">
        <v>56</v>
      </c>
      <c r="D924" s="1" t="s">
        <v>1725</v>
      </c>
      <c r="Y924" s="2">
        <v>45518.0</v>
      </c>
      <c r="AE924" s="1">
        <v>129.99</v>
      </c>
      <c r="AG924" s="3" t="str">
        <f>"2000006174394113"</f>
        <v>2000006174394113</v>
      </c>
      <c r="AH924" s="1" t="s">
        <v>58</v>
      </c>
      <c r="AI924" s="1" t="s">
        <v>59</v>
      </c>
      <c r="AJ924" s="1" t="s">
        <v>59</v>
      </c>
      <c r="AK924" s="1" t="s">
        <v>60</v>
      </c>
      <c r="AL924" s="1" t="s">
        <v>60</v>
      </c>
      <c r="AW924" s="1" t="s">
        <v>1726</v>
      </c>
      <c r="AY924" s="1">
        <v>1.0</v>
      </c>
      <c r="AZ924" s="1">
        <v>129.99</v>
      </c>
      <c r="BB924" s="1">
        <v>129.99</v>
      </c>
    </row>
    <row r="925">
      <c r="A925" s="1" t="s">
        <v>1727</v>
      </c>
      <c r="C925" s="1" t="s">
        <v>56</v>
      </c>
      <c r="D925" s="1" t="s">
        <v>1728</v>
      </c>
      <c r="Y925" s="2">
        <v>45518.0</v>
      </c>
      <c r="AE925" s="1">
        <v>549.99</v>
      </c>
      <c r="AG925" s="3" t="str">
        <f>"2000009035175574"</f>
        <v>2000009035175574</v>
      </c>
      <c r="AH925" s="1" t="s">
        <v>58</v>
      </c>
      <c r="AI925" s="1" t="s">
        <v>59</v>
      </c>
      <c r="AJ925" s="1" t="s">
        <v>59</v>
      </c>
      <c r="AK925" s="1" t="s">
        <v>60</v>
      </c>
      <c r="AL925" s="1" t="s">
        <v>60</v>
      </c>
      <c r="AW925" s="1" t="s">
        <v>1729</v>
      </c>
      <c r="AY925" s="1">
        <v>1.0</v>
      </c>
      <c r="AZ925" s="1">
        <v>549.99</v>
      </c>
      <c r="BB925" s="1">
        <v>549.99</v>
      </c>
    </row>
    <row r="926">
      <c r="A926" s="1" t="s">
        <v>1730</v>
      </c>
      <c r="C926" s="1" t="s">
        <v>56</v>
      </c>
      <c r="D926" s="1" t="s">
        <v>1731</v>
      </c>
      <c r="Y926" s="2">
        <v>45518.0</v>
      </c>
      <c r="AE926" s="1">
        <v>59.99</v>
      </c>
      <c r="AG926" s="3" t="str">
        <f>"2000009035053422"</f>
        <v>2000009035053422</v>
      </c>
      <c r="AH926" s="1" t="s">
        <v>58</v>
      </c>
      <c r="AI926" s="1" t="s">
        <v>59</v>
      </c>
      <c r="AJ926" s="1" t="s">
        <v>59</v>
      </c>
      <c r="AK926" s="1" t="s">
        <v>60</v>
      </c>
      <c r="AL926" s="1" t="s">
        <v>60</v>
      </c>
      <c r="AW926" s="1" t="s">
        <v>516</v>
      </c>
      <c r="AY926" s="1">
        <v>1.0</v>
      </c>
      <c r="AZ926" s="1">
        <v>59.99</v>
      </c>
      <c r="BB926" s="1">
        <v>59.99</v>
      </c>
    </row>
    <row r="927">
      <c r="A927" s="1" t="s">
        <v>283</v>
      </c>
      <c r="C927" s="1" t="s">
        <v>56</v>
      </c>
      <c r="D927" s="1" t="s">
        <v>1732</v>
      </c>
      <c r="Y927" s="2">
        <v>45518.0</v>
      </c>
      <c r="AE927" s="1">
        <v>499.99</v>
      </c>
      <c r="AG927" s="3" t="str">
        <f>"2000006174302319"</f>
        <v>2000006174302319</v>
      </c>
      <c r="AH927" s="1" t="s">
        <v>58</v>
      </c>
      <c r="AI927" s="1" t="s">
        <v>59</v>
      </c>
      <c r="AJ927" s="1" t="s">
        <v>59</v>
      </c>
      <c r="AK927" s="1" t="s">
        <v>60</v>
      </c>
      <c r="AL927" s="1" t="s">
        <v>60</v>
      </c>
      <c r="AW927" s="1" t="s">
        <v>285</v>
      </c>
      <c r="AY927" s="1">
        <v>1.0</v>
      </c>
      <c r="AZ927" s="1">
        <v>499.99</v>
      </c>
      <c r="BB927" s="1">
        <v>499.99</v>
      </c>
    </row>
    <row r="928">
      <c r="A928" s="1" t="s">
        <v>160</v>
      </c>
      <c r="C928" s="1" t="s">
        <v>56</v>
      </c>
      <c r="D928" s="1" t="s">
        <v>1733</v>
      </c>
      <c r="Y928" s="2">
        <v>45518.0</v>
      </c>
      <c r="AE928" s="1">
        <v>89.99</v>
      </c>
      <c r="AG928" s="3" t="str">
        <f>"2000006173972119"</f>
        <v>2000006173972119</v>
      </c>
      <c r="AH928" s="1" t="s">
        <v>58</v>
      </c>
      <c r="AI928" s="1" t="s">
        <v>59</v>
      </c>
      <c r="AJ928" s="1" t="s">
        <v>59</v>
      </c>
      <c r="AK928" s="1" t="s">
        <v>60</v>
      </c>
      <c r="AL928" s="1" t="s">
        <v>60</v>
      </c>
      <c r="AW928" s="1" t="s">
        <v>162</v>
      </c>
      <c r="AY928" s="1">
        <v>1.0</v>
      </c>
      <c r="AZ928" s="1">
        <v>89.99</v>
      </c>
      <c r="BB928" s="1">
        <v>89.99</v>
      </c>
    </row>
    <row r="929">
      <c r="A929" s="1" t="s">
        <v>1734</v>
      </c>
      <c r="C929" s="1" t="s">
        <v>56</v>
      </c>
      <c r="D929" s="1" t="s">
        <v>1735</v>
      </c>
      <c r="Y929" s="2">
        <v>45518.0</v>
      </c>
      <c r="AE929" s="1">
        <v>159.99</v>
      </c>
      <c r="AG929" s="3" t="str">
        <f>"2000009034999022"</f>
        <v>2000009034999022</v>
      </c>
      <c r="AH929" s="1" t="s">
        <v>58</v>
      </c>
      <c r="AI929" s="1" t="s">
        <v>59</v>
      </c>
      <c r="AJ929" s="1" t="s">
        <v>59</v>
      </c>
      <c r="AK929" s="1" t="s">
        <v>60</v>
      </c>
      <c r="AL929" s="1" t="s">
        <v>60</v>
      </c>
      <c r="AW929" s="1" t="s">
        <v>1736</v>
      </c>
      <c r="AY929" s="1">
        <v>1.0</v>
      </c>
      <c r="AZ929" s="1">
        <v>159.99</v>
      </c>
      <c r="BB929" s="1">
        <v>159.99</v>
      </c>
    </row>
    <row r="930">
      <c r="A930" s="1" t="s">
        <v>283</v>
      </c>
      <c r="C930" s="1" t="s">
        <v>235</v>
      </c>
      <c r="D930" s="1" t="s">
        <v>1737</v>
      </c>
      <c r="Y930" s="2">
        <v>45518.0</v>
      </c>
      <c r="AE930" s="1">
        <v>499.99</v>
      </c>
      <c r="AG930" s="3" t="str">
        <f>"2000006172969387"</f>
        <v>2000006172969387</v>
      </c>
      <c r="AH930" s="1" t="s">
        <v>58</v>
      </c>
      <c r="AI930" s="1" t="s">
        <v>59</v>
      </c>
      <c r="AJ930" s="1" t="s">
        <v>59</v>
      </c>
      <c r="AK930" s="1" t="s">
        <v>60</v>
      </c>
      <c r="AL930" s="1" t="s">
        <v>60</v>
      </c>
      <c r="AW930" s="1" t="s">
        <v>285</v>
      </c>
      <c r="AY930" s="1">
        <v>1.0</v>
      </c>
      <c r="AZ930" s="1">
        <v>499.99</v>
      </c>
      <c r="BB930" s="1">
        <v>499.99</v>
      </c>
    </row>
    <row r="931">
      <c r="A931" s="1" t="s">
        <v>602</v>
      </c>
      <c r="C931" s="1" t="s">
        <v>56</v>
      </c>
      <c r="D931" s="1" t="s">
        <v>1738</v>
      </c>
      <c r="Y931" s="2">
        <v>45518.0</v>
      </c>
      <c r="AE931" s="1">
        <v>84.99</v>
      </c>
      <c r="AG931" s="3" t="str">
        <f>"2000006174246895"</f>
        <v>2000006174246895</v>
      </c>
      <c r="AH931" s="1" t="s">
        <v>58</v>
      </c>
      <c r="AI931" s="1" t="s">
        <v>59</v>
      </c>
      <c r="AJ931" s="1" t="s">
        <v>59</v>
      </c>
      <c r="AK931" s="1" t="s">
        <v>60</v>
      </c>
      <c r="AL931" s="1" t="s">
        <v>60</v>
      </c>
      <c r="AW931" s="1" t="s">
        <v>604</v>
      </c>
      <c r="AY931" s="1">
        <v>1.0</v>
      </c>
      <c r="AZ931" s="1">
        <v>84.99</v>
      </c>
      <c r="BB931" s="1">
        <v>84.99</v>
      </c>
    </row>
    <row r="932">
      <c r="A932" s="1" t="s">
        <v>1497</v>
      </c>
      <c r="C932" s="1" t="s">
        <v>56</v>
      </c>
      <c r="D932" s="1" t="s">
        <v>1739</v>
      </c>
      <c r="Y932" s="2">
        <v>45518.0</v>
      </c>
      <c r="AE932" s="1">
        <v>89.99</v>
      </c>
      <c r="AG932" s="3" t="str">
        <f>"2000006174232581"</f>
        <v>2000006174232581</v>
      </c>
      <c r="AH932" s="1" t="s">
        <v>58</v>
      </c>
      <c r="AI932" s="1" t="s">
        <v>59</v>
      </c>
      <c r="AJ932" s="1" t="s">
        <v>59</v>
      </c>
      <c r="AK932" s="1" t="s">
        <v>60</v>
      </c>
      <c r="AL932" s="1" t="s">
        <v>60</v>
      </c>
      <c r="AW932" s="1" t="s">
        <v>1499</v>
      </c>
      <c r="AY932" s="1">
        <v>1.0</v>
      </c>
      <c r="AZ932" s="1">
        <v>89.99</v>
      </c>
      <c r="BB932" s="1">
        <v>89.99</v>
      </c>
    </row>
    <row r="933">
      <c r="A933" s="1" t="s">
        <v>280</v>
      </c>
      <c r="C933" s="1" t="s">
        <v>56</v>
      </c>
      <c r="D933" s="1" t="s">
        <v>1740</v>
      </c>
      <c r="Y933" s="2">
        <v>45518.0</v>
      </c>
      <c r="AE933" s="1">
        <v>119.99</v>
      </c>
      <c r="AG933" s="3" t="str">
        <f>"2000006174202071"</f>
        <v>2000006174202071</v>
      </c>
      <c r="AH933" s="1" t="s">
        <v>58</v>
      </c>
      <c r="AI933" s="1" t="s">
        <v>59</v>
      </c>
      <c r="AJ933" s="1" t="s">
        <v>59</v>
      </c>
      <c r="AK933" s="1" t="s">
        <v>60</v>
      </c>
      <c r="AL933" s="1" t="s">
        <v>60</v>
      </c>
      <c r="AW933" s="1" t="s">
        <v>282</v>
      </c>
      <c r="AY933" s="1">
        <v>1.0</v>
      </c>
      <c r="AZ933" s="1">
        <v>119.99</v>
      </c>
      <c r="BB933" s="1">
        <v>119.99</v>
      </c>
    </row>
    <row r="934">
      <c r="A934" s="1" t="s">
        <v>1155</v>
      </c>
      <c r="C934" s="1" t="s">
        <v>56</v>
      </c>
      <c r="D934" s="1" t="s">
        <v>1741</v>
      </c>
      <c r="Y934" s="2">
        <v>45518.0</v>
      </c>
      <c r="AE934" s="1">
        <v>99.99</v>
      </c>
      <c r="AG934" s="3" t="str">
        <f>"2000006174130165"</f>
        <v>2000006174130165</v>
      </c>
      <c r="AH934" s="1" t="s">
        <v>58</v>
      </c>
      <c r="AI934" s="1" t="s">
        <v>59</v>
      </c>
      <c r="AJ934" s="1" t="s">
        <v>59</v>
      </c>
      <c r="AK934" s="1" t="s">
        <v>60</v>
      </c>
      <c r="AL934" s="1" t="s">
        <v>60</v>
      </c>
      <c r="AW934" s="1" t="s">
        <v>1157</v>
      </c>
      <c r="AY934" s="1">
        <v>1.0</v>
      </c>
      <c r="AZ934" s="1">
        <v>99.99</v>
      </c>
      <c r="BB934" s="1">
        <v>99.99</v>
      </c>
    </row>
    <row r="935">
      <c r="A935" s="1" t="s">
        <v>1742</v>
      </c>
      <c r="C935" s="1" t="s">
        <v>56</v>
      </c>
      <c r="D935" s="1" t="s">
        <v>1743</v>
      </c>
      <c r="Y935" s="2">
        <v>45518.0</v>
      </c>
      <c r="AE935" s="1">
        <v>109.99</v>
      </c>
      <c r="AG935" s="3" t="str">
        <f>"2000006174062879"</f>
        <v>2000006174062879</v>
      </c>
      <c r="AH935" s="1" t="s">
        <v>58</v>
      </c>
      <c r="AI935" s="1" t="s">
        <v>59</v>
      </c>
      <c r="AJ935" s="1" t="s">
        <v>59</v>
      </c>
      <c r="AK935" s="1" t="s">
        <v>60</v>
      </c>
      <c r="AL935" s="1" t="s">
        <v>60</v>
      </c>
      <c r="AW935" s="1" t="s">
        <v>1744</v>
      </c>
      <c r="AY935" s="1">
        <v>1.0</v>
      </c>
      <c r="AZ935" s="1">
        <v>109.99</v>
      </c>
      <c r="BB935" s="1">
        <v>109.99</v>
      </c>
    </row>
    <row r="936">
      <c r="A936" s="1" t="s">
        <v>236</v>
      </c>
      <c r="C936" s="1" t="s">
        <v>56</v>
      </c>
      <c r="D936" s="1" t="s">
        <v>1745</v>
      </c>
      <c r="Y936" s="2">
        <v>45518.0</v>
      </c>
      <c r="AE936" s="1">
        <v>119.99</v>
      </c>
      <c r="AG936" s="3" t="str">
        <f>"2000006174073431"</f>
        <v>2000006174073431</v>
      </c>
      <c r="AH936" s="1" t="s">
        <v>58</v>
      </c>
      <c r="AI936" s="1" t="s">
        <v>59</v>
      </c>
      <c r="AJ936" s="1" t="s">
        <v>59</v>
      </c>
      <c r="AK936" s="1" t="s">
        <v>60</v>
      </c>
      <c r="AL936" s="1" t="s">
        <v>60</v>
      </c>
      <c r="AW936" s="1" t="s">
        <v>238</v>
      </c>
      <c r="AY936" s="1">
        <v>1.0</v>
      </c>
      <c r="AZ936" s="1">
        <v>119.99</v>
      </c>
      <c r="BB936" s="1">
        <v>119.99</v>
      </c>
    </row>
    <row r="937">
      <c r="A937" s="1" t="s">
        <v>305</v>
      </c>
      <c r="C937" s="1" t="s">
        <v>56</v>
      </c>
      <c r="D937" s="1" t="s">
        <v>1746</v>
      </c>
      <c r="Y937" s="2">
        <v>45518.0</v>
      </c>
      <c r="AE937" s="1">
        <v>79.98</v>
      </c>
      <c r="AG937" s="3" t="str">
        <f>"2000006174100119"</f>
        <v>2000006174100119</v>
      </c>
      <c r="AH937" s="1" t="s">
        <v>58</v>
      </c>
      <c r="AI937" s="1" t="s">
        <v>59</v>
      </c>
      <c r="AJ937" s="1" t="s">
        <v>59</v>
      </c>
      <c r="AK937" s="1" t="s">
        <v>60</v>
      </c>
      <c r="AL937" s="1" t="s">
        <v>60</v>
      </c>
      <c r="AW937" s="1" t="s">
        <v>306</v>
      </c>
      <c r="AY937" s="1">
        <v>2.0</v>
      </c>
      <c r="AZ937" s="1">
        <v>39.99</v>
      </c>
      <c r="BB937" s="1">
        <v>79.98</v>
      </c>
    </row>
    <row r="938">
      <c r="A938" s="1" t="s">
        <v>1060</v>
      </c>
      <c r="C938" s="1" t="s">
        <v>56</v>
      </c>
      <c r="D938" s="1" t="s">
        <v>1747</v>
      </c>
      <c r="Y938" s="2">
        <v>45518.0</v>
      </c>
      <c r="AE938" s="1">
        <v>64.48</v>
      </c>
      <c r="AG938" s="3" t="str">
        <f>"2000009034637914"</f>
        <v>2000009034637914</v>
      </c>
      <c r="AH938" s="1" t="s">
        <v>58</v>
      </c>
      <c r="AI938" s="1" t="s">
        <v>59</v>
      </c>
      <c r="AJ938" s="1" t="s">
        <v>59</v>
      </c>
      <c r="AK938" s="1" t="s">
        <v>60</v>
      </c>
      <c r="AL938" s="1" t="s">
        <v>60</v>
      </c>
      <c r="AW938" s="1" t="s">
        <v>1062</v>
      </c>
      <c r="AY938" s="1">
        <v>1.0</v>
      </c>
      <c r="AZ938" s="1">
        <v>64.48</v>
      </c>
      <c r="BB938" s="1">
        <v>64.48</v>
      </c>
    </row>
    <row r="939">
      <c r="A939" s="1" t="s">
        <v>1748</v>
      </c>
      <c r="C939" s="1" t="s">
        <v>56</v>
      </c>
      <c r="D939" s="1" t="s">
        <v>1749</v>
      </c>
      <c r="Y939" s="2">
        <v>45518.0</v>
      </c>
      <c r="AE939" s="1">
        <v>69.99</v>
      </c>
      <c r="AG939" s="3" t="str">
        <f>"2000006174005563"</f>
        <v>2000006174005563</v>
      </c>
      <c r="AH939" s="1" t="s">
        <v>58</v>
      </c>
      <c r="AI939" s="1" t="s">
        <v>59</v>
      </c>
      <c r="AJ939" s="1" t="s">
        <v>59</v>
      </c>
      <c r="AK939" s="1" t="s">
        <v>60</v>
      </c>
      <c r="AL939" s="1" t="s">
        <v>60</v>
      </c>
      <c r="AW939" s="1" t="s">
        <v>1750</v>
      </c>
      <c r="AY939" s="1">
        <v>1.0</v>
      </c>
      <c r="AZ939" s="1">
        <v>69.99</v>
      </c>
      <c r="BB939" s="1">
        <v>69.99</v>
      </c>
    </row>
    <row r="940">
      <c r="A940" s="1" t="s">
        <v>108</v>
      </c>
      <c r="C940" s="1" t="s">
        <v>56</v>
      </c>
      <c r="D940" s="1" t="s">
        <v>1751</v>
      </c>
      <c r="Y940" s="2">
        <v>45518.0</v>
      </c>
      <c r="AE940" s="1">
        <v>58.99</v>
      </c>
      <c r="AG940" s="3" t="str">
        <f>"2000006173974007"</f>
        <v>2000006173974007</v>
      </c>
      <c r="AH940" s="1" t="s">
        <v>58</v>
      </c>
      <c r="AI940" s="1" t="s">
        <v>59</v>
      </c>
      <c r="AJ940" s="1" t="s">
        <v>59</v>
      </c>
      <c r="AK940" s="1" t="s">
        <v>60</v>
      </c>
      <c r="AL940" s="1" t="s">
        <v>60</v>
      </c>
      <c r="AW940" s="1" t="s">
        <v>110</v>
      </c>
      <c r="AY940" s="1">
        <v>1.0</v>
      </c>
      <c r="AZ940" s="1">
        <v>58.99</v>
      </c>
      <c r="BB940" s="1">
        <v>58.99</v>
      </c>
    </row>
    <row r="941">
      <c r="A941" s="1" t="s">
        <v>517</v>
      </c>
      <c r="C941" s="1" t="s">
        <v>56</v>
      </c>
      <c r="D941" s="1" t="s">
        <v>1752</v>
      </c>
      <c r="Y941" s="2">
        <v>45518.0</v>
      </c>
      <c r="AE941" s="1">
        <v>49.99</v>
      </c>
      <c r="AG941" s="3" t="str">
        <f>"2000009034422568"</f>
        <v>2000009034422568</v>
      </c>
      <c r="AH941" s="1" t="s">
        <v>58</v>
      </c>
      <c r="AI941" s="1" t="s">
        <v>59</v>
      </c>
      <c r="AJ941" s="1" t="s">
        <v>59</v>
      </c>
      <c r="AK941" s="1" t="s">
        <v>60</v>
      </c>
      <c r="AL941" s="1" t="s">
        <v>60</v>
      </c>
      <c r="AW941" s="1" t="s">
        <v>70</v>
      </c>
      <c r="AY941" s="1">
        <v>1.0</v>
      </c>
      <c r="AZ941" s="1">
        <v>49.99</v>
      </c>
      <c r="BB941" s="1">
        <v>49.99</v>
      </c>
    </row>
    <row r="942">
      <c r="A942" s="1" t="s">
        <v>236</v>
      </c>
      <c r="C942" s="1" t="s">
        <v>56</v>
      </c>
      <c r="D942" s="1" t="s">
        <v>1753</v>
      </c>
      <c r="Y942" s="2">
        <v>45518.0</v>
      </c>
      <c r="AE942" s="1">
        <v>119.99</v>
      </c>
      <c r="AG942" s="3" t="str">
        <f>"2000006173965785"</f>
        <v>2000006173965785</v>
      </c>
      <c r="AH942" s="1" t="s">
        <v>58</v>
      </c>
      <c r="AI942" s="1" t="s">
        <v>59</v>
      </c>
      <c r="AJ942" s="1" t="s">
        <v>59</v>
      </c>
      <c r="AK942" s="1" t="s">
        <v>60</v>
      </c>
      <c r="AL942" s="1" t="s">
        <v>60</v>
      </c>
      <c r="AW942" s="1" t="s">
        <v>238</v>
      </c>
      <c r="AY942" s="1">
        <v>1.0</v>
      </c>
      <c r="AZ942" s="1">
        <v>119.99</v>
      </c>
      <c r="BB942" s="1">
        <v>119.99</v>
      </c>
    </row>
    <row r="943">
      <c r="A943" s="1" t="s">
        <v>77</v>
      </c>
      <c r="C943" s="1" t="s">
        <v>56</v>
      </c>
      <c r="D943" s="1" t="s">
        <v>1754</v>
      </c>
      <c r="Y943" s="2">
        <v>45518.0</v>
      </c>
      <c r="AE943" s="1">
        <v>64.99</v>
      </c>
      <c r="AG943" s="3" t="str">
        <f>"2000006173894485"</f>
        <v>2000006173894485</v>
      </c>
      <c r="AH943" s="1" t="s">
        <v>58</v>
      </c>
      <c r="AI943" s="1" t="s">
        <v>59</v>
      </c>
      <c r="AJ943" s="1" t="s">
        <v>59</v>
      </c>
      <c r="AK943" s="1" t="s">
        <v>60</v>
      </c>
      <c r="AL943" s="1" t="s">
        <v>60</v>
      </c>
      <c r="AW943" s="1" t="s">
        <v>79</v>
      </c>
      <c r="AY943" s="1">
        <v>1.0</v>
      </c>
      <c r="AZ943" s="1">
        <v>64.99</v>
      </c>
      <c r="BB943" s="1">
        <v>64.99</v>
      </c>
    </row>
    <row r="944">
      <c r="A944" s="1" t="s">
        <v>1648</v>
      </c>
      <c r="C944" s="1" t="s">
        <v>56</v>
      </c>
      <c r="D944" s="1" t="s">
        <v>1755</v>
      </c>
      <c r="Y944" s="2">
        <v>45518.0</v>
      </c>
      <c r="AE944" s="1">
        <v>99.99</v>
      </c>
      <c r="AG944" s="3" t="str">
        <f>"2000006173831173"</f>
        <v>2000006173831173</v>
      </c>
      <c r="AH944" s="1" t="s">
        <v>58</v>
      </c>
      <c r="AI944" s="1" t="s">
        <v>59</v>
      </c>
      <c r="AJ944" s="1" t="s">
        <v>59</v>
      </c>
      <c r="AK944" s="1" t="s">
        <v>60</v>
      </c>
      <c r="AL944" s="1" t="s">
        <v>60</v>
      </c>
      <c r="AW944" s="1" t="s">
        <v>1650</v>
      </c>
      <c r="AY944" s="1">
        <v>1.0</v>
      </c>
      <c r="AZ944" s="1">
        <v>99.99</v>
      </c>
      <c r="BB944" s="1">
        <v>99.99</v>
      </c>
    </row>
    <row r="945">
      <c r="A945" s="1" t="s">
        <v>1474</v>
      </c>
      <c r="C945" s="1" t="s">
        <v>56</v>
      </c>
      <c r="D945" s="1" t="s">
        <v>1756</v>
      </c>
      <c r="Y945" s="2">
        <v>45518.0</v>
      </c>
      <c r="AE945" s="1">
        <v>84.99</v>
      </c>
      <c r="AG945" s="3" t="str">
        <f t="shared" ref="AG945:AG946" si="37">"2000006173703683"</f>
        <v>2000006173703683</v>
      </c>
      <c r="AH945" s="1" t="s">
        <v>58</v>
      </c>
      <c r="AI945" s="1" t="s">
        <v>59</v>
      </c>
      <c r="AJ945" s="1" t="s">
        <v>59</v>
      </c>
      <c r="AK945" s="1" t="s">
        <v>60</v>
      </c>
      <c r="AL945" s="1" t="s">
        <v>60</v>
      </c>
      <c r="AW945" s="1" t="s">
        <v>1476</v>
      </c>
      <c r="AY945" s="1">
        <v>1.0</v>
      </c>
      <c r="AZ945" s="1">
        <v>84.99</v>
      </c>
      <c r="BB945" s="1">
        <v>84.99</v>
      </c>
    </row>
    <row r="946">
      <c r="A946" s="1" t="s">
        <v>918</v>
      </c>
      <c r="C946" s="1" t="s">
        <v>56</v>
      </c>
      <c r="D946" s="1" t="s">
        <v>1756</v>
      </c>
      <c r="Y946" s="2">
        <v>45518.0</v>
      </c>
      <c r="AE946" s="1">
        <v>139.99</v>
      </c>
      <c r="AG946" s="3" t="str">
        <f t="shared" si="37"/>
        <v>2000006173703683</v>
      </c>
      <c r="AH946" s="1" t="s">
        <v>58</v>
      </c>
      <c r="AI946" s="1" t="s">
        <v>59</v>
      </c>
      <c r="AJ946" s="1" t="s">
        <v>59</v>
      </c>
      <c r="AK946" s="1" t="s">
        <v>60</v>
      </c>
      <c r="AL946" s="1" t="s">
        <v>60</v>
      </c>
      <c r="AW946" s="1" t="s">
        <v>920</v>
      </c>
      <c r="AY946" s="1">
        <v>1.0</v>
      </c>
      <c r="AZ946" s="1">
        <v>139.99</v>
      </c>
      <c r="BB946" s="1">
        <v>139.99</v>
      </c>
    </row>
    <row r="947">
      <c r="A947" s="1" t="s">
        <v>125</v>
      </c>
      <c r="C947" s="1" t="s">
        <v>56</v>
      </c>
      <c r="D947" s="1" t="s">
        <v>1757</v>
      </c>
      <c r="Y947" s="2">
        <v>45518.0</v>
      </c>
      <c r="AE947" s="1">
        <v>49.99</v>
      </c>
      <c r="AG947" s="3" t="str">
        <f>"2000006173583103"</f>
        <v>2000006173583103</v>
      </c>
      <c r="AH947" s="1" t="s">
        <v>58</v>
      </c>
      <c r="AI947" s="1" t="s">
        <v>59</v>
      </c>
      <c r="AJ947" s="1" t="s">
        <v>59</v>
      </c>
      <c r="AK947" s="1" t="s">
        <v>60</v>
      </c>
      <c r="AL947" s="1" t="s">
        <v>60</v>
      </c>
      <c r="AW947" s="1" t="s">
        <v>127</v>
      </c>
      <c r="AY947" s="1">
        <v>1.0</v>
      </c>
      <c r="AZ947" s="1">
        <v>49.99</v>
      </c>
      <c r="BB947" s="1">
        <v>49.99</v>
      </c>
    </row>
    <row r="948">
      <c r="A948" s="1" t="s">
        <v>593</v>
      </c>
      <c r="C948" s="1" t="s">
        <v>56</v>
      </c>
      <c r="D948" s="1" t="s">
        <v>1758</v>
      </c>
      <c r="Y948" s="2">
        <v>45518.0</v>
      </c>
      <c r="AE948" s="1">
        <v>64.99</v>
      </c>
      <c r="AG948" s="3" t="str">
        <f>"2000006173166899"</f>
        <v>2000006173166899</v>
      </c>
      <c r="AH948" s="1" t="s">
        <v>58</v>
      </c>
      <c r="AI948" s="1" t="s">
        <v>59</v>
      </c>
      <c r="AJ948" s="1" t="s">
        <v>59</v>
      </c>
      <c r="AK948" s="1" t="s">
        <v>60</v>
      </c>
      <c r="AL948" s="1" t="s">
        <v>60</v>
      </c>
      <c r="AW948" s="1" t="s">
        <v>595</v>
      </c>
      <c r="AY948" s="1">
        <v>1.0</v>
      </c>
      <c r="AZ948" s="1">
        <v>64.99</v>
      </c>
      <c r="BB948" s="1">
        <v>64.99</v>
      </c>
    </row>
    <row r="949">
      <c r="A949" s="1" t="s">
        <v>1759</v>
      </c>
      <c r="C949" s="1" t="s">
        <v>56</v>
      </c>
      <c r="D949" s="1" t="s">
        <v>1760</v>
      </c>
      <c r="Y949" s="2">
        <v>45518.0</v>
      </c>
      <c r="AE949" s="1">
        <v>149.99</v>
      </c>
      <c r="AG949" s="3" t="str">
        <f>"2000006173460039"</f>
        <v>2000006173460039</v>
      </c>
      <c r="AH949" s="1" t="s">
        <v>58</v>
      </c>
      <c r="AI949" s="1" t="s">
        <v>59</v>
      </c>
      <c r="AJ949" s="1" t="s">
        <v>59</v>
      </c>
      <c r="AK949" s="1" t="s">
        <v>60</v>
      </c>
      <c r="AL949" s="1" t="s">
        <v>60</v>
      </c>
      <c r="AW949" s="1" t="s">
        <v>1761</v>
      </c>
      <c r="AY949" s="1">
        <v>1.0</v>
      </c>
      <c r="AZ949" s="1">
        <v>149.99</v>
      </c>
      <c r="BB949" s="1">
        <v>149.99</v>
      </c>
    </row>
    <row r="950">
      <c r="A950" s="1" t="s">
        <v>1748</v>
      </c>
      <c r="C950" s="1" t="s">
        <v>235</v>
      </c>
      <c r="D950" s="1" t="s">
        <v>1762</v>
      </c>
      <c r="Y950" s="2">
        <v>45518.0</v>
      </c>
      <c r="AE950" s="1">
        <v>69.99</v>
      </c>
      <c r="AG950" s="3" t="str">
        <f>"2000006173421671"</f>
        <v>2000006173421671</v>
      </c>
      <c r="AH950" s="1" t="s">
        <v>58</v>
      </c>
      <c r="AI950" s="1" t="s">
        <v>59</v>
      </c>
      <c r="AJ950" s="1" t="s">
        <v>59</v>
      </c>
      <c r="AK950" s="1" t="s">
        <v>60</v>
      </c>
      <c r="AL950" s="1" t="s">
        <v>60</v>
      </c>
      <c r="AW950" s="1" t="s">
        <v>1750</v>
      </c>
      <c r="AY950" s="1">
        <v>1.0</v>
      </c>
      <c r="AZ950" s="1">
        <v>69.99</v>
      </c>
      <c r="BB950" s="1">
        <v>69.99</v>
      </c>
    </row>
    <row r="951">
      <c r="A951" s="1" t="s">
        <v>1181</v>
      </c>
      <c r="C951" s="1" t="s">
        <v>56</v>
      </c>
      <c r="D951" s="1" t="s">
        <v>1763</v>
      </c>
      <c r="Y951" s="2">
        <v>45518.0</v>
      </c>
      <c r="AE951" s="1">
        <v>79.99</v>
      </c>
      <c r="AG951" s="3" t="str">
        <f>"2000006173394325"</f>
        <v>2000006173394325</v>
      </c>
      <c r="AH951" s="1" t="s">
        <v>58</v>
      </c>
      <c r="AI951" s="1" t="s">
        <v>59</v>
      </c>
      <c r="AJ951" s="1" t="s">
        <v>59</v>
      </c>
      <c r="AK951" s="1" t="s">
        <v>60</v>
      </c>
      <c r="AL951" s="1" t="s">
        <v>60</v>
      </c>
      <c r="AW951" s="1" t="s">
        <v>1183</v>
      </c>
      <c r="AY951" s="1">
        <v>1.0</v>
      </c>
      <c r="AZ951" s="1">
        <v>79.99</v>
      </c>
      <c r="BB951" s="1">
        <v>79.99</v>
      </c>
    </row>
    <row r="952">
      <c r="A952" s="1" t="s">
        <v>1460</v>
      </c>
      <c r="C952" s="1" t="s">
        <v>56</v>
      </c>
      <c r="D952" s="1" t="s">
        <v>1764</v>
      </c>
      <c r="Y952" s="2">
        <v>45518.0</v>
      </c>
      <c r="AE952" s="1">
        <v>119.99</v>
      </c>
      <c r="AG952" s="3" t="str">
        <f>"2000006173103303"</f>
        <v>2000006173103303</v>
      </c>
      <c r="AH952" s="1" t="s">
        <v>58</v>
      </c>
      <c r="AI952" s="1" t="s">
        <v>59</v>
      </c>
      <c r="AJ952" s="1" t="s">
        <v>59</v>
      </c>
      <c r="AK952" s="1" t="s">
        <v>60</v>
      </c>
      <c r="AL952" s="1" t="s">
        <v>60</v>
      </c>
      <c r="AW952" s="1" t="s">
        <v>1462</v>
      </c>
      <c r="AY952" s="1">
        <v>1.0</v>
      </c>
      <c r="AZ952" s="1">
        <v>119.99</v>
      </c>
      <c r="BB952" s="1">
        <v>119.99</v>
      </c>
    </row>
    <row r="953">
      <c r="A953" s="1" t="s">
        <v>1134</v>
      </c>
      <c r="C953" s="1" t="s">
        <v>56</v>
      </c>
      <c r="D953" s="1" t="s">
        <v>1765</v>
      </c>
      <c r="Y953" s="2">
        <v>45518.0</v>
      </c>
      <c r="AE953" s="1">
        <v>49.99</v>
      </c>
      <c r="AG953" s="3" t="str">
        <f>"2000006173029217"</f>
        <v>2000006173029217</v>
      </c>
      <c r="AH953" s="1" t="s">
        <v>58</v>
      </c>
      <c r="AI953" s="1" t="s">
        <v>59</v>
      </c>
      <c r="AJ953" s="1" t="s">
        <v>59</v>
      </c>
      <c r="AK953" s="1" t="s">
        <v>60</v>
      </c>
      <c r="AL953" s="1" t="s">
        <v>60</v>
      </c>
      <c r="AW953" s="1" t="s">
        <v>1136</v>
      </c>
      <c r="AY953" s="1">
        <v>1.0</v>
      </c>
      <c r="AZ953" s="1">
        <v>49.99</v>
      </c>
      <c r="BB953" s="1">
        <v>49.99</v>
      </c>
    </row>
    <row r="954">
      <c r="A954" s="1" t="s">
        <v>1766</v>
      </c>
      <c r="C954" s="1" t="s">
        <v>56</v>
      </c>
      <c r="D954" s="1" t="s">
        <v>1767</v>
      </c>
      <c r="Y954" s="2">
        <v>45518.0</v>
      </c>
      <c r="AE954" s="1">
        <v>99.99</v>
      </c>
      <c r="AG954" s="3" t="str">
        <f>"2000006172824715"</f>
        <v>2000006172824715</v>
      </c>
      <c r="AH954" s="1" t="s">
        <v>58</v>
      </c>
      <c r="AI954" s="1" t="s">
        <v>59</v>
      </c>
      <c r="AJ954" s="1" t="s">
        <v>59</v>
      </c>
      <c r="AK954" s="1" t="s">
        <v>60</v>
      </c>
      <c r="AL954" s="1" t="s">
        <v>60</v>
      </c>
      <c r="AW954" s="1" t="s">
        <v>895</v>
      </c>
      <c r="AY954" s="1">
        <v>1.0</v>
      </c>
      <c r="AZ954" s="1">
        <v>99.99</v>
      </c>
      <c r="BB954" s="1">
        <v>99.99</v>
      </c>
    </row>
    <row r="955">
      <c r="A955" s="1" t="s">
        <v>236</v>
      </c>
      <c r="C955" s="1" t="s">
        <v>56</v>
      </c>
      <c r="D955" s="1" t="s">
        <v>1768</v>
      </c>
      <c r="Y955" s="2">
        <v>45518.0</v>
      </c>
      <c r="AE955" s="1">
        <v>119.99</v>
      </c>
      <c r="AG955" s="3" t="str">
        <f t="shared" ref="AG955:AG956" si="38">"2000006172533579"</f>
        <v>2000006172533579</v>
      </c>
      <c r="AH955" s="1" t="s">
        <v>58</v>
      </c>
      <c r="AI955" s="1" t="s">
        <v>59</v>
      </c>
      <c r="AJ955" s="1" t="s">
        <v>59</v>
      </c>
      <c r="AK955" s="1" t="s">
        <v>60</v>
      </c>
      <c r="AL955" s="1" t="s">
        <v>60</v>
      </c>
      <c r="AW955" s="1" t="s">
        <v>238</v>
      </c>
      <c r="AY955" s="1">
        <v>1.0</v>
      </c>
      <c r="AZ955" s="1">
        <v>119.99</v>
      </c>
      <c r="BB955" s="1">
        <v>119.99</v>
      </c>
    </row>
    <row r="956">
      <c r="A956" s="1" t="s">
        <v>1769</v>
      </c>
      <c r="C956" s="1" t="s">
        <v>56</v>
      </c>
      <c r="D956" s="1" t="s">
        <v>1768</v>
      </c>
      <c r="Y956" s="2">
        <v>45518.0</v>
      </c>
      <c r="AE956" s="1">
        <v>99.99</v>
      </c>
      <c r="AG956" s="3" t="str">
        <f t="shared" si="38"/>
        <v>2000006172533579</v>
      </c>
      <c r="AH956" s="1" t="s">
        <v>58</v>
      </c>
      <c r="AI956" s="1" t="s">
        <v>59</v>
      </c>
      <c r="AJ956" s="1" t="s">
        <v>59</v>
      </c>
      <c r="AK956" s="1" t="s">
        <v>60</v>
      </c>
      <c r="AL956" s="1" t="s">
        <v>60</v>
      </c>
      <c r="AW956" s="1" t="s">
        <v>1770</v>
      </c>
      <c r="AY956" s="1">
        <v>1.0</v>
      </c>
      <c r="AZ956" s="1">
        <v>99.99</v>
      </c>
      <c r="BB956" s="1">
        <v>99.99</v>
      </c>
    </row>
    <row r="957">
      <c r="A957" s="1" t="s">
        <v>1474</v>
      </c>
      <c r="C957" s="1" t="s">
        <v>56</v>
      </c>
      <c r="D957" s="1" t="s">
        <v>1771</v>
      </c>
      <c r="Y957" s="2">
        <v>45518.0</v>
      </c>
      <c r="AE957" s="1">
        <v>84.99</v>
      </c>
      <c r="AG957" s="3" t="str">
        <f>"2000006172501853"</f>
        <v>2000006172501853</v>
      </c>
      <c r="AH957" s="1" t="s">
        <v>58</v>
      </c>
      <c r="AI957" s="1" t="s">
        <v>59</v>
      </c>
      <c r="AJ957" s="1" t="s">
        <v>59</v>
      </c>
      <c r="AK957" s="1" t="s">
        <v>60</v>
      </c>
      <c r="AL957" s="1" t="s">
        <v>60</v>
      </c>
      <c r="AW957" s="1" t="s">
        <v>1476</v>
      </c>
      <c r="AY957" s="1">
        <v>1.0</v>
      </c>
      <c r="AZ957" s="1">
        <v>84.99</v>
      </c>
      <c r="BB957" s="1">
        <v>84.99</v>
      </c>
    </row>
    <row r="958">
      <c r="A958" s="1" t="s">
        <v>1772</v>
      </c>
      <c r="C958" s="1" t="s">
        <v>56</v>
      </c>
      <c r="D958" s="1" t="s">
        <v>906</v>
      </c>
      <c r="Y958" s="2">
        <v>45518.0</v>
      </c>
      <c r="AE958" s="1">
        <v>49.99</v>
      </c>
      <c r="AG958" s="3" t="str">
        <f>"2000009031436020"</f>
        <v>2000009031436020</v>
      </c>
      <c r="AH958" s="1" t="s">
        <v>58</v>
      </c>
      <c r="AI958" s="1" t="s">
        <v>59</v>
      </c>
      <c r="AJ958" s="1" t="s">
        <v>59</v>
      </c>
      <c r="AK958" s="1" t="s">
        <v>60</v>
      </c>
      <c r="AL958" s="1" t="s">
        <v>60</v>
      </c>
      <c r="AW958" s="1" t="s">
        <v>1773</v>
      </c>
      <c r="AY958" s="1">
        <v>1.0</v>
      </c>
      <c r="AZ958" s="1">
        <v>49.99</v>
      </c>
      <c r="BB958" s="1">
        <v>49.99</v>
      </c>
    </row>
    <row r="959">
      <c r="A959" s="1" t="s">
        <v>185</v>
      </c>
      <c r="C959" s="1" t="s">
        <v>235</v>
      </c>
      <c r="D959" s="1" t="s">
        <v>1710</v>
      </c>
      <c r="Y959" s="2">
        <v>45518.0</v>
      </c>
      <c r="AE959" s="1">
        <v>124.99</v>
      </c>
      <c r="AG959" s="3" t="str">
        <f>"2000006172459537"</f>
        <v>2000006172459537</v>
      </c>
      <c r="AH959" s="1" t="s">
        <v>58</v>
      </c>
      <c r="AI959" s="1" t="s">
        <v>59</v>
      </c>
      <c r="AJ959" s="1" t="s">
        <v>59</v>
      </c>
      <c r="AK959" s="1" t="s">
        <v>60</v>
      </c>
      <c r="AL959" s="1" t="s">
        <v>60</v>
      </c>
      <c r="AW959" s="1" t="s">
        <v>187</v>
      </c>
      <c r="AY959" s="1">
        <v>1.0</v>
      </c>
      <c r="AZ959" s="1">
        <v>124.99</v>
      </c>
      <c r="BB959" s="1">
        <v>124.99</v>
      </c>
    </row>
    <row r="960">
      <c r="A960" s="1" t="s">
        <v>496</v>
      </c>
      <c r="C960" s="1" t="s">
        <v>56</v>
      </c>
      <c r="D960" s="1" t="s">
        <v>1774</v>
      </c>
      <c r="Y960" s="2">
        <v>45518.0</v>
      </c>
      <c r="AE960" s="1">
        <v>109.98</v>
      </c>
      <c r="AG960" s="3" t="str">
        <f t="shared" ref="AG960:AG961" si="39">"2000006172435063"</f>
        <v>2000006172435063</v>
      </c>
      <c r="AH960" s="1" t="s">
        <v>58</v>
      </c>
      <c r="AI960" s="1" t="s">
        <v>59</v>
      </c>
      <c r="AJ960" s="1" t="s">
        <v>59</v>
      </c>
      <c r="AK960" s="1" t="s">
        <v>60</v>
      </c>
      <c r="AL960" s="1" t="s">
        <v>60</v>
      </c>
      <c r="AW960" s="1" t="s">
        <v>497</v>
      </c>
      <c r="AY960" s="1">
        <v>2.0</v>
      </c>
      <c r="AZ960" s="1">
        <v>54.99</v>
      </c>
      <c r="BB960" s="1">
        <v>109.98</v>
      </c>
    </row>
    <row r="961">
      <c r="A961" s="1" t="s">
        <v>544</v>
      </c>
      <c r="C961" s="1" t="s">
        <v>56</v>
      </c>
      <c r="D961" s="1" t="s">
        <v>1774</v>
      </c>
      <c r="Y961" s="2">
        <v>45518.0</v>
      </c>
      <c r="AE961" s="1">
        <v>54.99</v>
      </c>
      <c r="AG961" s="3" t="str">
        <f t="shared" si="39"/>
        <v>2000006172435063</v>
      </c>
      <c r="AH961" s="1" t="s">
        <v>58</v>
      </c>
      <c r="AI961" s="1" t="s">
        <v>59</v>
      </c>
      <c r="AJ961" s="1" t="s">
        <v>59</v>
      </c>
      <c r="AK961" s="1" t="s">
        <v>60</v>
      </c>
      <c r="AL961" s="1" t="s">
        <v>60</v>
      </c>
      <c r="AW961" s="1" t="s">
        <v>133</v>
      </c>
      <c r="AY961" s="1">
        <v>1.0</v>
      </c>
      <c r="AZ961" s="1">
        <v>54.99</v>
      </c>
      <c r="BB961" s="1">
        <v>54.99</v>
      </c>
    </row>
    <row r="962">
      <c r="A962" s="1" t="s">
        <v>1775</v>
      </c>
      <c r="C962" s="1" t="s">
        <v>56</v>
      </c>
      <c r="D962" s="1" t="s">
        <v>1776</v>
      </c>
      <c r="Y962" s="2">
        <v>45518.0</v>
      </c>
      <c r="AE962" s="1">
        <v>41.48</v>
      </c>
      <c r="AG962" s="3" t="str">
        <f>"2000006172431691"</f>
        <v>2000006172431691</v>
      </c>
      <c r="AH962" s="1" t="s">
        <v>58</v>
      </c>
      <c r="AI962" s="1" t="s">
        <v>59</v>
      </c>
      <c r="AJ962" s="1" t="s">
        <v>59</v>
      </c>
      <c r="AK962" s="1" t="s">
        <v>60</v>
      </c>
      <c r="AL962" s="1" t="s">
        <v>60</v>
      </c>
      <c r="AW962" s="1" t="s">
        <v>1777</v>
      </c>
      <c r="AY962" s="1">
        <v>1.0</v>
      </c>
      <c r="AZ962" s="1">
        <v>41.48</v>
      </c>
      <c r="BB962" s="1">
        <v>41.48</v>
      </c>
    </row>
    <row r="963">
      <c r="A963" s="1" t="s">
        <v>153</v>
      </c>
      <c r="C963" s="1" t="s">
        <v>56</v>
      </c>
      <c r="D963" s="1" t="s">
        <v>1778</v>
      </c>
      <c r="Y963" s="2">
        <v>45518.0</v>
      </c>
      <c r="AE963" s="1">
        <v>47.18</v>
      </c>
      <c r="AG963" s="3" t="str">
        <f>"2000006172433381"</f>
        <v>2000006172433381</v>
      </c>
      <c r="AH963" s="1" t="s">
        <v>58</v>
      </c>
      <c r="AI963" s="1" t="s">
        <v>59</v>
      </c>
      <c r="AJ963" s="1" t="s">
        <v>59</v>
      </c>
      <c r="AK963" s="1" t="s">
        <v>60</v>
      </c>
      <c r="AL963" s="1" t="s">
        <v>60</v>
      </c>
      <c r="AW963" s="1" t="s">
        <v>155</v>
      </c>
      <c r="AY963" s="1">
        <v>1.0</v>
      </c>
      <c r="AZ963" s="1">
        <v>47.18</v>
      </c>
      <c r="BB963" s="1">
        <v>47.18</v>
      </c>
    </row>
    <row r="964">
      <c r="A964" s="1" t="s">
        <v>271</v>
      </c>
      <c r="C964" s="1" t="s">
        <v>56</v>
      </c>
      <c r="D964" s="1" t="s">
        <v>1779</v>
      </c>
      <c r="Y964" s="2">
        <v>45518.0</v>
      </c>
      <c r="AE964" s="1">
        <v>58.99</v>
      </c>
      <c r="AG964" s="3" t="str">
        <f>"2000006172419421"</f>
        <v>2000006172419421</v>
      </c>
      <c r="AH964" s="1" t="s">
        <v>58</v>
      </c>
      <c r="AI964" s="1" t="s">
        <v>59</v>
      </c>
      <c r="AJ964" s="1" t="s">
        <v>59</v>
      </c>
      <c r="AK964" s="1" t="s">
        <v>60</v>
      </c>
      <c r="AL964" s="1" t="s">
        <v>60</v>
      </c>
      <c r="AW964" s="1" t="s">
        <v>110</v>
      </c>
      <c r="AY964" s="1">
        <v>1.0</v>
      </c>
      <c r="AZ964" s="1">
        <v>58.99</v>
      </c>
      <c r="BB964" s="1">
        <v>58.99</v>
      </c>
    </row>
    <row r="965">
      <c r="A965" s="1" t="s">
        <v>1316</v>
      </c>
      <c r="C965" s="1" t="s">
        <v>56</v>
      </c>
      <c r="D965" s="1" t="s">
        <v>1780</v>
      </c>
      <c r="Y965" s="2">
        <v>45518.0</v>
      </c>
      <c r="AE965" s="1">
        <v>91.98</v>
      </c>
      <c r="AG965" s="3" t="str">
        <f>"2000006172414637"</f>
        <v>2000006172414637</v>
      </c>
      <c r="AH965" s="1" t="s">
        <v>58</v>
      </c>
      <c r="AI965" s="1" t="s">
        <v>59</v>
      </c>
      <c r="AJ965" s="1" t="s">
        <v>59</v>
      </c>
      <c r="AK965" s="1" t="s">
        <v>60</v>
      </c>
      <c r="AL965" s="1" t="s">
        <v>60</v>
      </c>
      <c r="AW965" s="1" t="s">
        <v>100</v>
      </c>
      <c r="AY965" s="1">
        <v>2.0</v>
      </c>
      <c r="AZ965" s="1">
        <v>45.99</v>
      </c>
      <c r="BB965" s="1">
        <v>91.98</v>
      </c>
    </row>
    <row r="966">
      <c r="A966" s="1" t="s">
        <v>1360</v>
      </c>
      <c r="C966" s="1" t="s">
        <v>56</v>
      </c>
      <c r="D966" s="1" t="s">
        <v>1781</v>
      </c>
      <c r="Y966" s="2">
        <v>45518.0</v>
      </c>
      <c r="AE966" s="1">
        <v>499.99</v>
      </c>
      <c r="AG966" s="3" t="str">
        <f>"2000009031358240"</f>
        <v>2000009031358240</v>
      </c>
      <c r="AH966" s="1" t="s">
        <v>58</v>
      </c>
      <c r="AI966" s="1" t="s">
        <v>59</v>
      </c>
      <c r="AJ966" s="1" t="s">
        <v>59</v>
      </c>
      <c r="AK966" s="1" t="s">
        <v>60</v>
      </c>
      <c r="AL966" s="1" t="s">
        <v>60</v>
      </c>
      <c r="AW966" s="1" t="s">
        <v>1362</v>
      </c>
      <c r="AY966" s="1">
        <v>1.0</v>
      </c>
      <c r="AZ966" s="1">
        <v>499.99</v>
      </c>
      <c r="BB966" s="1">
        <v>499.99</v>
      </c>
    </row>
    <row r="967">
      <c r="A967" s="1" t="s">
        <v>1782</v>
      </c>
      <c r="C967" s="1" t="s">
        <v>56</v>
      </c>
      <c r="D967" s="1" t="s">
        <v>1783</v>
      </c>
      <c r="Y967" s="2">
        <v>45518.0</v>
      </c>
      <c r="AE967" s="1">
        <v>209.99</v>
      </c>
      <c r="AG967" s="3" t="str">
        <f>"2000006172390435"</f>
        <v>2000006172390435</v>
      </c>
      <c r="AH967" s="1" t="s">
        <v>58</v>
      </c>
      <c r="AI967" s="1" t="s">
        <v>59</v>
      </c>
      <c r="AJ967" s="1" t="s">
        <v>59</v>
      </c>
      <c r="AK967" s="1" t="s">
        <v>60</v>
      </c>
      <c r="AL967" s="1" t="s">
        <v>60</v>
      </c>
      <c r="AW967" s="1" t="s">
        <v>1784</v>
      </c>
      <c r="AY967" s="1">
        <v>1.0</v>
      </c>
      <c r="AZ967" s="1">
        <v>209.99</v>
      </c>
      <c r="BB967" s="1">
        <v>209.99</v>
      </c>
    </row>
    <row r="968">
      <c r="A968" s="1" t="s">
        <v>108</v>
      </c>
      <c r="C968" s="1" t="s">
        <v>56</v>
      </c>
      <c r="D968" s="1" t="s">
        <v>1785</v>
      </c>
      <c r="Y968" s="2">
        <v>45518.0</v>
      </c>
      <c r="AE968" s="1">
        <v>58.99</v>
      </c>
      <c r="AG968" s="3" t="str">
        <f>"2000009031310558"</f>
        <v>2000009031310558</v>
      </c>
      <c r="AH968" s="1" t="s">
        <v>58</v>
      </c>
      <c r="AI968" s="1" t="s">
        <v>59</v>
      </c>
      <c r="AJ968" s="1" t="s">
        <v>59</v>
      </c>
      <c r="AK968" s="1" t="s">
        <v>60</v>
      </c>
      <c r="AL968" s="1" t="s">
        <v>60</v>
      </c>
      <c r="AW968" s="1" t="s">
        <v>110</v>
      </c>
      <c r="AY968" s="1">
        <v>1.0</v>
      </c>
      <c r="AZ968" s="1">
        <v>58.99</v>
      </c>
      <c r="BB968" s="1">
        <v>58.99</v>
      </c>
    </row>
    <row r="969">
      <c r="A969" s="1" t="s">
        <v>302</v>
      </c>
      <c r="C969" s="1" t="s">
        <v>56</v>
      </c>
      <c r="D969" s="1" t="s">
        <v>1786</v>
      </c>
      <c r="Y969" s="2">
        <v>45518.0</v>
      </c>
      <c r="AE969" s="1">
        <v>118.44</v>
      </c>
      <c r="AG969" s="3" t="str">
        <f>"2000006172380413"</f>
        <v>2000006172380413</v>
      </c>
      <c r="AH969" s="1" t="s">
        <v>58</v>
      </c>
      <c r="AI969" s="1" t="s">
        <v>59</v>
      </c>
      <c r="AJ969" s="1" t="s">
        <v>59</v>
      </c>
      <c r="AK969" s="1" t="s">
        <v>60</v>
      </c>
      <c r="AL969" s="1" t="s">
        <v>60</v>
      </c>
      <c r="AW969" s="1" t="s">
        <v>304</v>
      </c>
      <c r="AY969" s="1">
        <v>3.0</v>
      </c>
      <c r="AZ969" s="1">
        <v>39.48</v>
      </c>
      <c r="BB969" s="1">
        <v>118.44</v>
      </c>
    </row>
    <row r="970">
      <c r="A970" s="1" t="s">
        <v>302</v>
      </c>
      <c r="C970" s="1" t="s">
        <v>56</v>
      </c>
      <c r="D970" s="1" t="s">
        <v>1786</v>
      </c>
      <c r="Y970" s="2">
        <v>45518.0</v>
      </c>
      <c r="AE970" s="1">
        <v>39.48</v>
      </c>
      <c r="AG970" s="3" t="str">
        <f>"2000006172380411"</f>
        <v>2000006172380411</v>
      </c>
      <c r="AH970" s="1" t="s">
        <v>58</v>
      </c>
      <c r="AI970" s="1" t="s">
        <v>59</v>
      </c>
      <c r="AJ970" s="1" t="s">
        <v>59</v>
      </c>
      <c r="AK970" s="1" t="s">
        <v>60</v>
      </c>
      <c r="AL970" s="1" t="s">
        <v>60</v>
      </c>
      <c r="AW970" s="1" t="s">
        <v>304</v>
      </c>
      <c r="AY970" s="1">
        <v>1.0</v>
      </c>
      <c r="AZ970" s="1">
        <v>39.48</v>
      </c>
      <c r="BB970" s="1">
        <v>39.48</v>
      </c>
    </row>
    <row r="971">
      <c r="A971" s="1" t="s">
        <v>299</v>
      </c>
      <c r="C971" s="1" t="s">
        <v>56</v>
      </c>
      <c r="D971" s="1" t="s">
        <v>1787</v>
      </c>
      <c r="Y971" s="2">
        <v>45518.0</v>
      </c>
      <c r="AE971" s="1">
        <v>59.99</v>
      </c>
      <c r="AG971" s="3" t="str">
        <f>"2000006172359543"</f>
        <v>2000006172359543</v>
      </c>
      <c r="AH971" s="1" t="s">
        <v>58</v>
      </c>
      <c r="AI971" s="1" t="s">
        <v>59</v>
      </c>
      <c r="AJ971" s="1" t="s">
        <v>59</v>
      </c>
      <c r="AK971" s="1" t="s">
        <v>60</v>
      </c>
      <c r="AL971" s="1" t="s">
        <v>60</v>
      </c>
      <c r="AW971" s="1" t="s">
        <v>301</v>
      </c>
      <c r="AY971" s="1">
        <v>1.0</v>
      </c>
      <c r="AZ971" s="1">
        <v>59.99</v>
      </c>
      <c r="BB971" s="1">
        <v>59.99</v>
      </c>
    </row>
    <row r="972">
      <c r="A972" s="1" t="s">
        <v>1788</v>
      </c>
      <c r="C972" s="1" t="s">
        <v>56</v>
      </c>
      <c r="D972" s="1" t="s">
        <v>1789</v>
      </c>
      <c r="Y972" s="2">
        <v>45518.0</v>
      </c>
      <c r="AE972" s="1">
        <v>99.99</v>
      </c>
      <c r="AG972" s="3" t="str">
        <f>"2000006172337525"</f>
        <v>2000006172337525</v>
      </c>
      <c r="AH972" s="1" t="s">
        <v>58</v>
      </c>
      <c r="AI972" s="1" t="s">
        <v>59</v>
      </c>
      <c r="AJ972" s="1" t="s">
        <v>59</v>
      </c>
      <c r="AK972" s="1" t="s">
        <v>60</v>
      </c>
      <c r="AL972" s="1" t="s">
        <v>60</v>
      </c>
      <c r="AW972" s="1" t="s">
        <v>1790</v>
      </c>
      <c r="AY972" s="1">
        <v>1.0</v>
      </c>
      <c r="AZ972" s="1">
        <v>99.99</v>
      </c>
      <c r="BB972" s="1">
        <v>99.99</v>
      </c>
    </row>
    <row r="973">
      <c r="A973" s="1" t="s">
        <v>407</v>
      </c>
      <c r="C973" s="1" t="s">
        <v>56</v>
      </c>
      <c r="D973" s="1" t="s">
        <v>1791</v>
      </c>
      <c r="Y973" s="2">
        <v>45518.0</v>
      </c>
      <c r="AE973" s="1">
        <v>94.99</v>
      </c>
      <c r="AG973" s="3" t="str">
        <f>"2000006172325925"</f>
        <v>2000006172325925</v>
      </c>
      <c r="AH973" s="1" t="s">
        <v>58</v>
      </c>
      <c r="AI973" s="1" t="s">
        <v>59</v>
      </c>
      <c r="AJ973" s="1" t="s">
        <v>59</v>
      </c>
      <c r="AK973" s="1" t="s">
        <v>60</v>
      </c>
      <c r="AL973" s="1" t="s">
        <v>60</v>
      </c>
      <c r="AW973" s="1" t="s">
        <v>409</v>
      </c>
      <c r="AY973" s="1">
        <v>1.0</v>
      </c>
      <c r="AZ973" s="1">
        <v>94.99</v>
      </c>
      <c r="BB973" s="1">
        <v>94.99</v>
      </c>
    </row>
    <row r="974">
      <c r="A974" s="1" t="s">
        <v>1521</v>
      </c>
      <c r="C974" s="1" t="s">
        <v>56</v>
      </c>
      <c r="D974" s="1" t="s">
        <v>1792</v>
      </c>
      <c r="Y974" s="2">
        <v>45518.0</v>
      </c>
      <c r="AE974" s="1">
        <v>49.99</v>
      </c>
      <c r="AG974" s="3" t="str">
        <f>"2000006172305445"</f>
        <v>2000006172305445</v>
      </c>
      <c r="AH974" s="1" t="s">
        <v>58</v>
      </c>
      <c r="AI974" s="1" t="s">
        <v>59</v>
      </c>
      <c r="AJ974" s="1" t="s">
        <v>59</v>
      </c>
      <c r="AK974" s="1" t="s">
        <v>60</v>
      </c>
      <c r="AL974" s="1" t="s">
        <v>60</v>
      </c>
      <c r="AW974" s="1" t="s">
        <v>1523</v>
      </c>
      <c r="AY974" s="1">
        <v>1.0</v>
      </c>
      <c r="AZ974" s="1">
        <v>49.99</v>
      </c>
      <c r="BB974" s="1">
        <v>49.99</v>
      </c>
    </row>
    <row r="975">
      <c r="A975" s="1" t="s">
        <v>915</v>
      </c>
      <c r="C975" s="1" t="s">
        <v>56</v>
      </c>
      <c r="D975" s="1" t="s">
        <v>1793</v>
      </c>
      <c r="Y975" s="2">
        <v>45518.0</v>
      </c>
      <c r="AE975" s="1">
        <v>219.98</v>
      </c>
      <c r="AG975" s="3" t="str">
        <f>"2000006172309285"</f>
        <v>2000006172309285</v>
      </c>
      <c r="AH975" s="1" t="s">
        <v>58</v>
      </c>
      <c r="AI975" s="1" t="s">
        <v>59</v>
      </c>
      <c r="AJ975" s="1" t="s">
        <v>59</v>
      </c>
      <c r="AK975" s="1" t="s">
        <v>60</v>
      </c>
      <c r="AL975" s="1" t="s">
        <v>60</v>
      </c>
      <c r="AW975" s="1" t="s">
        <v>917</v>
      </c>
      <c r="AY975" s="1">
        <v>2.0</v>
      </c>
      <c r="AZ975" s="1">
        <v>109.99</v>
      </c>
      <c r="BB975" s="1">
        <v>219.98</v>
      </c>
    </row>
    <row r="976">
      <c r="A976" s="1" t="s">
        <v>646</v>
      </c>
      <c r="C976" s="1" t="s">
        <v>56</v>
      </c>
      <c r="D976" s="1" t="s">
        <v>1794</v>
      </c>
      <c r="Y976" s="2">
        <v>45518.0</v>
      </c>
      <c r="AE976" s="1">
        <v>59.99</v>
      </c>
      <c r="AG976" s="3" t="str">
        <f>"2000006172309899"</f>
        <v>2000006172309899</v>
      </c>
      <c r="AH976" s="1" t="s">
        <v>58</v>
      </c>
      <c r="AI976" s="1" t="s">
        <v>59</v>
      </c>
      <c r="AJ976" s="1" t="s">
        <v>59</v>
      </c>
      <c r="AK976" s="1" t="s">
        <v>60</v>
      </c>
      <c r="AL976" s="1" t="s">
        <v>60</v>
      </c>
      <c r="AW976" s="1" t="s">
        <v>648</v>
      </c>
      <c r="AY976" s="1">
        <v>1.0</v>
      </c>
      <c r="AZ976" s="1">
        <v>59.99</v>
      </c>
      <c r="BB976" s="1">
        <v>59.99</v>
      </c>
    </row>
    <row r="977">
      <c r="A977" s="1" t="s">
        <v>239</v>
      </c>
      <c r="C977" s="1" t="s">
        <v>56</v>
      </c>
      <c r="D977" s="1" t="s">
        <v>240</v>
      </c>
      <c r="Y977" s="2">
        <v>45518.0</v>
      </c>
      <c r="AE977" s="1">
        <v>69.99</v>
      </c>
      <c r="AG977" s="3" t="str">
        <f>"2000009031216452"</f>
        <v>2000009031216452</v>
      </c>
      <c r="AH977" s="1" t="s">
        <v>58</v>
      </c>
      <c r="AI977" s="1" t="s">
        <v>59</v>
      </c>
      <c r="AJ977" s="1" t="s">
        <v>59</v>
      </c>
      <c r="AK977" s="1" t="s">
        <v>60</v>
      </c>
      <c r="AL977" s="1" t="s">
        <v>60</v>
      </c>
      <c r="AW977" s="1" t="s">
        <v>241</v>
      </c>
      <c r="AY977" s="1">
        <v>1.0</v>
      </c>
      <c r="AZ977" s="1">
        <v>69.99</v>
      </c>
      <c r="BB977" s="1">
        <v>69.99</v>
      </c>
    </row>
    <row r="978">
      <c r="A978" s="1" t="s">
        <v>1795</v>
      </c>
      <c r="C978" s="1" t="s">
        <v>56</v>
      </c>
      <c r="D978" s="1" t="s">
        <v>1796</v>
      </c>
      <c r="Y978" s="2">
        <v>45518.0</v>
      </c>
      <c r="AE978" s="1">
        <v>399.99</v>
      </c>
      <c r="AG978" s="3" t="str">
        <f>"2000009031204690"</f>
        <v>2000009031204690</v>
      </c>
      <c r="AH978" s="1" t="s">
        <v>58</v>
      </c>
      <c r="AI978" s="1" t="s">
        <v>59</v>
      </c>
      <c r="AJ978" s="1" t="s">
        <v>59</v>
      </c>
      <c r="AK978" s="1" t="s">
        <v>60</v>
      </c>
      <c r="AL978" s="1" t="s">
        <v>60</v>
      </c>
      <c r="AW978" s="1" t="s">
        <v>1797</v>
      </c>
      <c r="AY978" s="1">
        <v>1.0</v>
      </c>
      <c r="AZ978" s="1">
        <v>399.99</v>
      </c>
      <c r="BB978" s="1">
        <v>399.99</v>
      </c>
    </row>
    <row r="979">
      <c r="A979" s="1" t="s">
        <v>1798</v>
      </c>
      <c r="C979" s="1" t="s">
        <v>56</v>
      </c>
      <c r="D979" s="1" t="s">
        <v>1799</v>
      </c>
      <c r="Y979" s="2">
        <v>45518.0</v>
      </c>
      <c r="AE979" s="1">
        <v>64.99</v>
      </c>
      <c r="AG979" s="3" t="str">
        <f>"2000009031175100"</f>
        <v>2000009031175100</v>
      </c>
      <c r="AH979" s="1" t="s">
        <v>58</v>
      </c>
      <c r="AI979" s="1" t="s">
        <v>59</v>
      </c>
      <c r="AJ979" s="1" t="s">
        <v>59</v>
      </c>
      <c r="AK979" s="1" t="s">
        <v>60</v>
      </c>
      <c r="AL979" s="1" t="s">
        <v>60</v>
      </c>
      <c r="AW979" s="1" t="s">
        <v>1800</v>
      </c>
      <c r="AY979" s="1">
        <v>1.0</v>
      </c>
      <c r="AZ979" s="1">
        <v>64.99</v>
      </c>
      <c r="BB979" s="1">
        <v>64.99</v>
      </c>
    </row>
    <row r="980">
      <c r="A980" s="1" t="s">
        <v>1801</v>
      </c>
      <c r="C980" s="1" t="s">
        <v>56</v>
      </c>
      <c r="D980" s="1" t="s">
        <v>1802</v>
      </c>
      <c r="Y980" s="2">
        <v>45518.0</v>
      </c>
      <c r="AE980" s="1">
        <v>749.9</v>
      </c>
      <c r="AG980" s="3" t="str">
        <f>"2000006172285127"</f>
        <v>2000006172285127</v>
      </c>
      <c r="AH980" s="1" t="s">
        <v>58</v>
      </c>
      <c r="AI980" s="1" t="s">
        <v>59</v>
      </c>
      <c r="AJ980" s="1" t="s">
        <v>59</v>
      </c>
      <c r="AK980" s="1" t="s">
        <v>60</v>
      </c>
      <c r="AL980" s="1" t="s">
        <v>60</v>
      </c>
      <c r="AW980" s="1" t="s">
        <v>1803</v>
      </c>
      <c r="AY980" s="1">
        <v>10.0</v>
      </c>
      <c r="AZ980" s="1">
        <v>74.99</v>
      </c>
      <c r="BB980" s="1">
        <v>749.9</v>
      </c>
    </row>
    <row r="981">
      <c r="A981" s="1" t="s">
        <v>1397</v>
      </c>
      <c r="C981" s="1" t="s">
        <v>56</v>
      </c>
      <c r="D981" s="1" t="s">
        <v>1804</v>
      </c>
      <c r="Y981" s="2">
        <v>45518.0</v>
      </c>
      <c r="AE981" s="1">
        <v>39.99</v>
      </c>
      <c r="AG981" s="3" t="str">
        <f>"2000006172253187"</f>
        <v>2000006172253187</v>
      </c>
      <c r="AH981" s="1" t="s">
        <v>58</v>
      </c>
      <c r="AI981" s="1" t="s">
        <v>59</v>
      </c>
      <c r="AJ981" s="1" t="s">
        <v>59</v>
      </c>
      <c r="AK981" s="1" t="s">
        <v>60</v>
      </c>
      <c r="AL981" s="1" t="s">
        <v>60</v>
      </c>
      <c r="AW981" s="1" t="s">
        <v>149</v>
      </c>
      <c r="AY981" s="1">
        <v>1.0</v>
      </c>
      <c r="AZ981" s="1">
        <v>39.99</v>
      </c>
      <c r="BB981" s="1">
        <v>39.99</v>
      </c>
    </row>
    <row r="982">
      <c r="A982" s="1" t="s">
        <v>1038</v>
      </c>
      <c r="C982" s="1" t="s">
        <v>56</v>
      </c>
      <c r="D982" s="1" t="s">
        <v>1805</v>
      </c>
      <c r="Y982" s="2">
        <v>45518.0</v>
      </c>
      <c r="AE982" s="1">
        <v>64.48</v>
      </c>
      <c r="AG982" s="3" t="str">
        <f>"2000009031106228"</f>
        <v>2000009031106228</v>
      </c>
      <c r="AH982" s="1" t="s">
        <v>58</v>
      </c>
      <c r="AI982" s="1" t="s">
        <v>59</v>
      </c>
      <c r="AJ982" s="1" t="s">
        <v>59</v>
      </c>
      <c r="AK982" s="1" t="s">
        <v>60</v>
      </c>
      <c r="AL982" s="1" t="s">
        <v>60</v>
      </c>
      <c r="AW982" s="1" t="s">
        <v>1040</v>
      </c>
      <c r="AY982" s="1">
        <v>1.0</v>
      </c>
      <c r="AZ982" s="1">
        <v>64.48</v>
      </c>
      <c r="BB982" s="1">
        <v>64.48</v>
      </c>
    </row>
    <row r="983">
      <c r="A983" s="1" t="s">
        <v>1806</v>
      </c>
      <c r="C983" s="1" t="s">
        <v>56</v>
      </c>
      <c r="D983" s="1" t="s">
        <v>1807</v>
      </c>
      <c r="Y983" s="2">
        <v>45518.0</v>
      </c>
      <c r="AE983" s="1">
        <v>39.99</v>
      </c>
      <c r="AG983" s="3" t="str">
        <f>"2000009031035056"</f>
        <v>2000009031035056</v>
      </c>
      <c r="AH983" s="1" t="s">
        <v>58</v>
      </c>
      <c r="AI983" s="1" t="s">
        <v>59</v>
      </c>
      <c r="AJ983" s="1" t="s">
        <v>59</v>
      </c>
      <c r="AK983" s="1" t="s">
        <v>60</v>
      </c>
      <c r="AL983" s="1" t="s">
        <v>60</v>
      </c>
      <c r="AW983" s="1" t="s">
        <v>1808</v>
      </c>
      <c r="AY983" s="1">
        <v>1.0</v>
      </c>
      <c r="AZ983" s="1">
        <v>39.99</v>
      </c>
      <c r="BB983" s="1">
        <v>39.99</v>
      </c>
    </row>
    <row r="984">
      <c r="A984" s="1" t="s">
        <v>135</v>
      </c>
      <c r="C984" s="1" t="s">
        <v>56</v>
      </c>
      <c r="D984" s="1" t="s">
        <v>1809</v>
      </c>
      <c r="Y984" s="2">
        <v>45518.0</v>
      </c>
      <c r="AE984" s="1">
        <v>89.99</v>
      </c>
      <c r="AG984" s="3" t="str">
        <f>"2000006172190399"</f>
        <v>2000006172190399</v>
      </c>
      <c r="AH984" s="1" t="s">
        <v>58</v>
      </c>
      <c r="AI984" s="1" t="s">
        <v>59</v>
      </c>
      <c r="AJ984" s="1" t="s">
        <v>59</v>
      </c>
      <c r="AK984" s="1" t="s">
        <v>60</v>
      </c>
      <c r="AL984" s="1" t="s">
        <v>60</v>
      </c>
      <c r="AW984" s="1" t="s">
        <v>137</v>
      </c>
      <c r="AY984" s="1">
        <v>1.0</v>
      </c>
      <c r="AZ984" s="1">
        <v>89.99</v>
      </c>
      <c r="BB984" s="1">
        <v>89.99</v>
      </c>
    </row>
    <row r="985">
      <c r="A985" s="1" t="s">
        <v>1810</v>
      </c>
      <c r="C985" s="1" t="s">
        <v>56</v>
      </c>
      <c r="D985" s="1" t="s">
        <v>1811</v>
      </c>
      <c r="Y985" s="2">
        <v>45518.0</v>
      </c>
      <c r="AE985" s="1">
        <v>249.99</v>
      </c>
      <c r="AG985" s="3" t="str">
        <f>"2000006172171019"</f>
        <v>2000006172171019</v>
      </c>
      <c r="AH985" s="1" t="s">
        <v>58</v>
      </c>
      <c r="AI985" s="1" t="s">
        <v>59</v>
      </c>
      <c r="AJ985" s="1" t="s">
        <v>59</v>
      </c>
      <c r="AK985" s="1" t="s">
        <v>60</v>
      </c>
      <c r="AL985" s="1" t="s">
        <v>60</v>
      </c>
      <c r="AW985" s="1" t="s">
        <v>1812</v>
      </c>
      <c r="AY985" s="1">
        <v>1.0</v>
      </c>
      <c r="AZ985" s="1">
        <v>249.99</v>
      </c>
      <c r="BB985" s="1">
        <v>249.99</v>
      </c>
    </row>
    <row r="986">
      <c r="A986" s="1" t="s">
        <v>108</v>
      </c>
      <c r="C986" s="1" t="s">
        <v>56</v>
      </c>
      <c r="D986" s="1" t="s">
        <v>1813</v>
      </c>
      <c r="Y986" s="2">
        <v>45518.0</v>
      </c>
      <c r="AE986" s="1">
        <v>117.98</v>
      </c>
      <c r="AG986" s="3" t="str">
        <f>"2000006172089373"</f>
        <v>2000006172089373</v>
      </c>
      <c r="AH986" s="1" t="s">
        <v>58</v>
      </c>
      <c r="AI986" s="1" t="s">
        <v>59</v>
      </c>
      <c r="AJ986" s="1" t="s">
        <v>59</v>
      </c>
      <c r="AK986" s="1" t="s">
        <v>60</v>
      </c>
      <c r="AL986" s="1" t="s">
        <v>60</v>
      </c>
      <c r="AW986" s="1" t="s">
        <v>110</v>
      </c>
      <c r="AY986" s="1">
        <v>2.0</v>
      </c>
      <c r="AZ986" s="1">
        <v>58.99</v>
      </c>
      <c r="BB986" s="1">
        <v>117.98</v>
      </c>
    </row>
    <row r="987">
      <c r="A987" s="1" t="s">
        <v>1008</v>
      </c>
      <c r="C987" s="1" t="s">
        <v>56</v>
      </c>
      <c r="D987" s="1" t="s">
        <v>1814</v>
      </c>
      <c r="Y987" s="2">
        <v>45518.0</v>
      </c>
      <c r="AE987" s="1">
        <v>124.99</v>
      </c>
      <c r="AG987" s="3" t="str">
        <f>"2000006172122833"</f>
        <v>2000006172122833</v>
      </c>
      <c r="AH987" s="1" t="s">
        <v>58</v>
      </c>
      <c r="AI987" s="1" t="s">
        <v>59</v>
      </c>
      <c r="AJ987" s="1" t="s">
        <v>59</v>
      </c>
      <c r="AK987" s="1" t="s">
        <v>60</v>
      </c>
      <c r="AL987" s="1" t="s">
        <v>60</v>
      </c>
      <c r="AW987" s="1" t="s">
        <v>1010</v>
      </c>
      <c r="AY987" s="1">
        <v>1.0</v>
      </c>
      <c r="AZ987" s="1">
        <v>124.99</v>
      </c>
      <c r="BB987" s="1">
        <v>124.99</v>
      </c>
    </row>
    <row r="988">
      <c r="A988" s="1" t="s">
        <v>477</v>
      </c>
      <c r="C988" s="1" t="s">
        <v>56</v>
      </c>
      <c r="D988" s="1" t="s">
        <v>1815</v>
      </c>
      <c r="Y988" s="2">
        <v>45517.0</v>
      </c>
      <c r="AE988" s="1">
        <v>89.99</v>
      </c>
      <c r="AG988" s="3" t="str">
        <f>"2000006172116535"</f>
        <v>2000006172116535</v>
      </c>
      <c r="AH988" s="1" t="s">
        <v>58</v>
      </c>
      <c r="AI988" s="1" t="s">
        <v>59</v>
      </c>
      <c r="AJ988" s="1" t="s">
        <v>59</v>
      </c>
      <c r="AK988" s="1" t="s">
        <v>60</v>
      </c>
      <c r="AL988" s="1" t="s">
        <v>60</v>
      </c>
      <c r="AW988" s="1" t="s">
        <v>479</v>
      </c>
      <c r="AY988" s="1">
        <v>1.0</v>
      </c>
      <c r="AZ988" s="1">
        <v>89.99</v>
      </c>
      <c r="BB988" s="1">
        <v>89.99</v>
      </c>
    </row>
    <row r="989">
      <c r="A989" s="1" t="s">
        <v>915</v>
      </c>
      <c r="C989" s="1" t="s">
        <v>56</v>
      </c>
      <c r="D989" s="1" t="s">
        <v>1816</v>
      </c>
      <c r="Y989" s="2">
        <v>45517.0</v>
      </c>
      <c r="AE989" s="1">
        <v>109.99</v>
      </c>
      <c r="AG989" s="3" t="str">
        <f>"2000006172078113"</f>
        <v>2000006172078113</v>
      </c>
      <c r="AH989" s="1" t="s">
        <v>58</v>
      </c>
      <c r="AI989" s="1" t="s">
        <v>59</v>
      </c>
      <c r="AJ989" s="1" t="s">
        <v>59</v>
      </c>
      <c r="AK989" s="1" t="s">
        <v>60</v>
      </c>
      <c r="AL989" s="1" t="s">
        <v>60</v>
      </c>
      <c r="AW989" s="1" t="s">
        <v>917</v>
      </c>
      <c r="AY989" s="1">
        <v>1.0</v>
      </c>
      <c r="AZ989" s="1">
        <v>109.99</v>
      </c>
      <c r="BB989" s="1">
        <v>109.99</v>
      </c>
    </row>
    <row r="990">
      <c r="A990" s="1" t="s">
        <v>912</v>
      </c>
      <c r="C990" s="1" t="s">
        <v>56</v>
      </c>
      <c r="D990" s="1" t="s">
        <v>1817</v>
      </c>
      <c r="Y990" s="2">
        <v>45517.0</v>
      </c>
      <c r="AE990" s="1">
        <v>199.99</v>
      </c>
      <c r="AG990" s="3" t="str">
        <f>"2000006172045883"</f>
        <v>2000006172045883</v>
      </c>
      <c r="AH990" s="1" t="s">
        <v>58</v>
      </c>
      <c r="AI990" s="1" t="s">
        <v>59</v>
      </c>
      <c r="AJ990" s="1" t="s">
        <v>59</v>
      </c>
      <c r="AK990" s="1" t="s">
        <v>60</v>
      </c>
      <c r="AL990" s="1" t="s">
        <v>60</v>
      </c>
      <c r="AW990" s="1" t="s">
        <v>914</v>
      </c>
      <c r="AY990" s="1">
        <v>1.0</v>
      </c>
      <c r="AZ990" s="1">
        <v>199.99</v>
      </c>
      <c r="BB990" s="1">
        <v>199.99</v>
      </c>
    </row>
    <row r="991">
      <c r="A991" s="1" t="s">
        <v>1818</v>
      </c>
      <c r="C991" s="1" t="s">
        <v>56</v>
      </c>
      <c r="D991" s="1" t="s">
        <v>1819</v>
      </c>
      <c r="Y991" s="2">
        <v>45517.0</v>
      </c>
      <c r="AE991" s="1">
        <v>49.99</v>
      </c>
      <c r="AG991" s="3" t="str">
        <f>"2000009030797198"</f>
        <v>2000009030797198</v>
      </c>
      <c r="AH991" s="1" t="s">
        <v>58</v>
      </c>
      <c r="AI991" s="1" t="s">
        <v>59</v>
      </c>
      <c r="AJ991" s="1" t="s">
        <v>59</v>
      </c>
      <c r="AK991" s="1" t="s">
        <v>60</v>
      </c>
      <c r="AL991" s="1" t="s">
        <v>60</v>
      </c>
      <c r="AW991" s="1" t="s">
        <v>1820</v>
      </c>
      <c r="AY991" s="1">
        <v>1.0</v>
      </c>
      <c r="AZ991" s="1">
        <v>49.99</v>
      </c>
      <c r="BB991" s="1">
        <v>49.99</v>
      </c>
    </row>
    <row r="992">
      <c r="A992" s="1" t="s">
        <v>1257</v>
      </c>
      <c r="C992" s="1" t="s">
        <v>56</v>
      </c>
      <c r="D992" s="1" t="s">
        <v>1821</v>
      </c>
      <c r="Y992" s="2">
        <v>45517.0</v>
      </c>
      <c r="AE992" s="1">
        <v>64.99</v>
      </c>
      <c r="AG992" s="3" t="str">
        <f>"2000009030796190"</f>
        <v>2000009030796190</v>
      </c>
      <c r="AH992" s="1" t="s">
        <v>58</v>
      </c>
      <c r="AI992" s="1" t="s">
        <v>59</v>
      </c>
      <c r="AJ992" s="1" t="s">
        <v>59</v>
      </c>
      <c r="AK992" s="1" t="s">
        <v>60</v>
      </c>
      <c r="AL992" s="1" t="s">
        <v>60</v>
      </c>
      <c r="AW992" s="1" t="s">
        <v>1259</v>
      </c>
      <c r="AY992" s="1">
        <v>1.0</v>
      </c>
      <c r="AZ992" s="1">
        <v>64.99</v>
      </c>
      <c r="BB992" s="1">
        <v>64.99</v>
      </c>
    </row>
    <row r="993">
      <c r="A993" s="1" t="s">
        <v>1822</v>
      </c>
      <c r="C993" s="1" t="s">
        <v>56</v>
      </c>
      <c r="D993" s="1" t="s">
        <v>1823</v>
      </c>
      <c r="Y993" s="2">
        <v>45517.0</v>
      </c>
      <c r="AE993" s="1">
        <v>74.99</v>
      </c>
      <c r="AG993" s="3" t="str">
        <f>"2000006172017677"</f>
        <v>2000006172017677</v>
      </c>
      <c r="AH993" s="1" t="s">
        <v>58</v>
      </c>
      <c r="AI993" s="1" t="s">
        <v>59</v>
      </c>
      <c r="AJ993" s="1" t="s">
        <v>59</v>
      </c>
      <c r="AK993" s="1" t="s">
        <v>60</v>
      </c>
      <c r="AL993" s="1" t="s">
        <v>60</v>
      </c>
      <c r="AW993" s="1" t="s">
        <v>1824</v>
      </c>
      <c r="AY993" s="1">
        <v>1.0</v>
      </c>
      <c r="AZ993" s="1">
        <v>74.99</v>
      </c>
      <c r="BB993" s="1">
        <v>74.99</v>
      </c>
    </row>
    <row r="994">
      <c r="A994" s="1" t="s">
        <v>942</v>
      </c>
      <c r="C994" s="1" t="s">
        <v>56</v>
      </c>
      <c r="D994" s="1" t="s">
        <v>1825</v>
      </c>
      <c r="Y994" s="2">
        <v>45517.0</v>
      </c>
      <c r="AE994" s="1">
        <v>114.99</v>
      </c>
      <c r="AG994" s="3" t="str">
        <f>"2000006171986545"</f>
        <v>2000006171986545</v>
      </c>
      <c r="AH994" s="1" t="s">
        <v>58</v>
      </c>
      <c r="AI994" s="1" t="s">
        <v>59</v>
      </c>
      <c r="AJ994" s="1" t="s">
        <v>59</v>
      </c>
      <c r="AK994" s="1" t="s">
        <v>60</v>
      </c>
      <c r="AL994" s="1" t="s">
        <v>60</v>
      </c>
      <c r="AW994" s="1" t="s">
        <v>944</v>
      </c>
      <c r="AY994" s="1">
        <v>1.0</v>
      </c>
      <c r="AZ994" s="1">
        <v>114.99</v>
      </c>
      <c r="BB994" s="1">
        <v>114.99</v>
      </c>
    </row>
    <row r="995">
      <c r="A995" s="1" t="s">
        <v>230</v>
      </c>
      <c r="C995" s="1" t="s">
        <v>56</v>
      </c>
      <c r="D995" s="1" t="s">
        <v>1826</v>
      </c>
      <c r="Y995" s="2">
        <v>45517.0</v>
      </c>
      <c r="AE995" s="1">
        <v>54.99</v>
      </c>
      <c r="AG995" s="3" t="str">
        <f t="shared" ref="AG995:AG996" si="40">"2000006171960365"</f>
        <v>2000006171960365</v>
      </c>
      <c r="AH995" s="1" t="s">
        <v>58</v>
      </c>
      <c r="AI995" s="1" t="s">
        <v>59</v>
      </c>
      <c r="AJ995" s="1" t="s">
        <v>59</v>
      </c>
      <c r="AK995" s="1" t="s">
        <v>60</v>
      </c>
      <c r="AL995" s="1" t="s">
        <v>60</v>
      </c>
      <c r="AW995" s="1" t="s">
        <v>85</v>
      </c>
      <c r="AY995" s="1">
        <v>1.0</v>
      </c>
      <c r="AZ995" s="1">
        <v>54.99</v>
      </c>
      <c r="BB995" s="1">
        <v>54.99</v>
      </c>
    </row>
    <row r="996">
      <c r="A996" s="1" t="s">
        <v>1001</v>
      </c>
      <c r="C996" s="1" t="s">
        <v>56</v>
      </c>
      <c r="D996" s="1" t="s">
        <v>1826</v>
      </c>
      <c r="Y996" s="2">
        <v>45517.0</v>
      </c>
      <c r="AE996" s="1">
        <v>54.99</v>
      </c>
      <c r="AG996" s="3" t="str">
        <f t="shared" si="40"/>
        <v>2000006171960365</v>
      </c>
      <c r="AH996" s="1" t="s">
        <v>58</v>
      </c>
      <c r="AI996" s="1" t="s">
        <v>59</v>
      </c>
      <c r="AJ996" s="1" t="s">
        <v>59</v>
      </c>
      <c r="AK996" s="1" t="s">
        <v>60</v>
      </c>
      <c r="AL996" s="1" t="s">
        <v>60</v>
      </c>
      <c r="AW996" s="1" t="s">
        <v>85</v>
      </c>
      <c r="AY996" s="1">
        <v>1.0</v>
      </c>
      <c r="AZ996" s="1">
        <v>54.99</v>
      </c>
      <c r="BB996" s="1">
        <v>54.99</v>
      </c>
    </row>
    <row r="997">
      <c r="A997" s="1" t="s">
        <v>457</v>
      </c>
      <c r="C997" s="1" t="s">
        <v>56</v>
      </c>
      <c r="D997" s="1" t="s">
        <v>1827</v>
      </c>
      <c r="Y997" s="2">
        <v>45517.0</v>
      </c>
      <c r="AE997" s="1">
        <v>139.99</v>
      </c>
      <c r="AG997" s="3" t="str">
        <f>"2000006171924105"</f>
        <v>2000006171924105</v>
      </c>
      <c r="AH997" s="1" t="s">
        <v>58</v>
      </c>
      <c r="AI997" s="1" t="s">
        <v>59</v>
      </c>
      <c r="AJ997" s="1" t="s">
        <v>59</v>
      </c>
      <c r="AK997" s="1" t="s">
        <v>60</v>
      </c>
      <c r="AL997" s="1" t="s">
        <v>60</v>
      </c>
      <c r="AW997" s="1" t="s">
        <v>279</v>
      </c>
      <c r="AY997" s="1">
        <v>1.0</v>
      </c>
      <c r="AZ997" s="1">
        <v>139.99</v>
      </c>
      <c r="BB997" s="1">
        <v>139.99</v>
      </c>
    </row>
    <row r="998">
      <c r="A998" s="1" t="s">
        <v>383</v>
      </c>
      <c r="C998" s="1" t="s">
        <v>56</v>
      </c>
      <c r="D998" s="1" t="s">
        <v>1828</v>
      </c>
      <c r="Y998" s="2">
        <v>45517.0</v>
      </c>
      <c r="AE998" s="1">
        <v>159.99</v>
      </c>
      <c r="AG998" s="3" t="str">
        <f>"2000006171915071"</f>
        <v>2000006171915071</v>
      </c>
      <c r="AH998" s="1" t="s">
        <v>58</v>
      </c>
      <c r="AI998" s="1" t="s">
        <v>59</v>
      </c>
      <c r="AJ998" s="1" t="s">
        <v>59</v>
      </c>
      <c r="AK998" s="1" t="s">
        <v>60</v>
      </c>
      <c r="AL998" s="1" t="s">
        <v>60</v>
      </c>
      <c r="AW998" s="1" t="s">
        <v>385</v>
      </c>
      <c r="AY998" s="1">
        <v>1.0</v>
      </c>
      <c r="AZ998" s="1">
        <v>159.99</v>
      </c>
      <c r="BB998" s="1">
        <v>159.99</v>
      </c>
    </row>
    <row r="999">
      <c r="A999" s="1" t="s">
        <v>1829</v>
      </c>
      <c r="C999" s="1" t="s">
        <v>56</v>
      </c>
      <c r="D999" s="1" t="s">
        <v>1830</v>
      </c>
      <c r="Y999" s="2">
        <v>45517.0</v>
      </c>
      <c r="AE999" s="1">
        <v>59.99</v>
      </c>
      <c r="AG999" s="3" t="str">
        <f>"2000006171890269"</f>
        <v>2000006171890269</v>
      </c>
      <c r="AH999" s="1" t="s">
        <v>58</v>
      </c>
      <c r="AI999" s="1" t="s">
        <v>59</v>
      </c>
      <c r="AJ999" s="1" t="s">
        <v>59</v>
      </c>
      <c r="AK999" s="1" t="s">
        <v>60</v>
      </c>
      <c r="AL999" s="1" t="s">
        <v>60</v>
      </c>
      <c r="AW999" s="1" t="s">
        <v>1831</v>
      </c>
      <c r="AY999" s="1">
        <v>1.0</v>
      </c>
      <c r="AZ999" s="1">
        <v>59.99</v>
      </c>
      <c r="BB999" s="1">
        <v>59.99</v>
      </c>
    </row>
    <row r="1000">
      <c r="A1000" s="1" t="s">
        <v>502</v>
      </c>
      <c r="C1000" s="1" t="s">
        <v>56</v>
      </c>
      <c r="D1000" s="1" t="s">
        <v>1832</v>
      </c>
      <c r="Y1000" s="2">
        <v>45517.0</v>
      </c>
      <c r="AE1000" s="1">
        <v>99.99</v>
      </c>
      <c r="AG1000" s="3" t="str">
        <f>"2000006171882661"</f>
        <v>2000006171882661</v>
      </c>
      <c r="AH1000" s="1" t="s">
        <v>58</v>
      </c>
      <c r="AI1000" s="1" t="s">
        <v>59</v>
      </c>
      <c r="AJ1000" s="1" t="s">
        <v>59</v>
      </c>
      <c r="AK1000" s="1" t="s">
        <v>60</v>
      </c>
      <c r="AL1000" s="1" t="s">
        <v>60</v>
      </c>
      <c r="AW1000" s="1" t="s">
        <v>504</v>
      </c>
      <c r="AY1000" s="1">
        <v>1.0</v>
      </c>
      <c r="AZ1000" s="1">
        <v>99.99</v>
      </c>
      <c r="BB1000" s="1">
        <v>99.99</v>
      </c>
    </row>
    <row r="1001">
      <c r="A1001" s="1" t="s">
        <v>691</v>
      </c>
      <c r="C1001" s="1" t="s">
        <v>235</v>
      </c>
      <c r="D1001" s="1" t="s">
        <v>1833</v>
      </c>
      <c r="Y1001" s="2">
        <v>45517.0</v>
      </c>
      <c r="AE1001" s="1">
        <v>129.99</v>
      </c>
      <c r="AG1001" s="3" t="str">
        <f>"2000009030527698"</f>
        <v>2000009030527698</v>
      </c>
      <c r="AH1001" s="1" t="s">
        <v>58</v>
      </c>
      <c r="AI1001" s="1" t="s">
        <v>59</v>
      </c>
      <c r="AJ1001" s="1" t="s">
        <v>59</v>
      </c>
      <c r="AK1001" s="1" t="s">
        <v>60</v>
      </c>
      <c r="AL1001" s="1" t="s">
        <v>60</v>
      </c>
      <c r="AW1001" s="1" t="s">
        <v>693</v>
      </c>
      <c r="AY1001" s="1">
        <v>1.0</v>
      </c>
      <c r="AZ1001" s="1">
        <v>129.99</v>
      </c>
      <c r="BB1001" s="1">
        <v>129.99</v>
      </c>
    </row>
    <row r="1002">
      <c r="A1002" s="1" t="s">
        <v>62</v>
      </c>
      <c r="C1002" s="1" t="s">
        <v>56</v>
      </c>
      <c r="D1002" s="1" t="s">
        <v>1834</v>
      </c>
      <c r="Y1002" s="2">
        <v>45517.0</v>
      </c>
      <c r="AE1002" s="1">
        <v>249.49</v>
      </c>
      <c r="AG1002" s="3" t="str">
        <f>"2000006171873755"</f>
        <v>2000006171873755</v>
      </c>
      <c r="AH1002" s="1" t="s">
        <v>58</v>
      </c>
      <c r="AI1002" s="1" t="s">
        <v>59</v>
      </c>
      <c r="AJ1002" s="1" t="s">
        <v>59</v>
      </c>
      <c r="AK1002" s="1" t="s">
        <v>60</v>
      </c>
      <c r="AL1002" s="1" t="s">
        <v>60</v>
      </c>
      <c r="AW1002" s="1" t="s">
        <v>64</v>
      </c>
      <c r="AY1002" s="1">
        <v>1.0</v>
      </c>
      <c r="AZ1002" s="1">
        <v>249.49</v>
      </c>
      <c r="BB1002" s="1">
        <v>249.49</v>
      </c>
    </row>
    <row r="1003">
      <c r="A1003" s="1" t="s">
        <v>851</v>
      </c>
      <c r="C1003" s="1" t="s">
        <v>235</v>
      </c>
      <c r="D1003" s="1" t="s">
        <v>1835</v>
      </c>
      <c r="Y1003" s="2">
        <v>45517.0</v>
      </c>
      <c r="AE1003" s="1">
        <v>76.99</v>
      </c>
      <c r="AG1003" s="3" t="str">
        <f>"2000006171785649"</f>
        <v>2000006171785649</v>
      </c>
      <c r="AH1003" s="1" t="s">
        <v>58</v>
      </c>
      <c r="AI1003" s="1" t="s">
        <v>59</v>
      </c>
      <c r="AJ1003" s="1" t="s">
        <v>59</v>
      </c>
      <c r="AK1003" s="1" t="s">
        <v>60</v>
      </c>
      <c r="AL1003" s="1" t="s">
        <v>60</v>
      </c>
      <c r="AW1003" s="1" t="s">
        <v>853</v>
      </c>
      <c r="AY1003" s="1">
        <v>1.0</v>
      </c>
      <c r="AZ1003" s="1">
        <v>76.99</v>
      </c>
      <c r="BB1003" s="1">
        <v>76.99</v>
      </c>
    </row>
    <row r="1004">
      <c r="A1004" s="1" t="s">
        <v>1836</v>
      </c>
      <c r="C1004" s="1" t="s">
        <v>56</v>
      </c>
      <c r="D1004" s="1" t="s">
        <v>1837</v>
      </c>
      <c r="Y1004" s="2">
        <v>45517.0</v>
      </c>
      <c r="AE1004" s="1">
        <v>49.99</v>
      </c>
      <c r="AG1004" s="3" t="str">
        <f>"2000006171806999"</f>
        <v>2000006171806999</v>
      </c>
      <c r="AH1004" s="1" t="s">
        <v>58</v>
      </c>
      <c r="AI1004" s="1" t="s">
        <v>59</v>
      </c>
      <c r="AJ1004" s="1" t="s">
        <v>59</v>
      </c>
      <c r="AK1004" s="1" t="s">
        <v>60</v>
      </c>
      <c r="AL1004" s="1" t="s">
        <v>60</v>
      </c>
      <c r="AW1004" s="1" t="s">
        <v>1838</v>
      </c>
      <c r="AY1004" s="1">
        <v>1.0</v>
      </c>
      <c r="AZ1004" s="1">
        <v>49.99</v>
      </c>
      <c r="BB1004" s="1">
        <v>49.99</v>
      </c>
    </row>
    <row r="1005">
      <c r="A1005" s="1" t="s">
        <v>933</v>
      </c>
      <c r="C1005" s="1" t="s">
        <v>56</v>
      </c>
      <c r="D1005" s="1" t="s">
        <v>1839</v>
      </c>
      <c r="Y1005" s="2">
        <v>45517.0</v>
      </c>
      <c r="AE1005" s="1">
        <v>79.99</v>
      </c>
      <c r="AG1005" s="3" t="str">
        <f>"2000006171759981"</f>
        <v>2000006171759981</v>
      </c>
      <c r="AH1005" s="1" t="s">
        <v>58</v>
      </c>
      <c r="AI1005" s="1" t="s">
        <v>59</v>
      </c>
      <c r="AJ1005" s="1" t="s">
        <v>59</v>
      </c>
      <c r="AK1005" s="1" t="s">
        <v>60</v>
      </c>
      <c r="AL1005" s="1" t="s">
        <v>60</v>
      </c>
      <c r="AW1005" s="1" t="s">
        <v>935</v>
      </c>
      <c r="AY1005" s="1">
        <v>1.0</v>
      </c>
      <c r="AZ1005" s="1">
        <v>79.99</v>
      </c>
      <c r="BB1005" s="1">
        <v>79.99</v>
      </c>
    </row>
    <row r="1006">
      <c r="A1006" s="1" t="s">
        <v>960</v>
      </c>
      <c r="C1006" s="1" t="s">
        <v>56</v>
      </c>
      <c r="D1006" s="1" t="s">
        <v>1840</v>
      </c>
      <c r="Y1006" s="2">
        <v>45517.0</v>
      </c>
      <c r="AE1006" s="1">
        <v>129.99</v>
      </c>
      <c r="AG1006" s="3" t="str">
        <f>"2000006171709829"</f>
        <v>2000006171709829</v>
      </c>
      <c r="AH1006" s="1" t="s">
        <v>58</v>
      </c>
      <c r="AI1006" s="1" t="s">
        <v>59</v>
      </c>
      <c r="AJ1006" s="1" t="s">
        <v>59</v>
      </c>
      <c r="AK1006" s="1" t="s">
        <v>60</v>
      </c>
      <c r="AL1006" s="1" t="s">
        <v>60</v>
      </c>
      <c r="AW1006" s="1" t="s">
        <v>763</v>
      </c>
      <c r="AY1006" s="1">
        <v>1.0</v>
      </c>
      <c r="AZ1006" s="1">
        <v>129.99</v>
      </c>
      <c r="BB1006" s="1">
        <v>129.99</v>
      </c>
    </row>
    <row r="1007">
      <c r="A1007" s="1" t="s">
        <v>1031</v>
      </c>
      <c r="C1007" s="1" t="s">
        <v>56</v>
      </c>
      <c r="D1007" s="1" t="s">
        <v>1841</v>
      </c>
      <c r="Y1007" s="2">
        <v>45517.0</v>
      </c>
      <c r="AE1007" s="1">
        <v>69.99</v>
      </c>
      <c r="AG1007" s="3" t="str">
        <f>"2000006171713947"</f>
        <v>2000006171713947</v>
      </c>
      <c r="AH1007" s="1" t="s">
        <v>58</v>
      </c>
      <c r="AI1007" s="1" t="s">
        <v>59</v>
      </c>
      <c r="AJ1007" s="1" t="s">
        <v>59</v>
      </c>
      <c r="AK1007" s="1" t="s">
        <v>60</v>
      </c>
      <c r="AL1007" s="1" t="s">
        <v>60</v>
      </c>
      <c r="AW1007" s="1" t="s">
        <v>1033</v>
      </c>
      <c r="AY1007" s="1">
        <v>1.0</v>
      </c>
      <c r="AZ1007" s="1">
        <v>69.99</v>
      </c>
      <c r="BB1007" s="1">
        <v>69.99</v>
      </c>
    </row>
    <row r="1008">
      <c r="A1008" s="1" t="s">
        <v>1031</v>
      </c>
      <c r="C1008" s="1" t="s">
        <v>235</v>
      </c>
      <c r="D1008" s="1" t="s">
        <v>1842</v>
      </c>
      <c r="Y1008" s="2">
        <v>45517.0</v>
      </c>
      <c r="AE1008" s="1">
        <v>69.99</v>
      </c>
      <c r="AG1008" s="3" t="str">
        <f>"2000006171688733"</f>
        <v>2000006171688733</v>
      </c>
      <c r="AH1008" s="1" t="s">
        <v>58</v>
      </c>
      <c r="AI1008" s="1" t="s">
        <v>59</v>
      </c>
      <c r="AJ1008" s="1" t="s">
        <v>59</v>
      </c>
      <c r="AK1008" s="1" t="s">
        <v>60</v>
      </c>
      <c r="AL1008" s="1" t="s">
        <v>60</v>
      </c>
      <c r="AW1008" s="1" t="s">
        <v>1033</v>
      </c>
      <c r="AY1008" s="1">
        <v>1.0</v>
      </c>
      <c r="AZ1008" s="1">
        <v>69.99</v>
      </c>
      <c r="BB1008" s="1">
        <v>69.99</v>
      </c>
    </row>
    <row r="1009">
      <c r="A1009" s="1" t="s">
        <v>348</v>
      </c>
      <c r="C1009" s="1" t="s">
        <v>56</v>
      </c>
      <c r="D1009" s="1" t="s">
        <v>1843</v>
      </c>
      <c r="Y1009" s="2">
        <v>45517.0</v>
      </c>
      <c r="AE1009" s="1">
        <v>99.99</v>
      </c>
      <c r="AG1009" s="3" t="str">
        <f>"2000009030188330"</f>
        <v>2000009030188330</v>
      </c>
      <c r="AH1009" s="1" t="s">
        <v>58</v>
      </c>
      <c r="AI1009" s="1" t="s">
        <v>59</v>
      </c>
      <c r="AJ1009" s="1" t="s">
        <v>59</v>
      </c>
      <c r="AK1009" s="1" t="s">
        <v>60</v>
      </c>
      <c r="AL1009" s="1" t="s">
        <v>60</v>
      </c>
      <c r="AW1009" s="1" t="s">
        <v>350</v>
      </c>
      <c r="AY1009" s="1">
        <v>1.0</v>
      </c>
      <c r="AZ1009" s="1">
        <v>99.99</v>
      </c>
      <c r="BB1009" s="1">
        <v>99.99</v>
      </c>
    </row>
    <row r="1010">
      <c r="A1010" s="1" t="s">
        <v>1844</v>
      </c>
      <c r="C1010" s="1" t="s">
        <v>56</v>
      </c>
      <c r="D1010" s="1" t="s">
        <v>1845</v>
      </c>
      <c r="Y1010" s="2">
        <v>45517.0</v>
      </c>
      <c r="AE1010" s="1">
        <v>109.98</v>
      </c>
      <c r="AG1010" s="3" t="str">
        <f>"2000006171675101"</f>
        <v>2000006171675101</v>
      </c>
      <c r="AH1010" s="1" t="s">
        <v>58</v>
      </c>
      <c r="AI1010" s="1" t="s">
        <v>59</v>
      </c>
      <c r="AJ1010" s="1" t="s">
        <v>59</v>
      </c>
      <c r="AK1010" s="1" t="s">
        <v>60</v>
      </c>
      <c r="AL1010" s="1" t="s">
        <v>60</v>
      </c>
      <c r="AW1010" s="1" t="s">
        <v>1846</v>
      </c>
      <c r="AY1010" s="1">
        <v>2.0</v>
      </c>
      <c r="AZ1010" s="1">
        <v>54.99</v>
      </c>
      <c r="BB1010" s="1">
        <v>109.98</v>
      </c>
    </row>
    <row r="1011">
      <c r="A1011" s="1" t="s">
        <v>1847</v>
      </c>
      <c r="C1011" s="1" t="s">
        <v>56</v>
      </c>
      <c r="D1011" s="1" t="s">
        <v>1848</v>
      </c>
      <c r="Y1011" s="2">
        <v>45517.0</v>
      </c>
      <c r="AE1011" s="1">
        <v>89.99</v>
      </c>
      <c r="AG1011" s="3" t="str">
        <f>"2000006171636485"</f>
        <v>2000006171636485</v>
      </c>
      <c r="AH1011" s="1" t="s">
        <v>58</v>
      </c>
      <c r="AI1011" s="1" t="s">
        <v>59</v>
      </c>
      <c r="AJ1011" s="1" t="s">
        <v>59</v>
      </c>
      <c r="AK1011" s="1" t="s">
        <v>60</v>
      </c>
      <c r="AL1011" s="1" t="s">
        <v>60</v>
      </c>
      <c r="AW1011" s="1" t="s">
        <v>1849</v>
      </c>
      <c r="AY1011" s="1">
        <v>1.0</v>
      </c>
      <c r="AZ1011" s="1">
        <v>89.99</v>
      </c>
      <c r="BB1011" s="1">
        <v>89.99</v>
      </c>
    </row>
    <row r="1012">
      <c r="A1012" s="1" t="s">
        <v>377</v>
      </c>
      <c r="C1012" s="1" t="s">
        <v>56</v>
      </c>
      <c r="D1012" s="1" t="s">
        <v>1850</v>
      </c>
      <c r="Y1012" s="2">
        <v>45517.0</v>
      </c>
      <c r="AE1012" s="1">
        <v>64.99</v>
      </c>
      <c r="AG1012" s="3" t="str">
        <f>"2000006171654797"</f>
        <v>2000006171654797</v>
      </c>
      <c r="AH1012" s="1" t="s">
        <v>58</v>
      </c>
      <c r="AI1012" s="1" t="s">
        <v>59</v>
      </c>
      <c r="AJ1012" s="1" t="s">
        <v>59</v>
      </c>
      <c r="AK1012" s="1" t="s">
        <v>60</v>
      </c>
      <c r="AL1012" s="1" t="s">
        <v>60</v>
      </c>
      <c r="AW1012" s="1" t="s">
        <v>79</v>
      </c>
      <c r="AY1012" s="1">
        <v>1.0</v>
      </c>
      <c r="AZ1012" s="1">
        <v>64.99</v>
      </c>
      <c r="BB1012" s="1">
        <v>64.99</v>
      </c>
    </row>
    <row r="1013">
      <c r="A1013" s="1" t="s">
        <v>1851</v>
      </c>
      <c r="C1013" s="1" t="s">
        <v>56</v>
      </c>
      <c r="D1013" s="1" t="s">
        <v>1852</v>
      </c>
      <c r="Y1013" s="2">
        <v>45517.0</v>
      </c>
      <c r="AE1013" s="1">
        <v>49.99</v>
      </c>
      <c r="AG1013" s="3" t="str">
        <f>"2000006171631309"</f>
        <v>2000006171631309</v>
      </c>
      <c r="AH1013" s="1" t="s">
        <v>58</v>
      </c>
      <c r="AI1013" s="1" t="s">
        <v>59</v>
      </c>
      <c r="AJ1013" s="1" t="s">
        <v>59</v>
      </c>
      <c r="AK1013" s="1" t="s">
        <v>60</v>
      </c>
      <c r="AL1013" s="1" t="s">
        <v>60</v>
      </c>
      <c r="AW1013" s="1" t="s">
        <v>1853</v>
      </c>
      <c r="AY1013" s="1">
        <v>1.0</v>
      </c>
      <c r="AZ1013" s="1">
        <v>49.99</v>
      </c>
      <c r="BB1013" s="1">
        <v>49.99</v>
      </c>
    </row>
    <row r="1014">
      <c r="A1014" s="1" t="s">
        <v>236</v>
      </c>
      <c r="C1014" s="1" t="s">
        <v>56</v>
      </c>
      <c r="D1014" s="1" t="s">
        <v>1854</v>
      </c>
      <c r="Y1014" s="2">
        <v>45517.0</v>
      </c>
      <c r="AE1014" s="1">
        <v>119.99</v>
      </c>
      <c r="AG1014" s="3" t="str">
        <f>"2000006171592195"</f>
        <v>2000006171592195</v>
      </c>
      <c r="AH1014" s="1" t="s">
        <v>58</v>
      </c>
      <c r="AI1014" s="1" t="s">
        <v>59</v>
      </c>
      <c r="AJ1014" s="1" t="s">
        <v>59</v>
      </c>
      <c r="AK1014" s="1" t="s">
        <v>60</v>
      </c>
      <c r="AL1014" s="1" t="s">
        <v>60</v>
      </c>
      <c r="AW1014" s="1" t="s">
        <v>238</v>
      </c>
      <c r="AY1014" s="1">
        <v>1.0</v>
      </c>
      <c r="AZ1014" s="1">
        <v>119.99</v>
      </c>
      <c r="BB1014" s="1">
        <v>119.99</v>
      </c>
    </row>
    <row r="1015">
      <c r="A1015" s="1" t="s">
        <v>1855</v>
      </c>
      <c r="C1015" s="1" t="s">
        <v>56</v>
      </c>
      <c r="D1015" s="1" t="s">
        <v>1856</v>
      </c>
      <c r="Y1015" s="2">
        <v>45517.0</v>
      </c>
      <c r="AE1015" s="1">
        <v>114.99</v>
      </c>
      <c r="AG1015" s="3" t="str">
        <f>"2000006171583501"</f>
        <v>2000006171583501</v>
      </c>
      <c r="AH1015" s="1" t="s">
        <v>58</v>
      </c>
      <c r="AI1015" s="1" t="s">
        <v>59</v>
      </c>
      <c r="AJ1015" s="1" t="s">
        <v>59</v>
      </c>
      <c r="AK1015" s="1" t="s">
        <v>60</v>
      </c>
      <c r="AL1015" s="1" t="s">
        <v>60</v>
      </c>
      <c r="AW1015" s="1" t="s">
        <v>152</v>
      </c>
      <c r="AY1015" s="1">
        <v>1.0</v>
      </c>
      <c r="AZ1015" s="1">
        <v>114.99</v>
      </c>
      <c r="BB1015" s="1">
        <v>114.99</v>
      </c>
    </row>
    <row r="1016">
      <c r="A1016" s="1" t="s">
        <v>286</v>
      </c>
      <c r="C1016" s="1" t="s">
        <v>56</v>
      </c>
      <c r="D1016" s="1" t="s">
        <v>1857</v>
      </c>
      <c r="Y1016" s="2">
        <v>45517.0</v>
      </c>
      <c r="AE1016" s="1">
        <v>87.99</v>
      </c>
      <c r="AG1016" s="3" t="str">
        <f>"2000006171578081"</f>
        <v>2000006171578081</v>
      </c>
      <c r="AH1016" s="1" t="s">
        <v>58</v>
      </c>
      <c r="AI1016" s="1" t="s">
        <v>59</v>
      </c>
      <c r="AJ1016" s="1" t="s">
        <v>59</v>
      </c>
      <c r="AK1016" s="1" t="s">
        <v>60</v>
      </c>
      <c r="AL1016" s="1" t="s">
        <v>60</v>
      </c>
      <c r="AW1016" s="1" t="s">
        <v>288</v>
      </c>
      <c r="AY1016" s="1">
        <v>1.0</v>
      </c>
      <c r="AZ1016" s="1">
        <v>87.99</v>
      </c>
      <c r="BB1016" s="1">
        <v>87.99</v>
      </c>
    </row>
    <row r="1017">
      <c r="A1017" s="1" t="s">
        <v>98</v>
      </c>
      <c r="C1017" s="1" t="s">
        <v>56</v>
      </c>
      <c r="D1017" s="1" t="s">
        <v>1858</v>
      </c>
      <c r="Y1017" s="2">
        <v>45517.0</v>
      </c>
      <c r="AE1017" s="1">
        <v>45.99</v>
      </c>
      <c r="AG1017" s="3" t="str">
        <f>"2000006171551419"</f>
        <v>2000006171551419</v>
      </c>
      <c r="AH1017" s="1" t="s">
        <v>58</v>
      </c>
      <c r="AI1017" s="1" t="s">
        <v>59</v>
      </c>
      <c r="AJ1017" s="1" t="s">
        <v>59</v>
      </c>
      <c r="AK1017" s="1" t="s">
        <v>60</v>
      </c>
      <c r="AL1017" s="1" t="s">
        <v>60</v>
      </c>
      <c r="AW1017" s="1" t="s">
        <v>100</v>
      </c>
      <c r="AY1017" s="1">
        <v>1.0</v>
      </c>
      <c r="AZ1017" s="1">
        <v>45.99</v>
      </c>
      <c r="BB1017" s="1">
        <v>45.99</v>
      </c>
    </row>
    <row r="1018">
      <c r="A1018" s="1" t="s">
        <v>1859</v>
      </c>
      <c r="C1018" s="1" t="s">
        <v>56</v>
      </c>
      <c r="D1018" s="1" t="s">
        <v>1860</v>
      </c>
      <c r="Y1018" s="2">
        <v>45517.0</v>
      </c>
      <c r="AE1018" s="1">
        <v>89.99</v>
      </c>
      <c r="AG1018" s="3" t="str">
        <f>"2000006171466945"</f>
        <v>2000006171466945</v>
      </c>
      <c r="AH1018" s="1" t="s">
        <v>58</v>
      </c>
      <c r="AI1018" s="1" t="s">
        <v>59</v>
      </c>
      <c r="AJ1018" s="1" t="s">
        <v>59</v>
      </c>
      <c r="AK1018" s="1" t="s">
        <v>60</v>
      </c>
      <c r="AL1018" s="1" t="s">
        <v>60</v>
      </c>
      <c r="AW1018" s="1" t="s">
        <v>1861</v>
      </c>
      <c r="AY1018" s="1">
        <v>1.0</v>
      </c>
      <c r="AZ1018" s="1">
        <v>89.99</v>
      </c>
      <c r="BB1018" s="1">
        <v>89.99</v>
      </c>
    </row>
    <row r="1019">
      <c r="A1019" s="1" t="s">
        <v>1730</v>
      </c>
      <c r="C1019" s="1" t="s">
        <v>56</v>
      </c>
      <c r="D1019" s="1" t="s">
        <v>1862</v>
      </c>
      <c r="Y1019" s="2">
        <v>45517.0</v>
      </c>
      <c r="AE1019" s="1">
        <v>299.95</v>
      </c>
      <c r="AG1019" s="3" t="str">
        <f>"2000006170995903"</f>
        <v>2000006170995903</v>
      </c>
      <c r="AH1019" s="1" t="s">
        <v>58</v>
      </c>
      <c r="AI1019" s="1" t="s">
        <v>59</v>
      </c>
      <c r="AJ1019" s="1" t="s">
        <v>59</v>
      </c>
      <c r="AK1019" s="1" t="s">
        <v>60</v>
      </c>
      <c r="AL1019" s="1" t="s">
        <v>60</v>
      </c>
      <c r="AW1019" s="1" t="s">
        <v>516</v>
      </c>
      <c r="AY1019" s="1">
        <v>5.0</v>
      </c>
      <c r="AZ1019" s="1">
        <v>59.99</v>
      </c>
      <c r="BB1019" s="1">
        <v>299.95</v>
      </c>
    </row>
    <row r="1020">
      <c r="A1020" s="1" t="s">
        <v>1829</v>
      </c>
      <c r="C1020" s="1" t="s">
        <v>56</v>
      </c>
      <c r="D1020" s="1" t="s">
        <v>1424</v>
      </c>
      <c r="Y1020" s="2">
        <v>45517.0</v>
      </c>
      <c r="AE1020" s="1">
        <v>59.99</v>
      </c>
      <c r="AG1020" s="3" t="str">
        <f>"2000006171382685"</f>
        <v>2000006171382685</v>
      </c>
      <c r="AH1020" s="1" t="s">
        <v>58</v>
      </c>
      <c r="AI1020" s="1" t="s">
        <v>59</v>
      </c>
      <c r="AJ1020" s="1" t="s">
        <v>59</v>
      </c>
      <c r="AK1020" s="1" t="s">
        <v>60</v>
      </c>
      <c r="AL1020" s="1" t="s">
        <v>60</v>
      </c>
      <c r="AW1020" s="1" t="s">
        <v>1831</v>
      </c>
      <c r="AY1020" s="1">
        <v>1.0</v>
      </c>
      <c r="AZ1020" s="1">
        <v>59.99</v>
      </c>
      <c r="BB1020" s="1">
        <v>59.99</v>
      </c>
    </row>
    <row r="1021">
      <c r="A1021" s="1" t="s">
        <v>496</v>
      </c>
      <c r="C1021" s="1" t="s">
        <v>56</v>
      </c>
      <c r="D1021" s="1" t="s">
        <v>1863</v>
      </c>
      <c r="Y1021" s="2">
        <v>45517.0</v>
      </c>
      <c r="AE1021" s="1">
        <v>54.99</v>
      </c>
      <c r="AG1021" s="3" t="str">
        <f>"2000006171414295"</f>
        <v>2000006171414295</v>
      </c>
      <c r="AH1021" s="1" t="s">
        <v>58</v>
      </c>
      <c r="AI1021" s="1" t="s">
        <v>59</v>
      </c>
      <c r="AJ1021" s="1" t="s">
        <v>59</v>
      </c>
      <c r="AK1021" s="1" t="s">
        <v>60</v>
      </c>
      <c r="AL1021" s="1" t="s">
        <v>60</v>
      </c>
      <c r="AW1021" s="1" t="s">
        <v>497</v>
      </c>
      <c r="AY1021" s="1">
        <v>1.0</v>
      </c>
      <c r="AZ1021" s="1">
        <v>54.99</v>
      </c>
      <c r="BB1021" s="1">
        <v>54.99</v>
      </c>
    </row>
    <row r="1022">
      <c r="A1022" s="1" t="s">
        <v>135</v>
      </c>
      <c r="C1022" s="1" t="s">
        <v>56</v>
      </c>
      <c r="D1022" s="1" t="s">
        <v>1424</v>
      </c>
      <c r="Y1022" s="2">
        <v>45517.0</v>
      </c>
      <c r="AE1022" s="1">
        <v>89.99</v>
      </c>
      <c r="AG1022" s="3" t="str">
        <f>"2000006171382689"</f>
        <v>2000006171382689</v>
      </c>
      <c r="AH1022" s="1" t="s">
        <v>58</v>
      </c>
      <c r="AI1022" s="1" t="s">
        <v>59</v>
      </c>
      <c r="AJ1022" s="1" t="s">
        <v>59</v>
      </c>
      <c r="AK1022" s="1" t="s">
        <v>60</v>
      </c>
      <c r="AL1022" s="1" t="s">
        <v>60</v>
      </c>
      <c r="AW1022" s="1" t="s">
        <v>137</v>
      </c>
      <c r="AY1022" s="1">
        <v>1.0</v>
      </c>
      <c r="AZ1022" s="1">
        <v>89.99</v>
      </c>
      <c r="BB1022" s="1">
        <v>89.99</v>
      </c>
    </row>
    <row r="1023">
      <c r="A1023" s="1" t="s">
        <v>556</v>
      </c>
      <c r="C1023" s="1" t="s">
        <v>56</v>
      </c>
      <c r="D1023" s="1" t="s">
        <v>1864</v>
      </c>
      <c r="Y1023" s="2">
        <v>45517.0</v>
      </c>
      <c r="AE1023" s="1">
        <v>59.99</v>
      </c>
      <c r="AG1023" s="3" t="str">
        <f t="shared" ref="AG1023:AG1024" si="41">"2000006171408307"</f>
        <v>2000006171408307</v>
      </c>
      <c r="AH1023" s="1" t="s">
        <v>58</v>
      </c>
      <c r="AI1023" s="1" t="s">
        <v>59</v>
      </c>
      <c r="AJ1023" s="1" t="s">
        <v>59</v>
      </c>
      <c r="AK1023" s="1" t="s">
        <v>60</v>
      </c>
      <c r="AL1023" s="1" t="s">
        <v>60</v>
      </c>
      <c r="AW1023" s="1" t="s">
        <v>558</v>
      </c>
      <c r="AY1023" s="1">
        <v>1.0</v>
      </c>
      <c r="AZ1023" s="1">
        <v>59.99</v>
      </c>
      <c r="BB1023" s="1">
        <v>59.99</v>
      </c>
    </row>
    <row r="1024">
      <c r="A1024" s="1" t="s">
        <v>559</v>
      </c>
      <c r="C1024" s="1" t="s">
        <v>56</v>
      </c>
      <c r="D1024" s="1" t="s">
        <v>1864</v>
      </c>
      <c r="Y1024" s="2">
        <v>45517.0</v>
      </c>
      <c r="AE1024" s="1">
        <v>59.99</v>
      </c>
      <c r="AG1024" s="3" t="str">
        <f t="shared" si="41"/>
        <v>2000006171408307</v>
      </c>
      <c r="AH1024" s="1" t="s">
        <v>58</v>
      </c>
      <c r="AI1024" s="1" t="s">
        <v>59</v>
      </c>
      <c r="AJ1024" s="1" t="s">
        <v>59</v>
      </c>
      <c r="AK1024" s="1" t="s">
        <v>60</v>
      </c>
      <c r="AL1024" s="1" t="s">
        <v>60</v>
      </c>
      <c r="AW1024" s="1" t="s">
        <v>558</v>
      </c>
      <c r="AY1024" s="1">
        <v>1.0</v>
      </c>
      <c r="AZ1024" s="1">
        <v>59.99</v>
      </c>
      <c r="BB1024" s="1">
        <v>59.99</v>
      </c>
    </row>
    <row r="1025">
      <c r="A1025" s="1" t="s">
        <v>1619</v>
      </c>
      <c r="C1025" s="1" t="s">
        <v>56</v>
      </c>
      <c r="D1025" s="1" t="s">
        <v>1865</v>
      </c>
      <c r="Y1025" s="2">
        <v>45517.0</v>
      </c>
      <c r="AE1025" s="1">
        <v>174.99</v>
      </c>
      <c r="AG1025" s="3" t="str">
        <f>"2000006171212849"</f>
        <v>2000006171212849</v>
      </c>
      <c r="AH1025" s="1" t="s">
        <v>58</v>
      </c>
      <c r="AI1025" s="1" t="s">
        <v>59</v>
      </c>
      <c r="AJ1025" s="1" t="s">
        <v>59</v>
      </c>
      <c r="AK1025" s="1" t="s">
        <v>60</v>
      </c>
      <c r="AL1025" s="1" t="s">
        <v>60</v>
      </c>
      <c r="AW1025" s="1" t="s">
        <v>1621</v>
      </c>
      <c r="AY1025" s="1">
        <v>1.0</v>
      </c>
      <c r="AZ1025" s="1">
        <v>174.99</v>
      </c>
      <c r="BB1025" s="1">
        <v>174.99</v>
      </c>
    </row>
    <row r="1026">
      <c r="A1026" s="1" t="s">
        <v>492</v>
      </c>
      <c r="C1026" s="1" t="s">
        <v>56</v>
      </c>
      <c r="D1026" s="1" t="s">
        <v>1866</v>
      </c>
      <c r="Y1026" s="2">
        <v>45517.0</v>
      </c>
      <c r="AE1026" s="1">
        <v>139.99</v>
      </c>
      <c r="AG1026" s="3" t="str">
        <f>"2000006171340721"</f>
        <v>2000006171340721</v>
      </c>
      <c r="AH1026" s="1" t="s">
        <v>58</v>
      </c>
      <c r="AI1026" s="1" t="s">
        <v>59</v>
      </c>
      <c r="AJ1026" s="1" t="s">
        <v>59</v>
      </c>
      <c r="AK1026" s="1" t="s">
        <v>60</v>
      </c>
      <c r="AL1026" s="1" t="s">
        <v>60</v>
      </c>
      <c r="AW1026" s="1" t="s">
        <v>494</v>
      </c>
      <c r="AY1026" s="1">
        <v>1.0</v>
      </c>
      <c r="AZ1026" s="1">
        <v>139.99</v>
      </c>
      <c r="BB1026" s="1">
        <v>139.99</v>
      </c>
    </row>
    <row r="1027">
      <c r="A1027" s="1" t="s">
        <v>525</v>
      </c>
      <c r="C1027" s="1" t="s">
        <v>56</v>
      </c>
      <c r="D1027" s="1" t="s">
        <v>1867</v>
      </c>
      <c r="Y1027" s="2">
        <v>45517.0</v>
      </c>
      <c r="AE1027" s="1">
        <v>54.99</v>
      </c>
      <c r="AG1027" s="3" t="str">
        <f>"2000006171328425"</f>
        <v>2000006171328425</v>
      </c>
      <c r="AH1027" s="1" t="s">
        <v>58</v>
      </c>
      <c r="AI1027" s="1" t="s">
        <v>59</v>
      </c>
      <c r="AJ1027" s="1" t="s">
        <v>59</v>
      </c>
      <c r="AK1027" s="1" t="s">
        <v>60</v>
      </c>
      <c r="AL1027" s="1" t="s">
        <v>60</v>
      </c>
      <c r="AW1027" s="1" t="s">
        <v>497</v>
      </c>
      <c r="AY1027" s="1">
        <v>1.0</v>
      </c>
      <c r="AZ1027" s="1">
        <v>54.99</v>
      </c>
      <c r="BB1027" s="1">
        <v>54.99</v>
      </c>
    </row>
    <row r="1028">
      <c r="A1028" s="1" t="s">
        <v>1868</v>
      </c>
      <c r="C1028" s="1" t="s">
        <v>56</v>
      </c>
      <c r="D1028" s="1" t="s">
        <v>1869</v>
      </c>
      <c r="Y1028" s="2">
        <v>45517.0</v>
      </c>
      <c r="AE1028" s="1">
        <v>519.99</v>
      </c>
      <c r="AG1028" s="3" t="str">
        <f>"2000006171311253"</f>
        <v>2000006171311253</v>
      </c>
      <c r="AH1028" s="1" t="s">
        <v>58</v>
      </c>
      <c r="AI1028" s="1" t="s">
        <v>59</v>
      </c>
      <c r="AJ1028" s="1" t="s">
        <v>59</v>
      </c>
      <c r="AK1028" s="1" t="s">
        <v>60</v>
      </c>
      <c r="AL1028" s="1" t="s">
        <v>60</v>
      </c>
      <c r="AW1028" s="1" t="s">
        <v>1870</v>
      </c>
      <c r="AY1028" s="1">
        <v>1.0</v>
      </c>
      <c r="AZ1028" s="1">
        <v>519.99</v>
      </c>
      <c r="BB1028" s="1">
        <v>519.99</v>
      </c>
    </row>
    <row r="1029">
      <c r="A1029" s="1" t="s">
        <v>207</v>
      </c>
      <c r="C1029" s="1" t="s">
        <v>56</v>
      </c>
      <c r="D1029" s="1" t="s">
        <v>1871</v>
      </c>
      <c r="Y1029" s="2">
        <v>45517.0</v>
      </c>
      <c r="AE1029" s="1">
        <v>64.99</v>
      </c>
      <c r="AG1029" s="3" t="str">
        <f>"2000006171302833"</f>
        <v>2000006171302833</v>
      </c>
      <c r="AH1029" s="1" t="s">
        <v>58</v>
      </c>
      <c r="AI1029" s="1" t="s">
        <v>59</v>
      </c>
      <c r="AJ1029" s="1" t="s">
        <v>59</v>
      </c>
      <c r="AK1029" s="1" t="s">
        <v>60</v>
      </c>
      <c r="AL1029" s="1" t="s">
        <v>60</v>
      </c>
      <c r="AW1029" s="1" t="s">
        <v>209</v>
      </c>
      <c r="AY1029" s="1">
        <v>1.0</v>
      </c>
      <c r="AZ1029" s="1">
        <v>64.99</v>
      </c>
      <c r="BB1029" s="1">
        <v>64.99</v>
      </c>
    </row>
    <row r="1030">
      <c r="A1030" s="1" t="s">
        <v>567</v>
      </c>
      <c r="C1030" s="1" t="s">
        <v>56</v>
      </c>
      <c r="D1030" s="1" t="s">
        <v>1872</v>
      </c>
      <c r="Y1030" s="2">
        <v>45517.0</v>
      </c>
      <c r="AE1030" s="1">
        <v>44.99</v>
      </c>
      <c r="AG1030" s="3" t="str">
        <f>"2000006171304335"</f>
        <v>2000006171304335</v>
      </c>
      <c r="AH1030" s="1" t="s">
        <v>58</v>
      </c>
      <c r="AI1030" s="1" t="s">
        <v>59</v>
      </c>
      <c r="AJ1030" s="1" t="s">
        <v>59</v>
      </c>
      <c r="AK1030" s="1" t="s">
        <v>60</v>
      </c>
      <c r="AL1030" s="1" t="s">
        <v>60</v>
      </c>
      <c r="AW1030" s="1" t="s">
        <v>569</v>
      </c>
      <c r="AY1030" s="1">
        <v>1.0</v>
      </c>
      <c r="AZ1030" s="1">
        <v>44.99</v>
      </c>
      <c r="BB1030" s="1">
        <v>44.99</v>
      </c>
    </row>
    <row r="1031">
      <c r="A1031" s="1" t="s">
        <v>410</v>
      </c>
      <c r="C1031" s="1" t="s">
        <v>56</v>
      </c>
      <c r="D1031" s="1" t="s">
        <v>1873</v>
      </c>
      <c r="Y1031" s="2">
        <v>45517.0</v>
      </c>
      <c r="AE1031" s="1">
        <v>62.99</v>
      </c>
      <c r="AG1031" s="3" t="str">
        <f t="shared" ref="AG1031:AG1034" si="42">"2000006171294503"</f>
        <v>2000006171294503</v>
      </c>
      <c r="AH1031" s="1" t="s">
        <v>58</v>
      </c>
      <c r="AI1031" s="1" t="s">
        <v>59</v>
      </c>
      <c r="AJ1031" s="1" t="s">
        <v>59</v>
      </c>
      <c r="AK1031" s="1" t="s">
        <v>60</v>
      </c>
      <c r="AL1031" s="1" t="s">
        <v>60</v>
      </c>
      <c r="AW1031" s="1" t="s">
        <v>412</v>
      </c>
      <c r="AY1031" s="1">
        <v>1.0</v>
      </c>
      <c r="AZ1031" s="1">
        <v>62.99</v>
      </c>
      <c r="BB1031" s="1">
        <v>62.99</v>
      </c>
    </row>
    <row r="1032">
      <c r="A1032" s="1" t="s">
        <v>1278</v>
      </c>
      <c r="C1032" s="1" t="s">
        <v>56</v>
      </c>
      <c r="D1032" s="1" t="s">
        <v>1873</v>
      </c>
      <c r="Y1032" s="2">
        <v>45517.0</v>
      </c>
      <c r="AE1032" s="1">
        <v>94.99</v>
      </c>
      <c r="AG1032" s="3" t="str">
        <f t="shared" si="42"/>
        <v>2000006171294503</v>
      </c>
      <c r="AH1032" s="1" t="s">
        <v>58</v>
      </c>
      <c r="AI1032" s="1" t="s">
        <v>59</v>
      </c>
      <c r="AJ1032" s="1" t="s">
        <v>59</v>
      </c>
      <c r="AK1032" s="1" t="s">
        <v>60</v>
      </c>
      <c r="AL1032" s="1" t="s">
        <v>60</v>
      </c>
      <c r="AW1032" s="1" t="s">
        <v>1279</v>
      </c>
      <c r="AY1032" s="1">
        <v>1.0</v>
      </c>
      <c r="AZ1032" s="1">
        <v>94.99</v>
      </c>
      <c r="BB1032" s="1">
        <v>94.99</v>
      </c>
    </row>
    <row r="1033">
      <c r="A1033" s="1" t="s">
        <v>1874</v>
      </c>
      <c r="C1033" s="1" t="s">
        <v>56</v>
      </c>
      <c r="D1033" s="1" t="s">
        <v>1873</v>
      </c>
      <c r="Y1033" s="2">
        <v>45517.0</v>
      </c>
      <c r="AE1033" s="1">
        <v>69.99</v>
      </c>
      <c r="AG1033" s="3" t="str">
        <f t="shared" si="42"/>
        <v>2000006171294503</v>
      </c>
      <c r="AH1033" s="1" t="s">
        <v>58</v>
      </c>
      <c r="AI1033" s="1" t="s">
        <v>59</v>
      </c>
      <c r="AJ1033" s="1" t="s">
        <v>59</v>
      </c>
      <c r="AK1033" s="1" t="s">
        <v>60</v>
      </c>
      <c r="AL1033" s="1" t="s">
        <v>60</v>
      </c>
      <c r="AW1033" s="1" t="s">
        <v>1875</v>
      </c>
      <c r="AY1033" s="1">
        <v>1.0</v>
      </c>
      <c r="AZ1033" s="1">
        <v>69.99</v>
      </c>
      <c r="BB1033" s="1">
        <v>69.99</v>
      </c>
    </row>
    <row r="1034">
      <c r="A1034" s="1" t="s">
        <v>1108</v>
      </c>
      <c r="C1034" s="1" t="s">
        <v>56</v>
      </c>
      <c r="D1034" s="1" t="s">
        <v>1873</v>
      </c>
      <c r="Y1034" s="2">
        <v>45517.0</v>
      </c>
      <c r="AE1034" s="1">
        <v>159.99</v>
      </c>
      <c r="AG1034" s="3" t="str">
        <f t="shared" si="42"/>
        <v>2000006171294503</v>
      </c>
      <c r="AH1034" s="1" t="s">
        <v>58</v>
      </c>
      <c r="AI1034" s="1" t="s">
        <v>59</v>
      </c>
      <c r="AJ1034" s="1" t="s">
        <v>59</v>
      </c>
      <c r="AK1034" s="1" t="s">
        <v>60</v>
      </c>
      <c r="AL1034" s="1" t="s">
        <v>60</v>
      </c>
      <c r="AW1034" s="1" t="s">
        <v>1109</v>
      </c>
      <c r="AY1034" s="1">
        <v>1.0</v>
      </c>
      <c r="AZ1034" s="1">
        <v>159.99</v>
      </c>
      <c r="BB1034" s="1">
        <v>159.99</v>
      </c>
    </row>
    <row r="1035">
      <c r="A1035" s="1" t="s">
        <v>1340</v>
      </c>
      <c r="C1035" s="1" t="s">
        <v>56</v>
      </c>
      <c r="D1035" s="1" t="s">
        <v>1876</v>
      </c>
      <c r="Y1035" s="2">
        <v>45517.0</v>
      </c>
      <c r="AE1035" s="1">
        <v>229.99</v>
      </c>
      <c r="AG1035" s="3" t="str">
        <f>"2000009029442410"</f>
        <v>2000009029442410</v>
      </c>
      <c r="AH1035" s="1" t="s">
        <v>58</v>
      </c>
      <c r="AI1035" s="1" t="s">
        <v>59</v>
      </c>
      <c r="AJ1035" s="1" t="s">
        <v>59</v>
      </c>
      <c r="AK1035" s="1" t="s">
        <v>60</v>
      </c>
      <c r="AL1035" s="1" t="s">
        <v>60</v>
      </c>
      <c r="AW1035" s="1" t="s">
        <v>1877</v>
      </c>
      <c r="AY1035" s="1">
        <v>1.0</v>
      </c>
      <c r="AZ1035" s="1">
        <v>229.99</v>
      </c>
      <c r="BB1035" s="1">
        <v>229.99</v>
      </c>
    </row>
    <row r="1036">
      <c r="A1036" s="1" t="s">
        <v>577</v>
      </c>
      <c r="C1036" s="1" t="s">
        <v>56</v>
      </c>
      <c r="D1036" s="1" t="s">
        <v>1878</v>
      </c>
      <c r="Y1036" s="2">
        <v>45517.0</v>
      </c>
      <c r="AE1036" s="1">
        <v>52.99</v>
      </c>
      <c r="AG1036" s="3" t="str">
        <f>"2000006171213509"</f>
        <v>2000006171213509</v>
      </c>
      <c r="AH1036" s="1" t="s">
        <v>58</v>
      </c>
      <c r="AI1036" s="1" t="s">
        <v>59</v>
      </c>
      <c r="AJ1036" s="1" t="s">
        <v>59</v>
      </c>
      <c r="AK1036" s="1" t="s">
        <v>60</v>
      </c>
      <c r="AL1036" s="1" t="s">
        <v>60</v>
      </c>
      <c r="AW1036" s="1" t="s">
        <v>579</v>
      </c>
      <c r="AY1036" s="1">
        <v>1.0</v>
      </c>
      <c r="AZ1036" s="1">
        <v>52.99</v>
      </c>
      <c r="BB1036" s="1">
        <v>52.99</v>
      </c>
    </row>
    <row r="1037">
      <c r="A1037" s="1" t="s">
        <v>182</v>
      </c>
      <c r="C1037" s="1" t="s">
        <v>56</v>
      </c>
      <c r="D1037" s="1" t="s">
        <v>1879</v>
      </c>
      <c r="Y1037" s="2">
        <v>45517.0</v>
      </c>
      <c r="AE1037" s="1">
        <v>109.99</v>
      </c>
      <c r="AG1037" s="3" t="str">
        <f>"2000006171219839"</f>
        <v>2000006171219839</v>
      </c>
      <c r="AH1037" s="1" t="s">
        <v>58</v>
      </c>
      <c r="AI1037" s="1" t="s">
        <v>59</v>
      </c>
      <c r="AJ1037" s="1" t="s">
        <v>59</v>
      </c>
      <c r="AK1037" s="1" t="s">
        <v>60</v>
      </c>
      <c r="AL1037" s="1" t="s">
        <v>60</v>
      </c>
      <c r="AW1037" s="1" t="s">
        <v>932</v>
      </c>
      <c r="AY1037" s="1">
        <v>1.0</v>
      </c>
      <c r="AZ1037" s="1">
        <v>109.99</v>
      </c>
      <c r="BB1037" s="1">
        <v>109.99</v>
      </c>
    </row>
    <row r="1038">
      <c r="A1038" s="1" t="s">
        <v>195</v>
      </c>
      <c r="C1038" s="1" t="s">
        <v>56</v>
      </c>
      <c r="D1038" s="1" t="s">
        <v>1880</v>
      </c>
      <c r="Y1038" s="2">
        <v>45517.0</v>
      </c>
      <c r="AE1038" s="1">
        <v>47.99</v>
      </c>
      <c r="AG1038" s="3" t="str">
        <f>"2000006170360231"</f>
        <v>2000006170360231</v>
      </c>
      <c r="AH1038" s="1" t="s">
        <v>58</v>
      </c>
      <c r="AI1038" s="1" t="s">
        <v>59</v>
      </c>
      <c r="AJ1038" s="1" t="s">
        <v>59</v>
      </c>
      <c r="AK1038" s="1" t="s">
        <v>60</v>
      </c>
      <c r="AL1038" s="1" t="s">
        <v>60</v>
      </c>
      <c r="AW1038" s="1" t="s">
        <v>197</v>
      </c>
      <c r="AY1038" s="1">
        <v>1.0</v>
      </c>
      <c r="AZ1038" s="1">
        <v>47.99</v>
      </c>
      <c r="BB1038" s="1">
        <v>47.99</v>
      </c>
    </row>
    <row r="1039">
      <c r="A1039" s="1" t="s">
        <v>785</v>
      </c>
      <c r="C1039" s="1" t="s">
        <v>56</v>
      </c>
      <c r="D1039" s="1" t="s">
        <v>1881</v>
      </c>
      <c r="Y1039" s="2">
        <v>45517.0</v>
      </c>
      <c r="AE1039" s="1">
        <v>169.99</v>
      </c>
      <c r="AG1039" s="3" t="str">
        <f>"2000006171193127"</f>
        <v>2000006171193127</v>
      </c>
      <c r="AH1039" s="1" t="s">
        <v>58</v>
      </c>
      <c r="AI1039" s="1" t="s">
        <v>59</v>
      </c>
      <c r="AJ1039" s="1" t="s">
        <v>59</v>
      </c>
      <c r="AK1039" s="1" t="s">
        <v>60</v>
      </c>
      <c r="AL1039" s="1" t="s">
        <v>60</v>
      </c>
      <c r="AW1039" s="1" t="s">
        <v>787</v>
      </c>
      <c r="AY1039" s="1">
        <v>1.0</v>
      </c>
      <c r="AZ1039" s="1">
        <v>169.99</v>
      </c>
      <c r="BB1039" s="1">
        <v>169.99</v>
      </c>
    </row>
    <row r="1040">
      <c r="A1040" s="1" t="s">
        <v>1882</v>
      </c>
      <c r="C1040" s="1" t="s">
        <v>56</v>
      </c>
      <c r="D1040" s="1" t="s">
        <v>1883</v>
      </c>
      <c r="Y1040" s="2">
        <v>45517.0</v>
      </c>
      <c r="AE1040" s="1">
        <v>104.99</v>
      </c>
      <c r="AG1040" s="3" t="str">
        <f>"2000006171146041"</f>
        <v>2000006171146041</v>
      </c>
      <c r="AH1040" s="1" t="s">
        <v>58</v>
      </c>
      <c r="AI1040" s="1" t="s">
        <v>59</v>
      </c>
      <c r="AJ1040" s="1" t="s">
        <v>59</v>
      </c>
      <c r="AK1040" s="1" t="s">
        <v>60</v>
      </c>
      <c r="AL1040" s="1" t="s">
        <v>60</v>
      </c>
      <c r="AW1040" s="1" t="s">
        <v>1884</v>
      </c>
      <c r="AY1040" s="1">
        <v>1.0</v>
      </c>
      <c r="AZ1040" s="1">
        <v>104.99</v>
      </c>
      <c r="BB1040" s="1">
        <v>104.99</v>
      </c>
    </row>
    <row r="1041">
      <c r="A1041" s="1" t="s">
        <v>1885</v>
      </c>
      <c r="C1041" s="1" t="s">
        <v>235</v>
      </c>
      <c r="D1041" s="1" t="s">
        <v>1886</v>
      </c>
      <c r="Y1041" s="2">
        <v>45517.0</v>
      </c>
      <c r="AE1041" s="1">
        <v>57.99</v>
      </c>
      <c r="AG1041" s="3" t="str">
        <f>"2000006171097107"</f>
        <v>2000006171097107</v>
      </c>
      <c r="AH1041" s="1" t="s">
        <v>58</v>
      </c>
      <c r="AI1041" s="1" t="s">
        <v>59</v>
      </c>
      <c r="AJ1041" s="1" t="s">
        <v>59</v>
      </c>
      <c r="AK1041" s="1" t="s">
        <v>60</v>
      </c>
      <c r="AL1041" s="1" t="s">
        <v>60</v>
      </c>
      <c r="AW1041" s="1" t="s">
        <v>1887</v>
      </c>
      <c r="AY1041" s="1">
        <v>1.0</v>
      </c>
      <c r="AZ1041" s="1">
        <v>57.99</v>
      </c>
      <c r="BB1041" s="1">
        <v>57.99</v>
      </c>
    </row>
    <row r="1042">
      <c r="A1042" s="1" t="s">
        <v>407</v>
      </c>
      <c r="C1042" s="1" t="s">
        <v>56</v>
      </c>
      <c r="D1042" s="1" t="s">
        <v>1888</v>
      </c>
      <c r="Y1042" s="2">
        <v>45517.0</v>
      </c>
      <c r="AE1042" s="1">
        <v>94.99</v>
      </c>
      <c r="AG1042" s="3" t="str">
        <f>"2000006160391961"</f>
        <v>2000006160391961</v>
      </c>
      <c r="AH1042" s="1" t="s">
        <v>58</v>
      </c>
      <c r="AI1042" s="1" t="s">
        <v>59</v>
      </c>
      <c r="AJ1042" s="1" t="s">
        <v>59</v>
      </c>
      <c r="AK1042" s="1" t="s">
        <v>60</v>
      </c>
      <c r="AL1042" s="1" t="s">
        <v>60</v>
      </c>
      <c r="AW1042" s="1" t="s">
        <v>409</v>
      </c>
      <c r="AY1042" s="1">
        <v>1.0</v>
      </c>
      <c r="AZ1042" s="1">
        <v>94.99</v>
      </c>
      <c r="BB1042" s="1">
        <v>94.99</v>
      </c>
    </row>
    <row r="1043">
      <c r="A1043" s="1" t="s">
        <v>1889</v>
      </c>
      <c r="C1043" s="1" t="s">
        <v>56</v>
      </c>
      <c r="D1043" s="1" t="s">
        <v>1890</v>
      </c>
      <c r="Y1043" s="2">
        <v>45517.0</v>
      </c>
      <c r="AE1043" s="1">
        <v>54.99</v>
      </c>
      <c r="AG1043" s="3" t="str">
        <f>"2000006171114681"</f>
        <v>2000006171114681</v>
      </c>
      <c r="AH1043" s="1" t="s">
        <v>58</v>
      </c>
      <c r="AI1043" s="1" t="s">
        <v>59</v>
      </c>
      <c r="AJ1043" s="1" t="s">
        <v>59</v>
      </c>
      <c r="AK1043" s="1" t="s">
        <v>60</v>
      </c>
      <c r="AL1043" s="1" t="s">
        <v>60</v>
      </c>
      <c r="AW1043" s="1" t="s">
        <v>1013</v>
      </c>
      <c r="AY1043" s="1">
        <v>1.0</v>
      </c>
      <c r="AZ1043" s="1">
        <v>54.99</v>
      </c>
      <c r="BB1043" s="1">
        <v>54.99</v>
      </c>
    </row>
    <row r="1044">
      <c r="A1044" s="1" t="s">
        <v>625</v>
      </c>
      <c r="C1044" s="1" t="s">
        <v>56</v>
      </c>
      <c r="D1044" s="1" t="s">
        <v>1891</v>
      </c>
      <c r="Y1044" s="2">
        <v>45517.0</v>
      </c>
      <c r="AE1044" s="1">
        <v>89.99</v>
      </c>
      <c r="AG1044" s="3" t="str">
        <f t="shared" ref="AG1044:AG1045" si="43">"2000006171109525"</f>
        <v>2000006171109525</v>
      </c>
      <c r="AH1044" s="1" t="s">
        <v>58</v>
      </c>
      <c r="AI1044" s="1" t="s">
        <v>59</v>
      </c>
      <c r="AJ1044" s="1" t="s">
        <v>59</v>
      </c>
      <c r="AK1044" s="1" t="s">
        <v>60</v>
      </c>
      <c r="AL1044" s="1" t="s">
        <v>60</v>
      </c>
      <c r="AW1044" s="1" t="s">
        <v>627</v>
      </c>
      <c r="AY1044" s="1">
        <v>1.0</v>
      </c>
      <c r="AZ1044" s="1">
        <v>89.99</v>
      </c>
      <c r="BB1044" s="1">
        <v>89.99</v>
      </c>
    </row>
    <row r="1045">
      <c r="A1045" s="1" t="s">
        <v>1629</v>
      </c>
      <c r="C1045" s="1" t="s">
        <v>56</v>
      </c>
      <c r="D1045" s="1" t="s">
        <v>1891</v>
      </c>
      <c r="Y1045" s="2">
        <v>45517.0</v>
      </c>
      <c r="AE1045" s="1">
        <v>109.99</v>
      </c>
      <c r="AG1045" s="3" t="str">
        <f t="shared" si="43"/>
        <v>2000006171109525</v>
      </c>
      <c r="AH1045" s="1" t="s">
        <v>58</v>
      </c>
      <c r="AI1045" s="1" t="s">
        <v>59</v>
      </c>
      <c r="AJ1045" s="1" t="s">
        <v>59</v>
      </c>
      <c r="AK1045" s="1" t="s">
        <v>60</v>
      </c>
      <c r="AL1045" s="1" t="s">
        <v>60</v>
      </c>
      <c r="AW1045" s="1" t="s">
        <v>1631</v>
      </c>
      <c r="AY1045" s="1">
        <v>1.0</v>
      </c>
      <c r="AZ1045" s="1">
        <v>109.99</v>
      </c>
      <c r="BB1045" s="1">
        <v>109.99</v>
      </c>
    </row>
    <row r="1046">
      <c r="A1046" s="1" t="s">
        <v>348</v>
      </c>
      <c r="C1046" s="1" t="s">
        <v>235</v>
      </c>
      <c r="D1046" s="1" t="s">
        <v>1843</v>
      </c>
      <c r="Y1046" s="2">
        <v>45517.0</v>
      </c>
      <c r="AE1046" s="1">
        <v>99.99</v>
      </c>
      <c r="AG1046" s="3" t="str">
        <f>"2000009029095872"</f>
        <v>2000009029095872</v>
      </c>
      <c r="AH1046" s="1" t="s">
        <v>58</v>
      </c>
      <c r="AI1046" s="1" t="s">
        <v>59</v>
      </c>
      <c r="AJ1046" s="1" t="s">
        <v>59</v>
      </c>
      <c r="AK1046" s="1" t="s">
        <v>60</v>
      </c>
      <c r="AL1046" s="1" t="s">
        <v>60</v>
      </c>
      <c r="AW1046" s="1" t="s">
        <v>1892</v>
      </c>
      <c r="AY1046" s="1">
        <v>1.0</v>
      </c>
      <c r="AZ1046" s="1">
        <v>99.99</v>
      </c>
      <c r="BB1046" s="1">
        <v>99.99</v>
      </c>
    </row>
    <row r="1047">
      <c r="A1047" s="1" t="s">
        <v>153</v>
      </c>
      <c r="C1047" s="1" t="s">
        <v>56</v>
      </c>
      <c r="D1047" s="1" t="s">
        <v>1893</v>
      </c>
      <c r="Y1047" s="2">
        <v>45517.0</v>
      </c>
      <c r="AE1047" s="1">
        <v>47.18</v>
      </c>
      <c r="AG1047" s="3" t="str">
        <f>"2000006171055011"</f>
        <v>2000006171055011</v>
      </c>
      <c r="AH1047" s="1" t="s">
        <v>58</v>
      </c>
      <c r="AI1047" s="1" t="s">
        <v>59</v>
      </c>
      <c r="AJ1047" s="1" t="s">
        <v>59</v>
      </c>
      <c r="AK1047" s="1" t="s">
        <v>60</v>
      </c>
      <c r="AL1047" s="1" t="s">
        <v>60</v>
      </c>
      <c r="AW1047" s="1" t="s">
        <v>155</v>
      </c>
      <c r="AY1047" s="1">
        <v>1.0</v>
      </c>
      <c r="AZ1047" s="1">
        <v>47.18</v>
      </c>
      <c r="BB1047" s="1">
        <v>47.18</v>
      </c>
    </row>
    <row r="1048">
      <c r="A1048" s="1" t="s">
        <v>1894</v>
      </c>
      <c r="C1048" s="1" t="s">
        <v>56</v>
      </c>
      <c r="D1048" s="1" t="s">
        <v>1895</v>
      </c>
      <c r="Y1048" s="2">
        <v>45517.0</v>
      </c>
      <c r="AE1048" s="1">
        <v>42.49</v>
      </c>
      <c r="AG1048" s="3" t="str">
        <f>"2000009029048254"</f>
        <v>2000009029048254</v>
      </c>
      <c r="AH1048" s="1" t="s">
        <v>58</v>
      </c>
      <c r="AI1048" s="1" t="s">
        <v>59</v>
      </c>
      <c r="AJ1048" s="1" t="s">
        <v>59</v>
      </c>
      <c r="AK1048" s="1" t="s">
        <v>60</v>
      </c>
      <c r="AL1048" s="1" t="s">
        <v>60</v>
      </c>
      <c r="AW1048" s="1" t="s">
        <v>373</v>
      </c>
      <c r="AY1048" s="1">
        <v>1.0</v>
      </c>
      <c r="AZ1048" s="1">
        <v>42.49</v>
      </c>
      <c r="BB1048" s="1">
        <v>42.49</v>
      </c>
    </row>
    <row r="1049">
      <c r="A1049" s="1" t="s">
        <v>859</v>
      </c>
      <c r="C1049" s="1" t="s">
        <v>56</v>
      </c>
      <c r="D1049" s="1" t="s">
        <v>1896</v>
      </c>
      <c r="Y1049" s="2">
        <v>45517.0</v>
      </c>
      <c r="AE1049" s="1">
        <v>294.99</v>
      </c>
      <c r="AG1049" s="3" t="str">
        <f>"2000006171045675"</f>
        <v>2000006171045675</v>
      </c>
      <c r="AH1049" s="1" t="s">
        <v>58</v>
      </c>
      <c r="AI1049" s="1" t="s">
        <v>59</v>
      </c>
      <c r="AJ1049" s="1" t="s">
        <v>59</v>
      </c>
      <c r="AK1049" s="1" t="s">
        <v>60</v>
      </c>
      <c r="AL1049" s="1" t="s">
        <v>60</v>
      </c>
      <c r="AW1049" s="1" t="s">
        <v>861</v>
      </c>
      <c r="AY1049" s="1">
        <v>1.0</v>
      </c>
      <c r="AZ1049" s="1">
        <v>294.99</v>
      </c>
      <c r="BB1049" s="1">
        <v>294.99</v>
      </c>
    </row>
    <row r="1050">
      <c r="A1050" s="1" t="s">
        <v>1521</v>
      </c>
      <c r="C1050" s="1" t="s">
        <v>56</v>
      </c>
      <c r="D1050" s="1" t="s">
        <v>1897</v>
      </c>
      <c r="Y1050" s="2">
        <v>45517.0</v>
      </c>
      <c r="AE1050" s="1">
        <v>49.99</v>
      </c>
      <c r="AG1050" s="3" t="str">
        <f>"2000009029009348"</f>
        <v>2000009029009348</v>
      </c>
      <c r="AH1050" s="1" t="s">
        <v>58</v>
      </c>
      <c r="AI1050" s="1" t="s">
        <v>59</v>
      </c>
      <c r="AJ1050" s="1" t="s">
        <v>59</v>
      </c>
      <c r="AK1050" s="1" t="s">
        <v>60</v>
      </c>
      <c r="AL1050" s="1" t="s">
        <v>60</v>
      </c>
      <c r="AW1050" s="1" t="s">
        <v>1523</v>
      </c>
      <c r="AY1050" s="1">
        <v>1.0</v>
      </c>
      <c r="AZ1050" s="1">
        <v>49.99</v>
      </c>
      <c r="BB1050" s="1">
        <v>49.99</v>
      </c>
    </row>
    <row r="1051">
      <c r="A1051" s="1" t="s">
        <v>1898</v>
      </c>
      <c r="C1051" s="1" t="s">
        <v>56</v>
      </c>
      <c r="D1051" s="1" t="s">
        <v>1899</v>
      </c>
      <c r="Y1051" s="2">
        <v>45517.0</v>
      </c>
      <c r="AE1051" s="1">
        <v>79.99</v>
      </c>
      <c r="AG1051" s="3" t="str">
        <f>"2000006170984417"</f>
        <v>2000006170984417</v>
      </c>
      <c r="AH1051" s="1" t="s">
        <v>58</v>
      </c>
      <c r="AI1051" s="1" t="s">
        <v>59</v>
      </c>
      <c r="AJ1051" s="1" t="s">
        <v>59</v>
      </c>
      <c r="AK1051" s="1" t="s">
        <v>60</v>
      </c>
      <c r="AL1051" s="1" t="s">
        <v>60</v>
      </c>
      <c r="AW1051" s="1" t="s">
        <v>1900</v>
      </c>
      <c r="AY1051" s="1">
        <v>1.0</v>
      </c>
      <c r="AZ1051" s="1">
        <v>79.99</v>
      </c>
      <c r="BB1051" s="1">
        <v>79.99</v>
      </c>
    </row>
    <row r="1052">
      <c r="A1052" s="1" t="s">
        <v>1901</v>
      </c>
      <c r="C1052" s="1" t="s">
        <v>56</v>
      </c>
      <c r="D1052" s="1" t="s">
        <v>1902</v>
      </c>
      <c r="Y1052" s="2">
        <v>45517.0</v>
      </c>
      <c r="AE1052" s="1">
        <v>69.99</v>
      </c>
      <c r="AG1052" s="3" t="str">
        <f>"2000006171007521"</f>
        <v>2000006171007521</v>
      </c>
      <c r="AH1052" s="1" t="s">
        <v>58</v>
      </c>
      <c r="AI1052" s="1" t="s">
        <v>59</v>
      </c>
      <c r="AJ1052" s="1" t="s">
        <v>59</v>
      </c>
      <c r="AK1052" s="1" t="s">
        <v>60</v>
      </c>
      <c r="AL1052" s="1" t="s">
        <v>60</v>
      </c>
      <c r="AW1052" s="1" t="s">
        <v>1903</v>
      </c>
      <c r="AY1052" s="1">
        <v>1.0</v>
      </c>
      <c r="AZ1052" s="1">
        <v>69.99</v>
      </c>
      <c r="BB1052" s="1">
        <v>69.99</v>
      </c>
    </row>
    <row r="1053">
      <c r="A1053" s="1" t="s">
        <v>1904</v>
      </c>
      <c r="C1053" s="1" t="s">
        <v>56</v>
      </c>
      <c r="D1053" s="1" t="s">
        <v>1905</v>
      </c>
      <c r="Y1053" s="2">
        <v>45517.0</v>
      </c>
      <c r="AE1053" s="1">
        <v>69.99</v>
      </c>
      <c r="AG1053" s="3" t="str">
        <f>"2000006170970395"</f>
        <v>2000006170970395</v>
      </c>
      <c r="AH1053" s="1" t="s">
        <v>58</v>
      </c>
      <c r="AI1053" s="1" t="s">
        <v>59</v>
      </c>
      <c r="AJ1053" s="1" t="s">
        <v>59</v>
      </c>
      <c r="AK1053" s="1" t="s">
        <v>60</v>
      </c>
      <c r="AL1053" s="1" t="s">
        <v>60</v>
      </c>
      <c r="AW1053" s="1" t="s">
        <v>1906</v>
      </c>
      <c r="AY1053" s="1">
        <v>1.0</v>
      </c>
      <c r="AZ1053" s="1">
        <v>69.99</v>
      </c>
      <c r="BB1053" s="1">
        <v>69.99</v>
      </c>
    </row>
    <row r="1054">
      <c r="A1054" s="1" t="s">
        <v>691</v>
      </c>
      <c r="C1054" s="1" t="s">
        <v>56</v>
      </c>
      <c r="D1054" s="1" t="s">
        <v>1907</v>
      </c>
      <c r="Y1054" s="2">
        <v>45517.0</v>
      </c>
      <c r="AE1054" s="1">
        <v>129.99</v>
      </c>
      <c r="AG1054" s="3" t="str">
        <f>"2000006171001379"</f>
        <v>2000006171001379</v>
      </c>
      <c r="AH1054" s="1" t="s">
        <v>58</v>
      </c>
      <c r="AI1054" s="1" t="s">
        <v>59</v>
      </c>
      <c r="AJ1054" s="1" t="s">
        <v>59</v>
      </c>
      <c r="AK1054" s="1" t="s">
        <v>60</v>
      </c>
      <c r="AL1054" s="1" t="s">
        <v>60</v>
      </c>
      <c r="AW1054" s="1" t="s">
        <v>693</v>
      </c>
      <c r="AY1054" s="1">
        <v>1.0</v>
      </c>
      <c r="AZ1054" s="1">
        <v>129.99</v>
      </c>
      <c r="BB1054" s="1">
        <v>129.99</v>
      </c>
    </row>
    <row r="1055">
      <c r="A1055" s="1" t="s">
        <v>1908</v>
      </c>
      <c r="C1055" s="1" t="s">
        <v>56</v>
      </c>
      <c r="D1055" s="1" t="s">
        <v>1909</v>
      </c>
      <c r="Y1055" s="2">
        <v>45517.0</v>
      </c>
      <c r="AE1055" s="1">
        <v>54.99</v>
      </c>
      <c r="AG1055" s="3" t="str">
        <f>"2000009028789140"</f>
        <v>2000009028789140</v>
      </c>
      <c r="AH1055" s="1" t="s">
        <v>58</v>
      </c>
      <c r="AI1055" s="1" t="s">
        <v>59</v>
      </c>
      <c r="AJ1055" s="1" t="s">
        <v>59</v>
      </c>
      <c r="AK1055" s="1" t="s">
        <v>60</v>
      </c>
      <c r="AL1055" s="1" t="s">
        <v>60</v>
      </c>
      <c r="AW1055" s="1" t="s">
        <v>1265</v>
      </c>
      <c r="AY1055" s="1">
        <v>1.0</v>
      </c>
      <c r="AZ1055" s="1">
        <v>54.99</v>
      </c>
      <c r="BB1055" s="1">
        <v>54.99</v>
      </c>
    </row>
    <row r="1056">
      <c r="A1056" s="1" t="s">
        <v>1882</v>
      </c>
      <c r="C1056" s="1" t="s">
        <v>235</v>
      </c>
      <c r="D1056" s="1" t="s">
        <v>1883</v>
      </c>
      <c r="Y1056" s="2">
        <v>45517.0</v>
      </c>
      <c r="AE1056" s="1">
        <v>104.99</v>
      </c>
      <c r="AG1056" s="3" t="str">
        <f>"2000006170976105"</f>
        <v>2000006170976105</v>
      </c>
      <c r="AH1056" s="1" t="s">
        <v>58</v>
      </c>
      <c r="AI1056" s="1" t="s">
        <v>59</v>
      </c>
      <c r="AJ1056" s="1" t="s">
        <v>59</v>
      </c>
      <c r="AK1056" s="1" t="s">
        <v>60</v>
      </c>
      <c r="AL1056" s="1" t="s">
        <v>60</v>
      </c>
      <c r="AW1056" s="1" t="s">
        <v>1884</v>
      </c>
      <c r="AY1056" s="1">
        <v>1.0</v>
      </c>
      <c r="AZ1056" s="1">
        <v>104.99</v>
      </c>
      <c r="BB1056" s="1">
        <v>104.99</v>
      </c>
    </row>
    <row r="1057">
      <c r="A1057" s="1" t="s">
        <v>986</v>
      </c>
      <c r="C1057" s="1" t="s">
        <v>56</v>
      </c>
      <c r="D1057" s="1" t="s">
        <v>1910</v>
      </c>
      <c r="Y1057" s="2">
        <v>45517.0</v>
      </c>
      <c r="AE1057" s="1">
        <v>84.99</v>
      </c>
      <c r="AG1057" s="3" t="str">
        <f>"2000006170934379"</f>
        <v>2000006170934379</v>
      </c>
      <c r="AH1057" s="1" t="s">
        <v>58</v>
      </c>
      <c r="AI1057" s="1" t="s">
        <v>59</v>
      </c>
      <c r="AJ1057" s="1" t="s">
        <v>59</v>
      </c>
      <c r="AK1057" s="1" t="s">
        <v>60</v>
      </c>
      <c r="AL1057" s="1" t="s">
        <v>60</v>
      </c>
      <c r="AW1057" s="1" t="s">
        <v>988</v>
      </c>
      <c r="AY1057" s="1">
        <v>1.0</v>
      </c>
      <c r="AZ1057" s="1">
        <v>84.99</v>
      </c>
      <c r="BB1057" s="1">
        <v>84.99</v>
      </c>
    </row>
    <row r="1058">
      <c r="A1058" s="1" t="s">
        <v>348</v>
      </c>
      <c r="C1058" s="1" t="s">
        <v>56</v>
      </c>
      <c r="D1058" s="1" t="s">
        <v>1911</v>
      </c>
      <c r="Y1058" s="2">
        <v>45517.0</v>
      </c>
      <c r="AE1058" s="1">
        <v>99.99</v>
      </c>
      <c r="AG1058" s="3" t="str">
        <f>"2000006170923177"</f>
        <v>2000006170923177</v>
      </c>
      <c r="AH1058" s="1" t="s">
        <v>58</v>
      </c>
      <c r="AI1058" s="1" t="s">
        <v>59</v>
      </c>
      <c r="AJ1058" s="1" t="s">
        <v>59</v>
      </c>
      <c r="AK1058" s="1" t="s">
        <v>60</v>
      </c>
      <c r="AL1058" s="1" t="s">
        <v>60</v>
      </c>
      <c r="AW1058" s="1" t="s">
        <v>350</v>
      </c>
      <c r="AY1058" s="1">
        <v>1.0</v>
      </c>
      <c r="AZ1058" s="1">
        <v>99.99</v>
      </c>
      <c r="BB1058" s="1">
        <v>99.99</v>
      </c>
    </row>
    <row r="1059">
      <c r="A1059" s="1" t="s">
        <v>1912</v>
      </c>
      <c r="C1059" s="1" t="s">
        <v>56</v>
      </c>
      <c r="D1059" s="1" t="s">
        <v>1913</v>
      </c>
      <c r="Y1059" s="2">
        <v>45517.0</v>
      </c>
      <c r="AE1059" s="1">
        <v>289.99</v>
      </c>
      <c r="AG1059" s="3" t="str">
        <f>"2000006170905983"</f>
        <v>2000006170905983</v>
      </c>
      <c r="AH1059" s="1" t="s">
        <v>58</v>
      </c>
      <c r="AI1059" s="1" t="s">
        <v>59</v>
      </c>
      <c r="AJ1059" s="1" t="s">
        <v>59</v>
      </c>
      <c r="AK1059" s="1" t="s">
        <v>60</v>
      </c>
      <c r="AL1059" s="1" t="s">
        <v>60</v>
      </c>
      <c r="AW1059" s="1" t="s">
        <v>1914</v>
      </c>
      <c r="AY1059" s="1">
        <v>1.0</v>
      </c>
      <c r="AZ1059" s="1">
        <v>289.99</v>
      </c>
      <c r="BB1059" s="1">
        <v>289.99</v>
      </c>
    </row>
    <row r="1060">
      <c r="A1060" s="1" t="s">
        <v>709</v>
      </c>
      <c r="C1060" s="1" t="s">
        <v>56</v>
      </c>
      <c r="D1060" s="1" t="s">
        <v>1915</v>
      </c>
      <c r="Y1060" s="2">
        <v>45517.0</v>
      </c>
      <c r="AE1060" s="1">
        <v>479.99</v>
      </c>
      <c r="AG1060" s="3" t="str">
        <f>"2000006170907307"</f>
        <v>2000006170907307</v>
      </c>
      <c r="AH1060" s="1" t="s">
        <v>58</v>
      </c>
      <c r="AI1060" s="1" t="s">
        <v>59</v>
      </c>
      <c r="AJ1060" s="1" t="s">
        <v>59</v>
      </c>
      <c r="AK1060" s="1" t="s">
        <v>60</v>
      </c>
      <c r="AL1060" s="1" t="s">
        <v>60</v>
      </c>
      <c r="AW1060" s="1" t="s">
        <v>711</v>
      </c>
      <c r="AY1060" s="1">
        <v>1.0</v>
      </c>
      <c r="AZ1060" s="1">
        <v>479.99</v>
      </c>
      <c r="BB1060" s="1">
        <v>479.99</v>
      </c>
    </row>
    <row r="1061">
      <c r="A1061" s="1" t="s">
        <v>413</v>
      </c>
      <c r="C1061" s="1" t="s">
        <v>56</v>
      </c>
      <c r="D1061" s="1" t="s">
        <v>1916</v>
      </c>
      <c r="Y1061" s="2">
        <v>45517.0</v>
      </c>
      <c r="AE1061" s="1">
        <v>249.99</v>
      </c>
      <c r="AG1061" s="3" t="str">
        <f>"2000006170887317"</f>
        <v>2000006170887317</v>
      </c>
      <c r="AH1061" s="1" t="s">
        <v>58</v>
      </c>
      <c r="AI1061" s="1" t="s">
        <v>59</v>
      </c>
      <c r="AJ1061" s="1" t="s">
        <v>59</v>
      </c>
      <c r="AK1061" s="1" t="s">
        <v>60</v>
      </c>
      <c r="AL1061" s="1" t="s">
        <v>60</v>
      </c>
      <c r="AW1061" s="1" t="s">
        <v>415</v>
      </c>
      <c r="AY1061" s="1">
        <v>1.0</v>
      </c>
      <c r="AZ1061" s="1">
        <v>249.99</v>
      </c>
      <c r="BB1061" s="1">
        <v>249.99</v>
      </c>
    </row>
    <row r="1062">
      <c r="A1062" s="1" t="s">
        <v>1917</v>
      </c>
      <c r="C1062" s="1" t="s">
        <v>56</v>
      </c>
      <c r="D1062" s="1" t="s">
        <v>1918</v>
      </c>
      <c r="Y1062" s="2">
        <v>45517.0</v>
      </c>
      <c r="AE1062" s="1">
        <v>89.99</v>
      </c>
      <c r="AG1062" s="3" t="str">
        <f>"2000009028718250"</f>
        <v>2000009028718250</v>
      </c>
      <c r="AH1062" s="1" t="s">
        <v>58</v>
      </c>
      <c r="AI1062" s="1" t="s">
        <v>59</v>
      </c>
      <c r="AJ1062" s="1" t="s">
        <v>59</v>
      </c>
      <c r="AK1062" s="1" t="s">
        <v>60</v>
      </c>
      <c r="AL1062" s="1" t="s">
        <v>60</v>
      </c>
      <c r="AW1062" s="1" t="s">
        <v>1919</v>
      </c>
      <c r="AY1062" s="1">
        <v>1.0</v>
      </c>
      <c r="AZ1062" s="1">
        <v>89.99</v>
      </c>
      <c r="BB1062" s="1">
        <v>89.99</v>
      </c>
    </row>
    <row r="1063">
      <c r="A1063" s="1" t="s">
        <v>761</v>
      </c>
      <c r="C1063" s="1" t="s">
        <v>56</v>
      </c>
      <c r="D1063" s="1" t="s">
        <v>1920</v>
      </c>
      <c r="Y1063" s="2">
        <v>45517.0</v>
      </c>
      <c r="AE1063" s="1">
        <v>259.98</v>
      </c>
      <c r="AG1063" s="3" t="str">
        <f>"2000006170756593"</f>
        <v>2000006170756593</v>
      </c>
      <c r="AH1063" s="1" t="s">
        <v>58</v>
      </c>
      <c r="AI1063" s="1" t="s">
        <v>59</v>
      </c>
      <c r="AJ1063" s="1" t="s">
        <v>59</v>
      </c>
      <c r="AK1063" s="1" t="s">
        <v>60</v>
      </c>
      <c r="AL1063" s="1" t="s">
        <v>60</v>
      </c>
      <c r="AW1063" s="1" t="s">
        <v>763</v>
      </c>
      <c r="AY1063" s="1">
        <v>2.0</v>
      </c>
      <c r="AZ1063" s="1">
        <v>129.99</v>
      </c>
      <c r="BB1063" s="1">
        <v>259.98</v>
      </c>
    </row>
    <row r="1064">
      <c r="A1064" s="1" t="s">
        <v>1371</v>
      </c>
      <c r="C1064" s="1" t="s">
        <v>56</v>
      </c>
      <c r="D1064" s="1" t="s">
        <v>1921</v>
      </c>
      <c r="Y1064" s="2">
        <v>45517.0</v>
      </c>
      <c r="AE1064" s="1">
        <v>99.99</v>
      </c>
      <c r="AG1064" s="3" t="str">
        <f>"2000009028601036"</f>
        <v>2000009028601036</v>
      </c>
      <c r="AH1064" s="1" t="s">
        <v>58</v>
      </c>
      <c r="AI1064" s="1" t="s">
        <v>59</v>
      </c>
      <c r="AJ1064" s="1" t="s">
        <v>59</v>
      </c>
      <c r="AK1064" s="1" t="s">
        <v>60</v>
      </c>
      <c r="AL1064" s="1" t="s">
        <v>60</v>
      </c>
      <c r="AW1064" s="1" t="s">
        <v>1373</v>
      </c>
      <c r="AY1064" s="1">
        <v>1.0</v>
      </c>
      <c r="AZ1064" s="1">
        <v>99.99</v>
      </c>
      <c r="BB1064" s="1">
        <v>99.99</v>
      </c>
    </row>
    <row r="1065">
      <c r="A1065" s="1" t="s">
        <v>102</v>
      </c>
      <c r="C1065" s="1" t="s">
        <v>56</v>
      </c>
      <c r="D1065" s="1" t="s">
        <v>1922</v>
      </c>
      <c r="Y1065" s="2">
        <v>45517.0</v>
      </c>
      <c r="AE1065" s="1">
        <v>59.99</v>
      </c>
      <c r="AG1065" s="3" t="str">
        <f>"2000009028509276"</f>
        <v>2000009028509276</v>
      </c>
      <c r="AH1065" s="1" t="s">
        <v>58</v>
      </c>
      <c r="AI1065" s="1" t="s">
        <v>59</v>
      </c>
      <c r="AJ1065" s="1" t="s">
        <v>59</v>
      </c>
      <c r="AK1065" s="1" t="s">
        <v>60</v>
      </c>
      <c r="AL1065" s="1" t="s">
        <v>60</v>
      </c>
      <c r="AW1065" s="1" t="s">
        <v>104</v>
      </c>
      <c r="AY1065" s="1">
        <v>1.0</v>
      </c>
      <c r="AZ1065" s="1">
        <v>59.99</v>
      </c>
      <c r="BB1065" s="1">
        <v>59.99</v>
      </c>
    </row>
    <row r="1066">
      <c r="A1066" s="1" t="s">
        <v>1923</v>
      </c>
      <c r="C1066" s="1" t="s">
        <v>56</v>
      </c>
      <c r="D1066" s="1" t="s">
        <v>1924</v>
      </c>
      <c r="Y1066" s="2">
        <v>45517.0</v>
      </c>
      <c r="AE1066" s="1">
        <v>45.99</v>
      </c>
      <c r="AG1066" s="3" t="str">
        <f>"2000006170759285"</f>
        <v>2000006170759285</v>
      </c>
      <c r="AH1066" s="1" t="s">
        <v>58</v>
      </c>
      <c r="AI1066" s="1" t="s">
        <v>59</v>
      </c>
      <c r="AJ1066" s="1" t="s">
        <v>59</v>
      </c>
      <c r="AK1066" s="1" t="s">
        <v>60</v>
      </c>
      <c r="AL1066" s="1" t="s">
        <v>60</v>
      </c>
      <c r="AW1066" s="1" t="s">
        <v>1925</v>
      </c>
      <c r="AY1066" s="1">
        <v>1.0</v>
      </c>
      <c r="AZ1066" s="1">
        <v>45.99</v>
      </c>
      <c r="BB1066" s="1">
        <v>45.99</v>
      </c>
    </row>
    <row r="1067">
      <c r="A1067" s="1" t="s">
        <v>243</v>
      </c>
      <c r="C1067" s="1" t="s">
        <v>56</v>
      </c>
      <c r="D1067" s="1" t="s">
        <v>1926</v>
      </c>
      <c r="Y1067" s="2">
        <v>45517.0</v>
      </c>
      <c r="AE1067" s="1">
        <v>119.99</v>
      </c>
      <c r="AG1067" s="3" t="str">
        <f>"2000006170721025"</f>
        <v>2000006170721025</v>
      </c>
      <c r="AH1067" s="1" t="s">
        <v>58</v>
      </c>
      <c r="AI1067" s="1" t="s">
        <v>59</v>
      </c>
      <c r="AJ1067" s="1" t="s">
        <v>59</v>
      </c>
      <c r="AK1067" s="1" t="s">
        <v>60</v>
      </c>
      <c r="AL1067" s="1" t="s">
        <v>60</v>
      </c>
      <c r="AW1067" s="1" t="s">
        <v>245</v>
      </c>
      <c r="AY1067" s="1">
        <v>1.0</v>
      </c>
      <c r="AZ1067" s="1">
        <v>119.99</v>
      </c>
      <c r="BB1067" s="1">
        <v>119.99</v>
      </c>
    </row>
    <row r="1068">
      <c r="A1068" s="1" t="s">
        <v>1927</v>
      </c>
      <c r="C1068" s="1" t="s">
        <v>56</v>
      </c>
      <c r="D1068" s="1" t="s">
        <v>1928</v>
      </c>
      <c r="Y1068" s="2">
        <v>45517.0</v>
      </c>
      <c r="AE1068" s="1">
        <v>99.99</v>
      </c>
      <c r="AG1068" s="3" t="str">
        <f>"2000009027542258"</f>
        <v>2000009027542258</v>
      </c>
      <c r="AH1068" s="1" t="s">
        <v>58</v>
      </c>
      <c r="AI1068" s="1" t="s">
        <v>59</v>
      </c>
      <c r="AJ1068" s="1" t="s">
        <v>59</v>
      </c>
      <c r="AK1068" s="1" t="s">
        <v>60</v>
      </c>
      <c r="AL1068" s="1" t="s">
        <v>60</v>
      </c>
      <c r="AW1068" s="1" t="s">
        <v>1929</v>
      </c>
      <c r="AY1068" s="1">
        <v>1.0</v>
      </c>
      <c r="AZ1068" s="1">
        <v>99.99</v>
      </c>
      <c r="BB1068" s="1">
        <v>99.99</v>
      </c>
    </row>
    <row r="1069">
      <c r="A1069" s="1" t="s">
        <v>319</v>
      </c>
      <c r="C1069" s="1" t="s">
        <v>56</v>
      </c>
      <c r="D1069" s="1" t="s">
        <v>1930</v>
      </c>
      <c r="Y1069" s="2">
        <v>45517.0</v>
      </c>
      <c r="AE1069" s="1">
        <v>74.99</v>
      </c>
      <c r="AG1069" s="3" t="str">
        <f>"2000006170676779"</f>
        <v>2000006170676779</v>
      </c>
      <c r="AH1069" s="1" t="s">
        <v>58</v>
      </c>
      <c r="AI1069" s="1" t="s">
        <v>59</v>
      </c>
      <c r="AJ1069" s="1" t="s">
        <v>59</v>
      </c>
      <c r="AK1069" s="1" t="s">
        <v>60</v>
      </c>
      <c r="AL1069" s="1" t="s">
        <v>60</v>
      </c>
      <c r="AW1069" s="1" t="s">
        <v>321</v>
      </c>
      <c r="AY1069" s="1">
        <v>1.0</v>
      </c>
      <c r="AZ1069" s="1">
        <v>74.99</v>
      </c>
      <c r="BB1069" s="1">
        <v>74.99</v>
      </c>
    </row>
    <row r="1070">
      <c r="A1070" s="1" t="s">
        <v>1931</v>
      </c>
      <c r="C1070" s="1" t="s">
        <v>56</v>
      </c>
      <c r="D1070" s="1" t="s">
        <v>1932</v>
      </c>
      <c r="Y1070" s="2">
        <v>45517.0</v>
      </c>
      <c r="AE1070" s="1">
        <v>54.99</v>
      </c>
      <c r="AG1070" s="3" t="str">
        <f>"2000009027548798"</f>
        <v>2000009027548798</v>
      </c>
      <c r="AH1070" s="1" t="s">
        <v>58</v>
      </c>
      <c r="AI1070" s="1" t="s">
        <v>59</v>
      </c>
      <c r="AJ1070" s="1" t="s">
        <v>59</v>
      </c>
      <c r="AK1070" s="1" t="s">
        <v>60</v>
      </c>
      <c r="AL1070" s="1" t="s">
        <v>60</v>
      </c>
      <c r="AW1070" s="1" t="s">
        <v>1933</v>
      </c>
      <c r="AY1070" s="1">
        <v>1.0</v>
      </c>
      <c r="AZ1070" s="1">
        <v>54.99</v>
      </c>
      <c r="BB1070" s="1">
        <v>54.99</v>
      </c>
    </row>
    <row r="1071">
      <c r="A1071" s="1" t="s">
        <v>195</v>
      </c>
      <c r="C1071" s="1" t="s">
        <v>56</v>
      </c>
      <c r="D1071" s="1" t="s">
        <v>242</v>
      </c>
      <c r="Y1071" s="2">
        <v>45517.0</v>
      </c>
      <c r="AE1071" s="1">
        <v>479.9</v>
      </c>
      <c r="AG1071" s="3" t="str">
        <f>"2000006170578249"</f>
        <v>2000006170578249</v>
      </c>
      <c r="AH1071" s="1" t="s">
        <v>58</v>
      </c>
      <c r="AI1071" s="1" t="s">
        <v>59</v>
      </c>
      <c r="AJ1071" s="1" t="s">
        <v>59</v>
      </c>
      <c r="AK1071" s="1" t="s">
        <v>60</v>
      </c>
      <c r="AL1071" s="1" t="s">
        <v>60</v>
      </c>
      <c r="AW1071" s="1" t="s">
        <v>197</v>
      </c>
      <c r="AY1071" s="1">
        <v>10.0</v>
      </c>
      <c r="AZ1071" s="1">
        <v>47.99</v>
      </c>
      <c r="BB1071" s="1">
        <v>479.9</v>
      </c>
    </row>
    <row r="1072">
      <c r="A1072" s="1" t="s">
        <v>135</v>
      </c>
      <c r="C1072" s="1" t="s">
        <v>56</v>
      </c>
      <c r="D1072" s="1" t="s">
        <v>1934</v>
      </c>
      <c r="Y1072" s="2">
        <v>45517.0</v>
      </c>
      <c r="AE1072" s="1">
        <v>89.99</v>
      </c>
      <c r="AG1072" s="3" t="str">
        <f>"2000009028146400"</f>
        <v>2000009028146400</v>
      </c>
      <c r="AH1072" s="1" t="s">
        <v>58</v>
      </c>
      <c r="AI1072" s="1" t="s">
        <v>59</v>
      </c>
      <c r="AJ1072" s="1" t="s">
        <v>59</v>
      </c>
      <c r="AK1072" s="1" t="s">
        <v>60</v>
      </c>
      <c r="AL1072" s="1" t="s">
        <v>60</v>
      </c>
      <c r="AW1072" s="1" t="s">
        <v>137</v>
      </c>
      <c r="AY1072" s="1">
        <v>1.0</v>
      </c>
      <c r="AZ1072" s="1">
        <v>89.99</v>
      </c>
      <c r="BB1072" s="1">
        <v>89.99</v>
      </c>
    </row>
    <row r="1073">
      <c r="A1073" s="1" t="s">
        <v>1935</v>
      </c>
      <c r="C1073" s="1" t="s">
        <v>56</v>
      </c>
      <c r="D1073" s="1" t="s">
        <v>1936</v>
      </c>
      <c r="Y1073" s="2">
        <v>45517.0</v>
      </c>
      <c r="AE1073" s="1">
        <v>69.99</v>
      </c>
      <c r="AG1073" s="3" t="str">
        <f>"2000006170523687"</f>
        <v>2000006170523687</v>
      </c>
      <c r="AH1073" s="1" t="s">
        <v>58</v>
      </c>
      <c r="AI1073" s="1" t="s">
        <v>59</v>
      </c>
      <c r="AJ1073" s="1" t="s">
        <v>59</v>
      </c>
      <c r="AK1073" s="1" t="s">
        <v>60</v>
      </c>
      <c r="AL1073" s="1" t="s">
        <v>60</v>
      </c>
      <c r="AW1073" s="1" t="s">
        <v>1937</v>
      </c>
      <c r="AY1073" s="1">
        <v>1.0</v>
      </c>
      <c r="AZ1073" s="1">
        <v>69.99</v>
      </c>
      <c r="BB1073" s="1">
        <v>69.99</v>
      </c>
    </row>
    <row r="1074">
      <c r="A1074" s="1" t="s">
        <v>438</v>
      </c>
      <c r="C1074" s="1" t="s">
        <v>56</v>
      </c>
      <c r="D1074" s="1" t="s">
        <v>1938</v>
      </c>
      <c r="Y1074" s="2">
        <v>45517.0</v>
      </c>
      <c r="AE1074" s="1">
        <v>64.99</v>
      </c>
      <c r="AG1074" s="3" t="str">
        <f>"2000006170346189"</f>
        <v>2000006170346189</v>
      </c>
      <c r="AH1074" s="1" t="s">
        <v>58</v>
      </c>
      <c r="AI1074" s="1" t="s">
        <v>59</v>
      </c>
      <c r="AJ1074" s="1" t="s">
        <v>59</v>
      </c>
      <c r="AK1074" s="1" t="s">
        <v>60</v>
      </c>
      <c r="AL1074" s="1" t="s">
        <v>60</v>
      </c>
      <c r="AW1074" s="1" t="s">
        <v>440</v>
      </c>
      <c r="AY1074" s="1">
        <v>1.0</v>
      </c>
      <c r="AZ1074" s="1">
        <v>64.99</v>
      </c>
      <c r="BB1074" s="1">
        <v>64.99</v>
      </c>
    </row>
    <row r="1075">
      <c r="A1075" s="1" t="s">
        <v>407</v>
      </c>
      <c r="C1075" s="1" t="s">
        <v>56</v>
      </c>
      <c r="D1075" s="1" t="s">
        <v>1939</v>
      </c>
      <c r="Y1075" s="2">
        <v>45517.0</v>
      </c>
      <c r="AE1075" s="1">
        <v>94.99</v>
      </c>
      <c r="AG1075" s="3" t="str">
        <f>"2000006170352647"</f>
        <v>2000006170352647</v>
      </c>
      <c r="AH1075" s="1" t="s">
        <v>58</v>
      </c>
      <c r="AI1075" s="1" t="s">
        <v>59</v>
      </c>
      <c r="AJ1075" s="1" t="s">
        <v>59</v>
      </c>
      <c r="AK1075" s="1" t="s">
        <v>60</v>
      </c>
      <c r="AL1075" s="1" t="s">
        <v>60</v>
      </c>
      <c r="AW1075" s="1" t="s">
        <v>409</v>
      </c>
      <c r="AY1075" s="1">
        <v>1.0</v>
      </c>
      <c r="AZ1075" s="1">
        <v>94.99</v>
      </c>
      <c r="BB1075" s="1">
        <v>94.99</v>
      </c>
    </row>
    <row r="1076">
      <c r="A1076" s="1" t="s">
        <v>420</v>
      </c>
      <c r="C1076" s="1" t="s">
        <v>56</v>
      </c>
      <c r="D1076" s="1" t="s">
        <v>1940</v>
      </c>
      <c r="Y1076" s="2">
        <v>45517.0</v>
      </c>
      <c r="AE1076" s="1">
        <v>579.99</v>
      </c>
      <c r="AG1076" s="3" t="str">
        <f>"2000006170290659"</f>
        <v>2000006170290659</v>
      </c>
      <c r="AH1076" s="1" t="s">
        <v>58</v>
      </c>
      <c r="AI1076" s="1" t="s">
        <v>59</v>
      </c>
      <c r="AJ1076" s="1" t="s">
        <v>59</v>
      </c>
      <c r="AK1076" s="1" t="s">
        <v>60</v>
      </c>
      <c r="AL1076" s="1" t="s">
        <v>60</v>
      </c>
      <c r="AW1076" s="1" t="s">
        <v>422</v>
      </c>
      <c r="AY1076" s="1">
        <v>1.0</v>
      </c>
      <c r="AZ1076" s="1">
        <v>579.99</v>
      </c>
      <c r="BB1076" s="1">
        <v>579.99</v>
      </c>
    </row>
    <row r="1077">
      <c r="A1077" s="1" t="s">
        <v>947</v>
      </c>
      <c r="C1077" s="1" t="s">
        <v>56</v>
      </c>
      <c r="D1077" s="1" t="s">
        <v>1941</v>
      </c>
      <c r="Y1077" s="2">
        <v>45517.0</v>
      </c>
      <c r="AE1077" s="1">
        <v>129.99</v>
      </c>
      <c r="AG1077" s="3" t="str">
        <f>"2000006170400233"</f>
        <v>2000006170400233</v>
      </c>
      <c r="AH1077" s="1" t="s">
        <v>58</v>
      </c>
      <c r="AI1077" s="1" t="s">
        <v>59</v>
      </c>
      <c r="AJ1077" s="1" t="s">
        <v>59</v>
      </c>
      <c r="AK1077" s="1" t="s">
        <v>60</v>
      </c>
      <c r="AL1077" s="1" t="s">
        <v>60</v>
      </c>
      <c r="AW1077" s="1" t="s">
        <v>949</v>
      </c>
      <c r="AY1077" s="1">
        <v>1.0</v>
      </c>
      <c r="AZ1077" s="1">
        <v>129.99</v>
      </c>
      <c r="BB1077" s="1">
        <v>129.99</v>
      </c>
    </row>
    <row r="1078">
      <c r="A1078" s="1" t="s">
        <v>283</v>
      </c>
      <c r="C1078" s="1" t="s">
        <v>56</v>
      </c>
      <c r="D1078" s="1" t="s">
        <v>1942</v>
      </c>
      <c r="Y1078" s="2">
        <v>45517.0</v>
      </c>
      <c r="AE1078" s="1">
        <v>499.99</v>
      </c>
      <c r="AG1078" s="3" t="str">
        <f>"2000009027924150"</f>
        <v>2000009027924150</v>
      </c>
      <c r="AH1078" s="1" t="s">
        <v>58</v>
      </c>
      <c r="AI1078" s="1" t="s">
        <v>59</v>
      </c>
      <c r="AJ1078" s="1" t="s">
        <v>59</v>
      </c>
      <c r="AK1078" s="1" t="s">
        <v>60</v>
      </c>
      <c r="AL1078" s="1" t="s">
        <v>60</v>
      </c>
      <c r="AW1078" s="1" t="s">
        <v>285</v>
      </c>
      <c r="AY1078" s="1">
        <v>1.0</v>
      </c>
      <c r="AZ1078" s="1">
        <v>499.99</v>
      </c>
      <c r="BB1078" s="1">
        <v>499.99</v>
      </c>
    </row>
    <row r="1079">
      <c r="A1079" s="1" t="s">
        <v>1257</v>
      </c>
      <c r="C1079" s="1" t="s">
        <v>56</v>
      </c>
      <c r="D1079" s="1" t="s">
        <v>1943</v>
      </c>
      <c r="Y1079" s="2">
        <v>45517.0</v>
      </c>
      <c r="AE1079" s="1">
        <v>64.99</v>
      </c>
      <c r="AG1079" s="3" t="str">
        <f>"2000009027802740"</f>
        <v>2000009027802740</v>
      </c>
      <c r="AH1079" s="1" t="s">
        <v>58</v>
      </c>
      <c r="AI1079" s="1" t="s">
        <v>59</v>
      </c>
      <c r="AJ1079" s="1" t="s">
        <v>59</v>
      </c>
      <c r="AK1079" s="1" t="s">
        <v>60</v>
      </c>
      <c r="AL1079" s="1" t="s">
        <v>60</v>
      </c>
      <c r="AW1079" s="1" t="s">
        <v>1259</v>
      </c>
      <c r="AY1079" s="1">
        <v>1.0</v>
      </c>
      <c r="AZ1079" s="1">
        <v>64.99</v>
      </c>
      <c r="BB1079" s="1">
        <v>64.99</v>
      </c>
    </row>
    <row r="1080">
      <c r="A1080" s="1" t="s">
        <v>271</v>
      </c>
      <c r="C1080" s="1" t="s">
        <v>56</v>
      </c>
      <c r="D1080" s="1" t="s">
        <v>1944</v>
      </c>
      <c r="Y1080" s="2">
        <v>45517.0</v>
      </c>
      <c r="AE1080" s="1">
        <v>58.99</v>
      </c>
      <c r="AG1080" s="3" t="str">
        <f>"2000006170252681"</f>
        <v>2000006170252681</v>
      </c>
      <c r="AH1080" s="1" t="s">
        <v>58</v>
      </c>
      <c r="AI1080" s="1" t="s">
        <v>59</v>
      </c>
      <c r="AJ1080" s="1" t="s">
        <v>59</v>
      </c>
      <c r="AK1080" s="1" t="s">
        <v>60</v>
      </c>
      <c r="AL1080" s="1" t="s">
        <v>60</v>
      </c>
      <c r="AW1080" s="1" t="s">
        <v>110</v>
      </c>
      <c r="AY1080" s="1">
        <v>1.0</v>
      </c>
      <c r="AZ1080" s="1">
        <v>58.99</v>
      </c>
      <c r="BB1080" s="1">
        <v>58.99</v>
      </c>
    </row>
    <row r="1081">
      <c r="A1081" s="1" t="s">
        <v>496</v>
      </c>
      <c r="C1081" s="1" t="s">
        <v>56</v>
      </c>
      <c r="D1081" s="1" t="s">
        <v>1944</v>
      </c>
      <c r="Y1081" s="2">
        <v>45517.0</v>
      </c>
      <c r="AE1081" s="1">
        <v>54.99</v>
      </c>
      <c r="AG1081" s="3" t="str">
        <f>"2000006170252679"</f>
        <v>2000006170252679</v>
      </c>
      <c r="AH1081" s="1" t="s">
        <v>58</v>
      </c>
      <c r="AI1081" s="1" t="s">
        <v>59</v>
      </c>
      <c r="AJ1081" s="1" t="s">
        <v>59</v>
      </c>
      <c r="AK1081" s="1" t="s">
        <v>60</v>
      </c>
      <c r="AL1081" s="1" t="s">
        <v>60</v>
      </c>
      <c r="AW1081" s="1" t="s">
        <v>497</v>
      </c>
      <c r="AY1081" s="1">
        <v>1.0</v>
      </c>
      <c r="AZ1081" s="1">
        <v>54.99</v>
      </c>
      <c r="BB1081" s="1">
        <v>54.99</v>
      </c>
    </row>
    <row r="1082">
      <c r="A1082" s="1" t="s">
        <v>1569</v>
      </c>
      <c r="C1082" s="1" t="s">
        <v>56</v>
      </c>
      <c r="D1082" s="1" t="s">
        <v>1945</v>
      </c>
      <c r="Y1082" s="2">
        <v>45517.0</v>
      </c>
      <c r="AE1082" s="1">
        <v>59.99</v>
      </c>
      <c r="AG1082" s="3" t="str">
        <f>"2000006170238057"</f>
        <v>2000006170238057</v>
      </c>
      <c r="AH1082" s="1" t="s">
        <v>58</v>
      </c>
      <c r="AI1082" s="1" t="s">
        <v>59</v>
      </c>
      <c r="AJ1082" s="1" t="s">
        <v>59</v>
      </c>
      <c r="AK1082" s="1" t="s">
        <v>60</v>
      </c>
      <c r="AL1082" s="1" t="s">
        <v>60</v>
      </c>
      <c r="AW1082" s="1" t="s">
        <v>254</v>
      </c>
      <c r="AY1082" s="1">
        <v>1.0</v>
      </c>
      <c r="AZ1082" s="1">
        <v>59.99</v>
      </c>
      <c r="BB1082" s="1">
        <v>59.99</v>
      </c>
    </row>
    <row r="1083">
      <c r="A1083" s="1" t="s">
        <v>1946</v>
      </c>
      <c r="C1083" s="1" t="s">
        <v>56</v>
      </c>
      <c r="D1083" s="1" t="s">
        <v>1947</v>
      </c>
      <c r="Y1083" s="2">
        <v>45517.0</v>
      </c>
      <c r="AE1083" s="1">
        <v>39.99</v>
      </c>
      <c r="AG1083" s="3" t="str">
        <f>"2000006170210413"</f>
        <v>2000006170210413</v>
      </c>
      <c r="AH1083" s="1" t="s">
        <v>58</v>
      </c>
      <c r="AI1083" s="1" t="s">
        <v>59</v>
      </c>
      <c r="AJ1083" s="1" t="s">
        <v>59</v>
      </c>
      <c r="AK1083" s="1" t="s">
        <v>60</v>
      </c>
      <c r="AL1083" s="1" t="s">
        <v>60</v>
      </c>
      <c r="AW1083" s="1" t="s">
        <v>1529</v>
      </c>
      <c r="AY1083" s="1">
        <v>1.0</v>
      </c>
      <c r="AZ1083" s="1">
        <v>39.99</v>
      </c>
      <c r="BB1083" s="1">
        <v>39.99</v>
      </c>
    </row>
    <row r="1084">
      <c r="A1084" s="1" t="s">
        <v>1948</v>
      </c>
      <c r="C1084" s="1" t="s">
        <v>56</v>
      </c>
      <c r="D1084" s="1" t="s">
        <v>1949</v>
      </c>
      <c r="Y1084" s="2">
        <v>45517.0</v>
      </c>
      <c r="AE1084" s="1">
        <v>49.99</v>
      </c>
      <c r="AG1084" s="3" t="str">
        <f>"2000006170189329"</f>
        <v>2000006170189329</v>
      </c>
      <c r="AH1084" s="1" t="s">
        <v>58</v>
      </c>
      <c r="AI1084" s="1" t="s">
        <v>59</v>
      </c>
      <c r="AJ1084" s="1" t="s">
        <v>59</v>
      </c>
      <c r="AK1084" s="1" t="s">
        <v>60</v>
      </c>
      <c r="AL1084" s="1" t="s">
        <v>60</v>
      </c>
      <c r="AW1084" s="1" t="s">
        <v>1950</v>
      </c>
      <c r="AY1084" s="1">
        <v>1.0</v>
      </c>
      <c r="AZ1084" s="1">
        <v>49.99</v>
      </c>
      <c r="BB1084" s="1">
        <v>49.99</v>
      </c>
    </row>
    <row r="1085">
      <c r="A1085" s="1" t="s">
        <v>212</v>
      </c>
      <c r="C1085" s="1" t="s">
        <v>56</v>
      </c>
      <c r="D1085" s="1" t="s">
        <v>1951</v>
      </c>
      <c r="Y1085" s="2">
        <v>45517.0</v>
      </c>
      <c r="AE1085" s="1">
        <v>49.99</v>
      </c>
      <c r="AG1085" s="3" t="str">
        <f>"2000006170185793"</f>
        <v>2000006170185793</v>
      </c>
      <c r="AH1085" s="1" t="s">
        <v>58</v>
      </c>
      <c r="AI1085" s="1" t="s">
        <v>59</v>
      </c>
      <c r="AJ1085" s="1" t="s">
        <v>59</v>
      </c>
      <c r="AK1085" s="1" t="s">
        <v>60</v>
      </c>
      <c r="AL1085" s="1" t="s">
        <v>60</v>
      </c>
      <c r="AW1085" s="1" t="s">
        <v>214</v>
      </c>
      <c r="AY1085" s="1">
        <v>1.0</v>
      </c>
      <c r="AZ1085" s="1">
        <v>49.99</v>
      </c>
      <c r="BB1085" s="1">
        <v>49.99</v>
      </c>
    </row>
    <row r="1086">
      <c r="A1086" s="1" t="s">
        <v>1354</v>
      </c>
      <c r="C1086" s="1" t="s">
        <v>56</v>
      </c>
      <c r="D1086" s="1" t="s">
        <v>1952</v>
      </c>
      <c r="Y1086" s="2">
        <v>45517.0</v>
      </c>
      <c r="AE1086" s="1">
        <v>84.99</v>
      </c>
      <c r="AG1086" s="3" t="str">
        <f>"2000006169940737"</f>
        <v>2000006169940737</v>
      </c>
      <c r="AH1086" s="1" t="s">
        <v>58</v>
      </c>
      <c r="AI1086" s="1" t="s">
        <v>59</v>
      </c>
      <c r="AJ1086" s="1" t="s">
        <v>59</v>
      </c>
      <c r="AK1086" s="1" t="s">
        <v>60</v>
      </c>
      <c r="AL1086" s="1" t="s">
        <v>60</v>
      </c>
      <c r="AW1086" s="1" t="s">
        <v>1356</v>
      </c>
      <c r="AY1086" s="1">
        <v>1.0</v>
      </c>
      <c r="AZ1086" s="1">
        <v>84.99</v>
      </c>
      <c r="BB1086" s="1">
        <v>84.99</v>
      </c>
    </row>
    <row r="1087">
      <c r="A1087" s="1" t="s">
        <v>1953</v>
      </c>
      <c r="C1087" s="1" t="s">
        <v>56</v>
      </c>
      <c r="D1087" s="1" t="s">
        <v>1954</v>
      </c>
      <c r="Y1087" s="2">
        <v>45517.0</v>
      </c>
      <c r="AE1087" s="1">
        <v>189.99</v>
      </c>
      <c r="AG1087" s="3" t="str">
        <f>"2000009027572662"</f>
        <v>2000009027572662</v>
      </c>
      <c r="AH1087" s="1" t="s">
        <v>58</v>
      </c>
      <c r="AI1087" s="1" t="s">
        <v>59</v>
      </c>
      <c r="AJ1087" s="1" t="s">
        <v>59</v>
      </c>
      <c r="AK1087" s="1" t="s">
        <v>60</v>
      </c>
      <c r="AL1087" s="1" t="s">
        <v>60</v>
      </c>
      <c r="AW1087" s="1" t="s">
        <v>1955</v>
      </c>
      <c r="AY1087" s="1">
        <v>1.0</v>
      </c>
      <c r="AZ1087" s="1">
        <v>189.99</v>
      </c>
      <c r="BB1087" s="1">
        <v>189.99</v>
      </c>
    </row>
    <row r="1088">
      <c r="A1088" s="1" t="s">
        <v>77</v>
      </c>
      <c r="C1088" s="1" t="s">
        <v>56</v>
      </c>
      <c r="D1088" s="1" t="s">
        <v>1956</v>
      </c>
      <c r="Y1088" s="2">
        <v>45517.0</v>
      </c>
      <c r="AE1088" s="1">
        <v>64.99</v>
      </c>
      <c r="AG1088" s="3" t="str">
        <f>"2000006170070603"</f>
        <v>2000006170070603</v>
      </c>
      <c r="AH1088" s="1" t="s">
        <v>58</v>
      </c>
      <c r="AI1088" s="1" t="s">
        <v>59</v>
      </c>
      <c r="AJ1088" s="1" t="s">
        <v>59</v>
      </c>
      <c r="AK1088" s="1" t="s">
        <v>60</v>
      </c>
      <c r="AL1088" s="1" t="s">
        <v>60</v>
      </c>
      <c r="AW1088" s="1" t="s">
        <v>79</v>
      </c>
      <c r="AY1088" s="1">
        <v>1.0</v>
      </c>
      <c r="AZ1088" s="1">
        <v>64.99</v>
      </c>
      <c r="BB1088" s="1">
        <v>64.99</v>
      </c>
    </row>
    <row r="1089">
      <c r="A1089" s="1" t="s">
        <v>102</v>
      </c>
      <c r="C1089" s="1" t="s">
        <v>56</v>
      </c>
      <c r="D1089" s="5" t="s">
        <v>1957</v>
      </c>
      <c r="Y1089" s="2">
        <v>45517.0</v>
      </c>
      <c r="AE1089" s="1">
        <v>59.99</v>
      </c>
      <c r="AG1089" s="3" t="str">
        <f>"2000006170044689"</f>
        <v>2000006170044689</v>
      </c>
      <c r="AH1089" s="1" t="s">
        <v>58</v>
      </c>
      <c r="AI1089" s="1" t="s">
        <v>59</v>
      </c>
      <c r="AJ1089" s="1" t="s">
        <v>59</v>
      </c>
      <c r="AK1089" s="1" t="s">
        <v>60</v>
      </c>
      <c r="AL1089" s="1" t="s">
        <v>60</v>
      </c>
      <c r="AW1089" s="1" t="s">
        <v>104</v>
      </c>
      <c r="AY1089" s="1">
        <v>1.0</v>
      </c>
      <c r="AZ1089" s="1">
        <v>59.99</v>
      </c>
      <c r="BB1089" s="1">
        <v>59.99</v>
      </c>
    </row>
    <row r="1090">
      <c r="A1090" s="1" t="s">
        <v>514</v>
      </c>
      <c r="C1090" s="1" t="s">
        <v>56</v>
      </c>
      <c r="D1090" s="1" t="s">
        <v>1958</v>
      </c>
      <c r="Y1090" s="2">
        <v>45517.0</v>
      </c>
      <c r="AE1090" s="1">
        <v>59.99</v>
      </c>
      <c r="AG1090" s="3" t="str">
        <f>"2000006170033559"</f>
        <v>2000006170033559</v>
      </c>
      <c r="AH1090" s="1" t="s">
        <v>58</v>
      </c>
      <c r="AI1090" s="1" t="s">
        <v>59</v>
      </c>
      <c r="AJ1090" s="1" t="s">
        <v>59</v>
      </c>
      <c r="AK1090" s="1" t="s">
        <v>60</v>
      </c>
      <c r="AL1090" s="1" t="s">
        <v>60</v>
      </c>
      <c r="AW1090" s="1" t="s">
        <v>516</v>
      </c>
      <c r="AY1090" s="1">
        <v>1.0</v>
      </c>
      <c r="AZ1090" s="1">
        <v>59.99</v>
      </c>
      <c r="BB1090" s="1">
        <v>59.99</v>
      </c>
    </row>
    <row r="1091">
      <c r="A1091" s="1" t="s">
        <v>236</v>
      </c>
      <c r="C1091" s="1" t="s">
        <v>56</v>
      </c>
      <c r="D1091" s="1" t="s">
        <v>1959</v>
      </c>
      <c r="Y1091" s="2">
        <v>45517.0</v>
      </c>
      <c r="AE1091" s="1">
        <v>119.99</v>
      </c>
      <c r="AG1091" s="3" t="str">
        <f>"2000006170025461"</f>
        <v>2000006170025461</v>
      </c>
      <c r="AH1091" s="1" t="s">
        <v>58</v>
      </c>
      <c r="AI1091" s="1" t="s">
        <v>59</v>
      </c>
      <c r="AJ1091" s="1" t="s">
        <v>59</v>
      </c>
      <c r="AK1091" s="1" t="s">
        <v>60</v>
      </c>
      <c r="AL1091" s="1" t="s">
        <v>60</v>
      </c>
      <c r="AW1091" s="1" t="s">
        <v>238</v>
      </c>
      <c r="AY1091" s="1">
        <v>1.0</v>
      </c>
      <c r="AZ1091" s="1">
        <v>119.99</v>
      </c>
      <c r="BB1091" s="1">
        <v>119.99</v>
      </c>
    </row>
    <row r="1092">
      <c r="A1092" s="1" t="s">
        <v>966</v>
      </c>
      <c r="C1092" s="1" t="s">
        <v>56</v>
      </c>
      <c r="D1092" s="1" t="s">
        <v>1960</v>
      </c>
      <c r="Y1092" s="2">
        <v>45517.0</v>
      </c>
      <c r="AE1092" s="1">
        <v>459.99</v>
      </c>
      <c r="AG1092" s="3" t="str">
        <f>"2000006170023009"</f>
        <v>2000006170023009</v>
      </c>
      <c r="AH1092" s="1" t="s">
        <v>58</v>
      </c>
      <c r="AI1092" s="1" t="s">
        <v>59</v>
      </c>
      <c r="AJ1092" s="1" t="s">
        <v>59</v>
      </c>
      <c r="AK1092" s="1" t="s">
        <v>60</v>
      </c>
      <c r="AL1092" s="1" t="s">
        <v>60</v>
      </c>
      <c r="AW1092" s="1" t="s">
        <v>968</v>
      </c>
      <c r="AY1092" s="1">
        <v>1.0</v>
      </c>
      <c r="AZ1092" s="1">
        <v>459.99</v>
      </c>
      <c r="BB1092" s="1">
        <v>459.99</v>
      </c>
    </row>
    <row r="1093">
      <c r="A1093" s="1" t="s">
        <v>1137</v>
      </c>
      <c r="C1093" s="1" t="s">
        <v>56</v>
      </c>
      <c r="D1093" s="1" t="s">
        <v>1961</v>
      </c>
      <c r="Y1093" s="2">
        <v>45517.0</v>
      </c>
      <c r="AE1093" s="1">
        <v>79.99</v>
      </c>
      <c r="AG1093" s="3" t="str">
        <f>"2000006169947643"</f>
        <v>2000006169947643</v>
      </c>
      <c r="AH1093" s="1" t="s">
        <v>58</v>
      </c>
      <c r="AI1093" s="1" t="s">
        <v>59</v>
      </c>
      <c r="AJ1093" s="1" t="s">
        <v>59</v>
      </c>
      <c r="AK1093" s="1" t="s">
        <v>60</v>
      </c>
      <c r="AL1093" s="1" t="s">
        <v>60</v>
      </c>
      <c r="AW1093" s="1" t="s">
        <v>1139</v>
      </c>
      <c r="AY1093" s="1">
        <v>1.0</v>
      </c>
      <c r="AZ1093" s="1">
        <v>79.99</v>
      </c>
      <c r="BB1093" s="1">
        <v>79.99</v>
      </c>
    </row>
    <row r="1094">
      <c r="A1094" s="1" t="s">
        <v>1931</v>
      </c>
      <c r="C1094" s="1" t="s">
        <v>56</v>
      </c>
      <c r="D1094" s="1" t="s">
        <v>1962</v>
      </c>
      <c r="Y1094" s="2">
        <v>45517.0</v>
      </c>
      <c r="AE1094" s="1">
        <v>54.99</v>
      </c>
      <c r="AG1094" s="3" t="str">
        <f>"2000006169915933"</f>
        <v>2000006169915933</v>
      </c>
      <c r="AH1094" s="1" t="s">
        <v>58</v>
      </c>
      <c r="AI1094" s="1" t="s">
        <v>59</v>
      </c>
      <c r="AJ1094" s="1" t="s">
        <v>59</v>
      </c>
      <c r="AK1094" s="1" t="s">
        <v>60</v>
      </c>
      <c r="AL1094" s="1" t="s">
        <v>60</v>
      </c>
      <c r="AW1094" s="1" t="s">
        <v>1933</v>
      </c>
      <c r="AY1094" s="1">
        <v>1.0</v>
      </c>
      <c r="AZ1094" s="1">
        <v>54.99</v>
      </c>
      <c r="BB1094" s="1">
        <v>54.99</v>
      </c>
    </row>
    <row r="1095">
      <c r="A1095" s="1" t="s">
        <v>296</v>
      </c>
      <c r="C1095" s="1" t="s">
        <v>56</v>
      </c>
      <c r="D1095" s="1" t="s">
        <v>1963</v>
      </c>
      <c r="Y1095" s="2">
        <v>45517.0</v>
      </c>
      <c r="AE1095" s="1">
        <v>139.99</v>
      </c>
      <c r="AG1095" s="3" t="str">
        <f>"2000006169923051"</f>
        <v>2000006169923051</v>
      </c>
      <c r="AH1095" s="1" t="s">
        <v>58</v>
      </c>
      <c r="AI1095" s="1" t="s">
        <v>59</v>
      </c>
      <c r="AJ1095" s="1" t="s">
        <v>59</v>
      </c>
      <c r="AK1095" s="1" t="s">
        <v>60</v>
      </c>
      <c r="AL1095" s="1" t="s">
        <v>60</v>
      </c>
      <c r="AW1095" s="1" t="s">
        <v>298</v>
      </c>
      <c r="AY1095" s="1">
        <v>1.0</v>
      </c>
      <c r="AZ1095" s="1">
        <v>139.99</v>
      </c>
      <c r="BB1095" s="1">
        <v>139.99</v>
      </c>
    </row>
    <row r="1096">
      <c r="A1096" s="1" t="s">
        <v>1964</v>
      </c>
      <c r="C1096" s="1" t="s">
        <v>56</v>
      </c>
      <c r="D1096" s="1" t="s">
        <v>1965</v>
      </c>
      <c r="Y1096" s="2">
        <v>45517.0</v>
      </c>
      <c r="AE1096" s="1">
        <v>59.99</v>
      </c>
      <c r="AG1096" s="3" t="str">
        <f>"2000006169886759"</f>
        <v>2000006169886759</v>
      </c>
      <c r="AH1096" s="1" t="s">
        <v>58</v>
      </c>
      <c r="AI1096" s="1" t="s">
        <v>59</v>
      </c>
      <c r="AJ1096" s="1" t="s">
        <v>59</v>
      </c>
      <c r="AK1096" s="1" t="s">
        <v>60</v>
      </c>
      <c r="AL1096" s="1" t="s">
        <v>60</v>
      </c>
      <c r="AW1096" s="1" t="s">
        <v>1966</v>
      </c>
      <c r="AY1096" s="1">
        <v>1.0</v>
      </c>
      <c r="AZ1096" s="1">
        <v>59.99</v>
      </c>
      <c r="BB1096" s="1">
        <v>59.99</v>
      </c>
    </row>
    <row r="1097">
      <c r="A1097" s="1" t="s">
        <v>1967</v>
      </c>
      <c r="C1097" s="1" t="s">
        <v>56</v>
      </c>
      <c r="D1097" s="1" t="s">
        <v>1968</v>
      </c>
      <c r="Y1097" s="2">
        <v>45517.0</v>
      </c>
      <c r="AE1097" s="1">
        <v>109.99</v>
      </c>
      <c r="AG1097" s="3" t="str">
        <f>"2000006169882153"</f>
        <v>2000006169882153</v>
      </c>
      <c r="AH1097" s="1" t="s">
        <v>58</v>
      </c>
      <c r="AI1097" s="1" t="s">
        <v>59</v>
      </c>
      <c r="AJ1097" s="1" t="s">
        <v>59</v>
      </c>
      <c r="AK1097" s="1" t="s">
        <v>60</v>
      </c>
      <c r="AL1097" s="1" t="s">
        <v>60</v>
      </c>
      <c r="AW1097" s="1" t="s">
        <v>1969</v>
      </c>
      <c r="AY1097" s="1">
        <v>1.0</v>
      </c>
      <c r="AZ1097" s="1">
        <v>109.99</v>
      </c>
      <c r="BB1097" s="1">
        <v>109.99</v>
      </c>
    </row>
    <row r="1098">
      <c r="A1098" s="1" t="s">
        <v>345</v>
      </c>
      <c r="C1098" s="1" t="s">
        <v>56</v>
      </c>
      <c r="D1098" s="1" t="s">
        <v>1970</v>
      </c>
      <c r="Y1098" s="2">
        <v>45517.0</v>
      </c>
      <c r="AE1098" s="1">
        <v>164.99</v>
      </c>
      <c r="AG1098" s="3" t="str">
        <f>"2000006169844059"</f>
        <v>2000006169844059</v>
      </c>
      <c r="AH1098" s="1" t="s">
        <v>58</v>
      </c>
      <c r="AI1098" s="1" t="s">
        <v>59</v>
      </c>
      <c r="AJ1098" s="1" t="s">
        <v>59</v>
      </c>
      <c r="AK1098" s="1" t="s">
        <v>60</v>
      </c>
      <c r="AL1098" s="1" t="s">
        <v>60</v>
      </c>
      <c r="AW1098" s="1" t="s">
        <v>347</v>
      </c>
      <c r="AY1098" s="1">
        <v>1.0</v>
      </c>
      <c r="AZ1098" s="1">
        <v>164.99</v>
      </c>
      <c r="BB1098" s="1">
        <v>164.99</v>
      </c>
    </row>
    <row r="1099">
      <c r="A1099" s="1" t="s">
        <v>602</v>
      </c>
      <c r="C1099" s="1" t="s">
        <v>56</v>
      </c>
      <c r="D1099" s="1" t="s">
        <v>1971</v>
      </c>
      <c r="Y1099" s="2">
        <v>45517.0</v>
      </c>
      <c r="AE1099" s="1">
        <v>84.99</v>
      </c>
      <c r="AG1099" s="3" t="str">
        <f>"2000006169820605"</f>
        <v>2000006169820605</v>
      </c>
      <c r="AH1099" s="1" t="s">
        <v>58</v>
      </c>
      <c r="AI1099" s="1" t="s">
        <v>59</v>
      </c>
      <c r="AJ1099" s="1" t="s">
        <v>59</v>
      </c>
      <c r="AK1099" s="1" t="s">
        <v>60</v>
      </c>
      <c r="AL1099" s="1" t="s">
        <v>60</v>
      </c>
      <c r="AW1099" s="1" t="s">
        <v>604</v>
      </c>
      <c r="AY1099" s="1">
        <v>1.0</v>
      </c>
      <c r="AZ1099" s="1">
        <v>84.99</v>
      </c>
      <c r="BB1099" s="1">
        <v>84.99</v>
      </c>
    </row>
    <row r="1100">
      <c r="A1100" s="1" t="s">
        <v>875</v>
      </c>
      <c r="C1100" s="1" t="s">
        <v>235</v>
      </c>
      <c r="D1100" s="1" t="s">
        <v>1972</v>
      </c>
      <c r="Y1100" s="2">
        <v>45517.0</v>
      </c>
      <c r="AE1100" s="1">
        <v>89.99</v>
      </c>
      <c r="AG1100" s="3" t="str">
        <f>"2000006169796859"</f>
        <v>2000006169796859</v>
      </c>
      <c r="AH1100" s="1" t="s">
        <v>58</v>
      </c>
      <c r="AI1100" s="1" t="s">
        <v>59</v>
      </c>
      <c r="AJ1100" s="1" t="s">
        <v>59</v>
      </c>
      <c r="AK1100" s="1" t="s">
        <v>60</v>
      </c>
      <c r="AL1100" s="1" t="s">
        <v>60</v>
      </c>
      <c r="AW1100" s="1" t="s">
        <v>877</v>
      </c>
      <c r="AY1100" s="1">
        <v>1.0</v>
      </c>
      <c r="AZ1100" s="1">
        <v>89.99</v>
      </c>
      <c r="BB1100" s="1">
        <v>89.99</v>
      </c>
    </row>
    <row r="1101">
      <c r="A1101" s="1" t="s">
        <v>1384</v>
      </c>
      <c r="C1101" s="1" t="s">
        <v>56</v>
      </c>
      <c r="D1101" s="1" t="s">
        <v>1973</v>
      </c>
      <c r="Y1101" s="2">
        <v>45517.0</v>
      </c>
      <c r="AE1101" s="1">
        <v>129.99</v>
      </c>
      <c r="AG1101" s="3" t="str">
        <f>"2000006169761165"</f>
        <v>2000006169761165</v>
      </c>
      <c r="AH1101" s="1" t="s">
        <v>58</v>
      </c>
      <c r="AI1101" s="1" t="s">
        <v>59</v>
      </c>
      <c r="AJ1101" s="1" t="s">
        <v>59</v>
      </c>
      <c r="AK1101" s="1" t="s">
        <v>60</v>
      </c>
      <c r="AL1101" s="1" t="s">
        <v>60</v>
      </c>
      <c r="AW1101" s="1" t="s">
        <v>1385</v>
      </c>
      <c r="AY1101" s="1">
        <v>1.0</v>
      </c>
      <c r="AZ1101" s="1">
        <v>129.99</v>
      </c>
      <c r="BB1101" s="1">
        <v>129.99</v>
      </c>
    </row>
    <row r="1102">
      <c r="A1102" s="1" t="s">
        <v>1619</v>
      </c>
      <c r="C1102" s="1" t="s">
        <v>56</v>
      </c>
      <c r="D1102" s="1" t="s">
        <v>1974</v>
      </c>
      <c r="Y1102" s="2">
        <v>45517.0</v>
      </c>
      <c r="AE1102" s="1">
        <v>174.99</v>
      </c>
      <c r="AG1102" s="3" t="str">
        <f t="shared" ref="AG1102:AG1103" si="44">"2000006169758589"</f>
        <v>2000006169758589</v>
      </c>
      <c r="AH1102" s="1" t="s">
        <v>58</v>
      </c>
      <c r="AI1102" s="1" t="s">
        <v>59</v>
      </c>
      <c r="AJ1102" s="1" t="s">
        <v>59</v>
      </c>
      <c r="AK1102" s="1" t="s">
        <v>60</v>
      </c>
      <c r="AL1102" s="1" t="s">
        <v>60</v>
      </c>
      <c r="AW1102" s="1" t="s">
        <v>1621</v>
      </c>
      <c r="AY1102" s="1">
        <v>1.0</v>
      </c>
      <c r="AZ1102" s="1">
        <v>174.99</v>
      </c>
      <c r="BB1102" s="1">
        <v>174.99</v>
      </c>
    </row>
    <row r="1103">
      <c r="A1103" s="1" t="s">
        <v>283</v>
      </c>
      <c r="C1103" s="1" t="s">
        <v>56</v>
      </c>
      <c r="D1103" s="1" t="s">
        <v>1974</v>
      </c>
      <c r="Y1103" s="2">
        <v>45517.0</v>
      </c>
      <c r="AE1103" s="1">
        <v>499.99</v>
      </c>
      <c r="AG1103" s="3" t="str">
        <f t="shared" si="44"/>
        <v>2000006169758589</v>
      </c>
      <c r="AH1103" s="1" t="s">
        <v>58</v>
      </c>
      <c r="AI1103" s="1" t="s">
        <v>59</v>
      </c>
      <c r="AJ1103" s="1" t="s">
        <v>59</v>
      </c>
      <c r="AK1103" s="1" t="s">
        <v>60</v>
      </c>
      <c r="AL1103" s="1" t="s">
        <v>60</v>
      </c>
      <c r="AW1103" s="1" t="s">
        <v>285</v>
      </c>
      <c r="AY1103" s="1">
        <v>1.0</v>
      </c>
      <c r="AZ1103" s="1">
        <v>499.99</v>
      </c>
      <c r="BB1103" s="1">
        <v>499.99</v>
      </c>
    </row>
    <row r="1104">
      <c r="A1104" s="1" t="s">
        <v>1975</v>
      </c>
      <c r="C1104" s="1" t="s">
        <v>56</v>
      </c>
      <c r="D1104" s="1" t="s">
        <v>981</v>
      </c>
      <c r="Y1104" s="2">
        <v>45517.0</v>
      </c>
      <c r="AE1104" s="1">
        <v>189.99</v>
      </c>
      <c r="AG1104" s="3" t="str">
        <f>"2000009026827342"</f>
        <v>2000009026827342</v>
      </c>
      <c r="AH1104" s="1" t="s">
        <v>58</v>
      </c>
      <c r="AI1104" s="1" t="s">
        <v>59</v>
      </c>
      <c r="AJ1104" s="1" t="s">
        <v>59</v>
      </c>
      <c r="AK1104" s="1" t="s">
        <v>60</v>
      </c>
      <c r="AL1104" s="1" t="s">
        <v>60</v>
      </c>
      <c r="AW1104" s="1" t="s">
        <v>1976</v>
      </c>
      <c r="AY1104" s="1">
        <v>1.0</v>
      </c>
      <c r="AZ1104" s="1">
        <v>189.99</v>
      </c>
      <c r="BB1104" s="1">
        <v>189.99</v>
      </c>
    </row>
    <row r="1105">
      <c r="A1105" s="1" t="s">
        <v>1466</v>
      </c>
      <c r="C1105" s="1" t="s">
        <v>56</v>
      </c>
      <c r="D1105" s="1" t="s">
        <v>1977</v>
      </c>
      <c r="Y1105" s="2">
        <v>45517.0</v>
      </c>
      <c r="AE1105" s="1">
        <v>129.99</v>
      </c>
      <c r="AG1105" s="3" t="str">
        <f>"2000006169708643"</f>
        <v>2000006169708643</v>
      </c>
      <c r="AH1105" s="1" t="s">
        <v>58</v>
      </c>
      <c r="AI1105" s="1" t="s">
        <v>59</v>
      </c>
      <c r="AJ1105" s="1" t="s">
        <v>59</v>
      </c>
      <c r="AK1105" s="1" t="s">
        <v>60</v>
      </c>
      <c r="AL1105" s="1" t="s">
        <v>60</v>
      </c>
      <c r="AW1105" s="1" t="s">
        <v>1468</v>
      </c>
      <c r="AY1105" s="1">
        <v>1.0</v>
      </c>
      <c r="AZ1105" s="1">
        <v>129.99</v>
      </c>
      <c r="BB1105" s="1">
        <v>129.99</v>
      </c>
    </row>
    <row r="1106">
      <c r="A1106" s="1" t="s">
        <v>1978</v>
      </c>
      <c r="C1106" s="1" t="s">
        <v>56</v>
      </c>
      <c r="D1106" s="1" t="s">
        <v>1979</v>
      </c>
      <c r="Y1106" s="2">
        <v>45517.0</v>
      </c>
      <c r="AE1106" s="1">
        <v>319.96</v>
      </c>
      <c r="AG1106" s="3" t="str">
        <f>"2000006169688383"</f>
        <v>2000006169688383</v>
      </c>
      <c r="AH1106" s="1" t="s">
        <v>58</v>
      </c>
      <c r="AI1106" s="1" t="s">
        <v>59</v>
      </c>
      <c r="AJ1106" s="1" t="s">
        <v>59</v>
      </c>
      <c r="AK1106" s="1" t="s">
        <v>60</v>
      </c>
      <c r="AL1106" s="1" t="s">
        <v>60</v>
      </c>
      <c r="AW1106" s="1" t="s">
        <v>1980</v>
      </c>
      <c r="AY1106" s="1">
        <v>4.0</v>
      </c>
      <c r="AZ1106" s="1">
        <v>79.99</v>
      </c>
      <c r="BB1106" s="1">
        <v>319.96</v>
      </c>
    </row>
    <row r="1107">
      <c r="A1107" s="1" t="s">
        <v>1266</v>
      </c>
      <c r="C1107" s="1" t="s">
        <v>56</v>
      </c>
      <c r="D1107" s="1" t="s">
        <v>1979</v>
      </c>
      <c r="Y1107" s="2">
        <v>45517.0</v>
      </c>
      <c r="AE1107" s="1">
        <v>79.99</v>
      </c>
      <c r="AG1107" s="3" t="str">
        <f t="shared" ref="AG1107:AG1108" si="45">"2000006169688385"</f>
        <v>2000006169688385</v>
      </c>
      <c r="AH1107" s="1" t="s">
        <v>58</v>
      </c>
      <c r="AI1107" s="1" t="s">
        <v>59</v>
      </c>
      <c r="AJ1107" s="1" t="s">
        <v>59</v>
      </c>
      <c r="AK1107" s="1" t="s">
        <v>60</v>
      </c>
      <c r="AL1107" s="1" t="s">
        <v>60</v>
      </c>
      <c r="AW1107" s="1" t="s">
        <v>1268</v>
      </c>
      <c r="AY1107" s="1">
        <v>1.0</v>
      </c>
      <c r="AZ1107" s="1">
        <v>79.99</v>
      </c>
      <c r="BB1107" s="1">
        <v>79.99</v>
      </c>
    </row>
    <row r="1108">
      <c r="A1108" s="1" t="s">
        <v>1354</v>
      </c>
      <c r="C1108" s="1" t="s">
        <v>56</v>
      </c>
      <c r="D1108" s="1" t="s">
        <v>1979</v>
      </c>
      <c r="Y1108" s="2">
        <v>45517.0</v>
      </c>
      <c r="AE1108" s="1">
        <v>84.99</v>
      </c>
      <c r="AG1108" s="3" t="str">
        <f t="shared" si="45"/>
        <v>2000006169688385</v>
      </c>
      <c r="AH1108" s="1" t="s">
        <v>58</v>
      </c>
      <c r="AI1108" s="1" t="s">
        <v>59</v>
      </c>
      <c r="AJ1108" s="1" t="s">
        <v>59</v>
      </c>
      <c r="AK1108" s="1" t="s">
        <v>60</v>
      </c>
      <c r="AL1108" s="1" t="s">
        <v>60</v>
      </c>
      <c r="AW1108" s="1" t="s">
        <v>1356</v>
      </c>
      <c r="AY1108" s="1">
        <v>1.0</v>
      </c>
      <c r="AZ1108" s="1">
        <v>84.99</v>
      </c>
      <c r="BB1108" s="1">
        <v>84.99</v>
      </c>
    </row>
    <row r="1109">
      <c r="A1109" s="1" t="s">
        <v>1668</v>
      </c>
      <c r="C1109" s="1" t="s">
        <v>56</v>
      </c>
      <c r="D1109" s="1" t="s">
        <v>1981</v>
      </c>
      <c r="Y1109" s="2">
        <v>45517.0</v>
      </c>
      <c r="AE1109" s="1">
        <v>89.99</v>
      </c>
      <c r="AG1109" s="3" t="str">
        <f>"2000009026643384"</f>
        <v>2000009026643384</v>
      </c>
      <c r="AH1109" s="1" t="s">
        <v>58</v>
      </c>
      <c r="AI1109" s="1" t="s">
        <v>59</v>
      </c>
      <c r="AJ1109" s="1" t="s">
        <v>59</v>
      </c>
      <c r="AK1109" s="1" t="s">
        <v>60</v>
      </c>
      <c r="AL1109" s="1" t="s">
        <v>60</v>
      </c>
      <c r="AW1109" s="1" t="s">
        <v>1670</v>
      </c>
      <c r="AY1109" s="1">
        <v>1.0</v>
      </c>
      <c r="AZ1109" s="1">
        <v>89.99</v>
      </c>
      <c r="BB1109" s="1">
        <v>89.99</v>
      </c>
    </row>
    <row r="1110">
      <c r="A1110" s="1" t="s">
        <v>940</v>
      </c>
      <c r="C1110" s="1" t="s">
        <v>56</v>
      </c>
      <c r="D1110" s="1" t="s">
        <v>1982</v>
      </c>
      <c r="Y1110" s="2">
        <v>45517.0</v>
      </c>
      <c r="AE1110" s="1">
        <v>79.99</v>
      </c>
      <c r="AG1110" s="3" t="str">
        <f>"2000006169676521"</f>
        <v>2000006169676521</v>
      </c>
      <c r="AH1110" s="1" t="s">
        <v>58</v>
      </c>
      <c r="AI1110" s="1" t="s">
        <v>59</v>
      </c>
      <c r="AJ1110" s="1" t="s">
        <v>59</v>
      </c>
      <c r="AK1110" s="1" t="s">
        <v>60</v>
      </c>
      <c r="AL1110" s="1" t="s">
        <v>60</v>
      </c>
      <c r="AW1110" s="1" t="s">
        <v>146</v>
      </c>
      <c r="AY1110" s="1">
        <v>1.0</v>
      </c>
      <c r="AZ1110" s="1">
        <v>79.99</v>
      </c>
      <c r="BB1110" s="1">
        <v>79.99</v>
      </c>
    </row>
    <row r="1111">
      <c r="A1111" s="1" t="s">
        <v>776</v>
      </c>
      <c r="C1111" s="1" t="s">
        <v>56</v>
      </c>
      <c r="D1111" s="1" t="s">
        <v>1983</v>
      </c>
      <c r="Y1111" s="2">
        <v>45517.0</v>
      </c>
      <c r="AE1111" s="1">
        <v>79.99</v>
      </c>
      <c r="AG1111" s="3" t="str">
        <f>"2000009026668550"</f>
        <v>2000009026668550</v>
      </c>
      <c r="AH1111" s="1" t="s">
        <v>58</v>
      </c>
      <c r="AI1111" s="1" t="s">
        <v>59</v>
      </c>
      <c r="AJ1111" s="1" t="s">
        <v>59</v>
      </c>
      <c r="AK1111" s="1" t="s">
        <v>60</v>
      </c>
      <c r="AL1111" s="1" t="s">
        <v>60</v>
      </c>
      <c r="AW1111" s="1" t="s">
        <v>778</v>
      </c>
      <c r="AY1111" s="1">
        <v>1.0</v>
      </c>
      <c r="AZ1111" s="1">
        <v>79.99</v>
      </c>
      <c r="BB1111" s="1">
        <v>79.99</v>
      </c>
    </row>
    <row r="1112">
      <c r="A1112" s="1" t="s">
        <v>390</v>
      </c>
      <c r="C1112" s="1" t="s">
        <v>56</v>
      </c>
      <c r="D1112" s="1" t="s">
        <v>1984</v>
      </c>
      <c r="Y1112" s="2">
        <v>45517.0</v>
      </c>
      <c r="AE1112" s="1">
        <v>79.99</v>
      </c>
      <c r="AG1112" s="3" t="str">
        <f>"2000006169623937"</f>
        <v>2000006169623937</v>
      </c>
      <c r="AH1112" s="1" t="s">
        <v>58</v>
      </c>
      <c r="AI1112" s="1" t="s">
        <v>59</v>
      </c>
      <c r="AJ1112" s="1" t="s">
        <v>59</v>
      </c>
      <c r="AK1112" s="1" t="s">
        <v>60</v>
      </c>
      <c r="AL1112" s="1" t="s">
        <v>60</v>
      </c>
      <c r="AW1112" s="1" t="s">
        <v>392</v>
      </c>
      <c r="AY1112" s="1">
        <v>1.0</v>
      </c>
      <c r="AZ1112" s="1">
        <v>79.99</v>
      </c>
      <c r="BB1112" s="1">
        <v>79.99</v>
      </c>
    </row>
    <row r="1113">
      <c r="A1113" s="1" t="s">
        <v>1985</v>
      </c>
      <c r="C1113" s="1" t="s">
        <v>56</v>
      </c>
      <c r="D1113" s="1" t="s">
        <v>1986</v>
      </c>
      <c r="Y1113" s="2">
        <v>45517.0</v>
      </c>
      <c r="AE1113" s="1">
        <v>92.99</v>
      </c>
      <c r="AG1113" s="3" t="str">
        <f>"2000006169609989"</f>
        <v>2000006169609989</v>
      </c>
      <c r="AH1113" s="1" t="s">
        <v>58</v>
      </c>
      <c r="AI1113" s="1" t="s">
        <v>59</v>
      </c>
      <c r="AJ1113" s="1" t="s">
        <v>59</v>
      </c>
      <c r="AK1113" s="1" t="s">
        <v>60</v>
      </c>
      <c r="AL1113" s="1" t="s">
        <v>60</v>
      </c>
      <c r="AW1113" s="1" t="s">
        <v>1987</v>
      </c>
      <c r="AY1113" s="1">
        <v>1.0</v>
      </c>
      <c r="AZ1113" s="1">
        <v>92.99</v>
      </c>
      <c r="BB1113" s="1">
        <v>92.99</v>
      </c>
    </row>
    <row r="1114">
      <c r="A1114" s="1" t="s">
        <v>1988</v>
      </c>
      <c r="C1114" s="1" t="s">
        <v>56</v>
      </c>
      <c r="D1114" s="1" t="s">
        <v>1989</v>
      </c>
      <c r="Y1114" s="2">
        <v>45517.0</v>
      </c>
      <c r="AE1114" s="1">
        <v>129.99</v>
      </c>
      <c r="AG1114" s="3" t="str">
        <f>"2000006169608461"</f>
        <v>2000006169608461</v>
      </c>
      <c r="AH1114" s="1" t="s">
        <v>58</v>
      </c>
      <c r="AI1114" s="1" t="s">
        <v>59</v>
      </c>
      <c r="AJ1114" s="1" t="s">
        <v>59</v>
      </c>
      <c r="AK1114" s="1" t="s">
        <v>60</v>
      </c>
      <c r="AL1114" s="1" t="s">
        <v>60</v>
      </c>
      <c r="AW1114" s="1" t="s">
        <v>949</v>
      </c>
      <c r="AY1114" s="1">
        <v>1.0</v>
      </c>
      <c r="AZ1114" s="1">
        <v>129.99</v>
      </c>
      <c r="BB1114" s="1">
        <v>129.99</v>
      </c>
    </row>
    <row r="1115">
      <c r="A1115" s="1" t="s">
        <v>1836</v>
      </c>
      <c r="C1115" s="1" t="s">
        <v>56</v>
      </c>
      <c r="D1115" s="1" t="s">
        <v>1990</v>
      </c>
      <c r="Y1115" s="2">
        <v>45517.0</v>
      </c>
      <c r="AE1115" s="1">
        <v>49.99</v>
      </c>
      <c r="AG1115" s="3" t="str">
        <f>"2000006169586913"</f>
        <v>2000006169586913</v>
      </c>
      <c r="AH1115" s="1" t="s">
        <v>58</v>
      </c>
      <c r="AI1115" s="1" t="s">
        <v>59</v>
      </c>
      <c r="AJ1115" s="1" t="s">
        <v>59</v>
      </c>
      <c r="AK1115" s="1" t="s">
        <v>60</v>
      </c>
      <c r="AL1115" s="1" t="s">
        <v>60</v>
      </c>
      <c r="AW1115" s="1" t="s">
        <v>1838</v>
      </c>
      <c r="AY1115" s="1">
        <v>1.0</v>
      </c>
      <c r="AZ1115" s="1">
        <v>49.99</v>
      </c>
      <c r="BB1115" s="1">
        <v>49.99</v>
      </c>
    </row>
    <row r="1116">
      <c r="A1116" s="1" t="s">
        <v>1991</v>
      </c>
      <c r="C1116" s="1" t="s">
        <v>56</v>
      </c>
      <c r="D1116" s="1" t="s">
        <v>1992</v>
      </c>
      <c r="Y1116" s="2">
        <v>45517.0</v>
      </c>
      <c r="AE1116" s="1">
        <v>54.99</v>
      </c>
      <c r="AG1116" s="3" t="str">
        <f>"2000006169331809"</f>
        <v>2000006169331809</v>
      </c>
      <c r="AH1116" s="1" t="s">
        <v>58</v>
      </c>
      <c r="AI1116" s="1" t="s">
        <v>59</v>
      </c>
      <c r="AJ1116" s="1" t="s">
        <v>59</v>
      </c>
      <c r="AK1116" s="1" t="s">
        <v>60</v>
      </c>
      <c r="AL1116" s="1" t="s">
        <v>60</v>
      </c>
      <c r="AW1116" s="1" t="s">
        <v>1993</v>
      </c>
      <c r="AY1116" s="1">
        <v>1.0</v>
      </c>
      <c r="AZ1116" s="1">
        <v>54.99</v>
      </c>
      <c r="BB1116" s="1">
        <v>54.99</v>
      </c>
    </row>
    <row r="1117">
      <c r="A1117" s="1" t="s">
        <v>125</v>
      </c>
      <c r="C1117" s="1" t="s">
        <v>56</v>
      </c>
      <c r="D1117" s="1" t="s">
        <v>1994</v>
      </c>
      <c r="Y1117" s="2">
        <v>45517.0</v>
      </c>
      <c r="AE1117" s="1">
        <v>49.99</v>
      </c>
      <c r="AG1117" s="3" t="str">
        <f>"2000006169508679"</f>
        <v>2000006169508679</v>
      </c>
      <c r="AH1117" s="1" t="s">
        <v>58</v>
      </c>
      <c r="AI1117" s="1" t="s">
        <v>59</v>
      </c>
      <c r="AJ1117" s="1" t="s">
        <v>59</v>
      </c>
      <c r="AK1117" s="1" t="s">
        <v>60</v>
      </c>
      <c r="AL1117" s="1" t="s">
        <v>60</v>
      </c>
      <c r="AW1117" s="1" t="s">
        <v>127</v>
      </c>
      <c r="AY1117" s="1">
        <v>1.0</v>
      </c>
      <c r="AZ1117" s="1">
        <v>49.99</v>
      </c>
      <c r="BB1117" s="1">
        <v>49.99</v>
      </c>
    </row>
    <row r="1118">
      <c r="A1118" s="1" t="s">
        <v>851</v>
      </c>
      <c r="C1118" s="1" t="s">
        <v>56</v>
      </c>
      <c r="D1118" s="1" t="s">
        <v>1995</v>
      </c>
      <c r="Y1118" s="2">
        <v>45517.0</v>
      </c>
      <c r="AE1118" s="1">
        <v>76.99</v>
      </c>
      <c r="AG1118" s="3" t="str">
        <f>"2000006169507263"</f>
        <v>2000006169507263</v>
      </c>
      <c r="AH1118" s="1" t="s">
        <v>58</v>
      </c>
      <c r="AI1118" s="1" t="s">
        <v>59</v>
      </c>
      <c r="AJ1118" s="1" t="s">
        <v>59</v>
      </c>
      <c r="AK1118" s="1" t="s">
        <v>60</v>
      </c>
      <c r="AL1118" s="1" t="s">
        <v>60</v>
      </c>
      <c r="AW1118" s="1" t="s">
        <v>853</v>
      </c>
      <c r="AY1118" s="1">
        <v>1.0</v>
      </c>
      <c r="AZ1118" s="1">
        <v>76.99</v>
      </c>
      <c r="BB1118" s="1">
        <v>76.99</v>
      </c>
    </row>
    <row r="1119">
      <c r="A1119" s="1" t="s">
        <v>265</v>
      </c>
      <c r="C1119" s="1" t="s">
        <v>56</v>
      </c>
      <c r="D1119" s="1" t="s">
        <v>1996</v>
      </c>
      <c r="Y1119" s="2">
        <v>45517.0</v>
      </c>
      <c r="AE1119" s="1">
        <v>114.99</v>
      </c>
      <c r="AG1119" s="3" t="str">
        <f>"2000006169480203"</f>
        <v>2000006169480203</v>
      </c>
      <c r="AH1119" s="1" t="s">
        <v>58</v>
      </c>
      <c r="AI1119" s="1" t="s">
        <v>59</v>
      </c>
      <c r="AJ1119" s="1" t="s">
        <v>59</v>
      </c>
      <c r="AK1119" s="1" t="s">
        <v>60</v>
      </c>
      <c r="AL1119" s="1" t="s">
        <v>60</v>
      </c>
      <c r="AW1119" s="1" t="s">
        <v>1997</v>
      </c>
      <c r="AY1119" s="1">
        <v>1.0</v>
      </c>
      <c r="AZ1119" s="1">
        <v>114.99</v>
      </c>
      <c r="BB1119" s="1">
        <v>114.99</v>
      </c>
    </row>
    <row r="1120">
      <c r="A1120" s="1" t="s">
        <v>781</v>
      </c>
      <c r="C1120" s="1" t="s">
        <v>56</v>
      </c>
      <c r="D1120" s="1" t="s">
        <v>1998</v>
      </c>
      <c r="Y1120" s="2">
        <v>45517.0</v>
      </c>
      <c r="AE1120" s="1">
        <v>149.99</v>
      </c>
      <c r="AG1120" s="3" t="str">
        <f>"2000009026211314"</f>
        <v>2000009026211314</v>
      </c>
      <c r="AH1120" s="1" t="s">
        <v>58</v>
      </c>
      <c r="AI1120" s="1" t="s">
        <v>59</v>
      </c>
      <c r="AJ1120" s="1" t="s">
        <v>59</v>
      </c>
      <c r="AK1120" s="1" t="s">
        <v>60</v>
      </c>
      <c r="AL1120" s="1" t="s">
        <v>60</v>
      </c>
      <c r="AW1120" s="1" t="s">
        <v>783</v>
      </c>
      <c r="AY1120" s="1">
        <v>1.0</v>
      </c>
      <c r="AZ1120" s="1">
        <v>149.99</v>
      </c>
      <c r="BB1120" s="1">
        <v>149.99</v>
      </c>
    </row>
    <row r="1121">
      <c r="A1121" s="1" t="s">
        <v>742</v>
      </c>
      <c r="C1121" s="1" t="s">
        <v>56</v>
      </c>
      <c r="D1121" s="1" t="s">
        <v>1999</v>
      </c>
      <c r="Y1121" s="2">
        <v>45517.0</v>
      </c>
      <c r="AE1121" s="1">
        <v>139.99</v>
      </c>
      <c r="AG1121" s="3" t="str">
        <f>"2000009026178606"</f>
        <v>2000009026178606</v>
      </c>
      <c r="AH1121" s="1" t="s">
        <v>58</v>
      </c>
      <c r="AI1121" s="1" t="s">
        <v>59</v>
      </c>
      <c r="AJ1121" s="1" t="s">
        <v>59</v>
      </c>
      <c r="AK1121" s="1" t="s">
        <v>60</v>
      </c>
      <c r="AL1121" s="1" t="s">
        <v>60</v>
      </c>
      <c r="AW1121" s="1" t="s">
        <v>744</v>
      </c>
      <c r="AY1121" s="1">
        <v>1.0</v>
      </c>
      <c r="AZ1121" s="1">
        <v>139.99</v>
      </c>
      <c r="BB1121" s="1">
        <v>139.99</v>
      </c>
    </row>
    <row r="1122">
      <c r="A1122" s="1" t="s">
        <v>496</v>
      </c>
      <c r="C1122" s="1" t="s">
        <v>56</v>
      </c>
      <c r="D1122" s="1" t="s">
        <v>2000</v>
      </c>
      <c r="Y1122" s="2">
        <v>45517.0</v>
      </c>
      <c r="AE1122" s="1">
        <v>54.99</v>
      </c>
      <c r="AG1122" s="3" t="str">
        <f>"2000006169357709"</f>
        <v>2000006169357709</v>
      </c>
      <c r="AH1122" s="1" t="s">
        <v>58</v>
      </c>
      <c r="AI1122" s="1" t="s">
        <v>59</v>
      </c>
      <c r="AJ1122" s="1" t="s">
        <v>59</v>
      </c>
      <c r="AK1122" s="1" t="s">
        <v>60</v>
      </c>
      <c r="AL1122" s="1" t="s">
        <v>60</v>
      </c>
      <c r="AW1122" s="1" t="s">
        <v>497</v>
      </c>
      <c r="AY1122" s="1">
        <v>1.0</v>
      </c>
      <c r="AZ1122" s="1">
        <v>54.99</v>
      </c>
      <c r="BB1122" s="1">
        <v>54.99</v>
      </c>
    </row>
    <row r="1123">
      <c r="A1123" s="1" t="s">
        <v>2001</v>
      </c>
      <c r="C1123" s="1" t="s">
        <v>56</v>
      </c>
      <c r="D1123" s="1" t="s">
        <v>2002</v>
      </c>
      <c r="Y1123" s="2">
        <v>45517.0</v>
      </c>
      <c r="AE1123" s="1">
        <v>79.99</v>
      </c>
      <c r="AG1123" s="3" t="str">
        <f>"2000006169320335"</f>
        <v>2000006169320335</v>
      </c>
      <c r="AH1123" s="1" t="s">
        <v>58</v>
      </c>
      <c r="AI1123" s="1" t="s">
        <v>59</v>
      </c>
      <c r="AJ1123" s="1" t="s">
        <v>59</v>
      </c>
      <c r="AK1123" s="1" t="s">
        <v>60</v>
      </c>
      <c r="AL1123" s="1" t="s">
        <v>60</v>
      </c>
      <c r="AW1123" s="1" t="s">
        <v>2003</v>
      </c>
      <c r="AY1123" s="1">
        <v>1.0</v>
      </c>
      <c r="AZ1123" s="1">
        <v>79.99</v>
      </c>
      <c r="BB1123" s="1">
        <v>79.99</v>
      </c>
    </row>
    <row r="1124">
      <c r="A1124" s="1" t="s">
        <v>230</v>
      </c>
      <c r="C1124" s="1" t="s">
        <v>56</v>
      </c>
      <c r="D1124" s="1" t="s">
        <v>2004</v>
      </c>
      <c r="Y1124" s="2">
        <v>45517.0</v>
      </c>
      <c r="AE1124" s="1">
        <v>54.99</v>
      </c>
      <c r="AG1124" s="3" t="str">
        <f t="shared" ref="AG1124:AG1125" si="46">"2000006169314799"</f>
        <v>2000006169314799</v>
      </c>
      <c r="AH1124" s="1" t="s">
        <v>58</v>
      </c>
      <c r="AI1124" s="1" t="s">
        <v>59</v>
      </c>
      <c r="AJ1124" s="1" t="s">
        <v>59</v>
      </c>
      <c r="AK1124" s="1" t="s">
        <v>60</v>
      </c>
      <c r="AL1124" s="1" t="s">
        <v>60</v>
      </c>
      <c r="AW1124" s="1" t="s">
        <v>85</v>
      </c>
      <c r="AY1124" s="1">
        <v>1.0</v>
      </c>
      <c r="AZ1124" s="1">
        <v>54.99</v>
      </c>
      <c r="BB1124" s="1">
        <v>54.99</v>
      </c>
    </row>
    <row r="1125">
      <c r="A1125" s="1" t="s">
        <v>1001</v>
      </c>
      <c r="C1125" s="1" t="s">
        <v>56</v>
      </c>
      <c r="D1125" s="1" t="s">
        <v>2004</v>
      </c>
      <c r="Y1125" s="2">
        <v>45517.0</v>
      </c>
      <c r="AE1125" s="1">
        <v>54.99</v>
      </c>
      <c r="AG1125" s="3" t="str">
        <f t="shared" si="46"/>
        <v>2000006169314799</v>
      </c>
      <c r="AH1125" s="1" t="s">
        <v>58</v>
      </c>
      <c r="AI1125" s="1" t="s">
        <v>59</v>
      </c>
      <c r="AJ1125" s="1" t="s">
        <v>59</v>
      </c>
      <c r="AK1125" s="1" t="s">
        <v>60</v>
      </c>
      <c r="AL1125" s="1" t="s">
        <v>60</v>
      </c>
      <c r="AW1125" s="1" t="s">
        <v>85</v>
      </c>
      <c r="AY1125" s="1">
        <v>1.0</v>
      </c>
      <c r="AZ1125" s="1">
        <v>54.99</v>
      </c>
      <c r="BB1125" s="1">
        <v>54.99</v>
      </c>
    </row>
    <row r="1126">
      <c r="A1126" s="1" t="s">
        <v>2005</v>
      </c>
      <c r="C1126" s="1" t="s">
        <v>56</v>
      </c>
      <c r="D1126" s="1" t="s">
        <v>2006</v>
      </c>
      <c r="Y1126" s="2">
        <v>45517.0</v>
      </c>
      <c r="AE1126" s="1">
        <v>79.99</v>
      </c>
      <c r="AG1126" s="3" t="str">
        <f>"2000009026016086"</f>
        <v>2000009026016086</v>
      </c>
      <c r="AH1126" s="1" t="s">
        <v>58</v>
      </c>
      <c r="AI1126" s="1" t="s">
        <v>59</v>
      </c>
      <c r="AJ1126" s="1" t="s">
        <v>59</v>
      </c>
      <c r="AK1126" s="1" t="s">
        <v>60</v>
      </c>
      <c r="AL1126" s="1" t="s">
        <v>60</v>
      </c>
      <c r="AW1126" s="1" t="s">
        <v>2007</v>
      </c>
      <c r="AY1126" s="1">
        <v>1.0</v>
      </c>
      <c r="AZ1126" s="1">
        <v>79.99</v>
      </c>
      <c r="BB1126" s="1">
        <v>79.99</v>
      </c>
    </row>
    <row r="1127">
      <c r="A1127" s="1" t="s">
        <v>2008</v>
      </c>
      <c r="C1127" s="1" t="s">
        <v>56</v>
      </c>
      <c r="D1127" s="1" t="s">
        <v>2009</v>
      </c>
      <c r="Y1127" s="2">
        <v>45517.0</v>
      </c>
      <c r="AE1127" s="1">
        <v>109.99</v>
      </c>
      <c r="AG1127" s="3" t="str">
        <f>"2000006169302515"</f>
        <v>2000006169302515</v>
      </c>
      <c r="AH1127" s="1" t="s">
        <v>58</v>
      </c>
      <c r="AI1127" s="1" t="s">
        <v>59</v>
      </c>
      <c r="AJ1127" s="1" t="s">
        <v>59</v>
      </c>
      <c r="AK1127" s="1" t="s">
        <v>60</v>
      </c>
      <c r="AL1127" s="1" t="s">
        <v>60</v>
      </c>
      <c r="AW1127" s="1" t="s">
        <v>2010</v>
      </c>
      <c r="AY1127" s="1">
        <v>1.0</v>
      </c>
      <c r="AZ1127" s="1">
        <v>109.99</v>
      </c>
      <c r="BB1127" s="1">
        <v>109.99</v>
      </c>
    </row>
    <row r="1128">
      <c r="A1128" s="1" t="s">
        <v>1874</v>
      </c>
      <c r="C1128" s="1" t="s">
        <v>56</v>
      </c>
      <c r="D1128" s="1" t="s">
        <v>2011</v>
      </c>
      <c r="Y1128" s="2">
        <v>45517.0</v>
      </c>
      <c r="AE1128" s="1">
        <v>69.99</v>
      </c>
      <c r="AG1128" s="3" t="str">
        <f>"2000006169272537"</f>
        <v>2000006169272537</v>
      </c>
      <c r="AH1128" s="1" t="s">
        <v>58</v>
      </c>
      <c r="AI1128" s="1" t="s">
        <v>59</v>
      </c>
      <c r="AJ1128" s="1" t="s">
        <v>59</v>
      </c>
      <c r="AK1128" s="1" t="s">
        <v>60</v>
      </c>
      <c r="AL1128" s="1" t="s">
        <v>60</v>
      </c>
      <c r="AW1128" s="1" t="s">
        <v>1875</v>
      </c>
      <c r="AY1128" s="1">
        <v>1.0</v>
      </c>
      <c r="AZ1128" s="1">
        <v>69.99</v>
      </c>
      <c r="BB1128" s="1">
        <v>69.99</v>
      </c>
    </row>
    <row r="1129">
      <c r="A1129" s="1" t="s">
        <v>280</v>
      </c>
      <c r="C1129" s="1" t="s">
        <v>56</v>
      </c>
      <c r="D1129" s="1" t="s">
        <v>2012</v>
      </c>
      <c r="Y1129" s="2">
        <v>45517.0</v>
      </c>
      <c r="AE1129" s="1">
        <v>119.99</v>
      </c>
      <c r="AG1129" s="3" t="str">
        <f>"2000006169224183"</f>
        <v>2000006169224183</v>
      </c>
      <c r="AH1129" s="1" t="s">
        <v>58</v>
      </c>
      <c r="AI1129" s="1" t="s">
        <v>59</v>
      </c>
      <c r="AJ1129" s="1" t="s">
        <v>59</v>
      </c>
      <c r="AK1129" s="1" t="s">
        <v>60</v>
      </c>
      <c r="AL1129" s="1" t="s">
        <v>60</v>
      </c>
      <c r="AW1129" s="1" t="s">
        <v>282</v>
      </c>
      <c r="AY1129" s="1">
        <v>1.0</v>
      </c>
      <c r="AZ1129" s="1">
        <v>119.99</v>
      </c>
      <c r="BB1129" s="1">
        <v>119.99</v>
      </c>
    </row>
    <row r="1130">
      <c r="A1130" s="1" t="s">
        <v>428</v>
      </c>
      <c r="C1130" s="1" t="s">
        <v>56</v>
      </c>
      <c r="D1130" s="1" t="s">
        <v>2013</v>
      </c>
      <c r="Y1130" s="2">
        <v>45517.0</v>
      </c>
      <c r="AE1130" s="1">
        <v>279.99</v>
      </c>
      <c r="AG1130" s="3" t="str">
        <f>"2000006169184833"</f>
        <v>2000006169184833</v>
      </c>
      <c r="AH1130" s="1" t="s">
        <v>58</v>
      </c>
      <c r="AI1130" s="1" t="s">
        <v>59</v>
      </c>
      <c r="AJ1130" s="1" t="s">
        <v>59</v>
      </c>
      <c r="AK1130" s="1" t="s">
        <v>60</v>
      </c>
      <c r="AL1130" s="1" t="s">
        <v>60</v>
      </c>
      <c r="AW1130" s="1" t="s">
        <v>430</v>
      </c>
      <c r="AY1130" s="1">
        <v>1.0</v>
      </c>
      <c r="AZ1130" s="1">
        <v>279.99</v>
      </c>
      <c r="BB1130" s="1">
        <v>279.99</v>
      </c>
    </row>
    <row r="1131">
      <c r="A1131" s="1" t="s">
        <v>2014</v>
      </c>
      <c r="C1131" s="1" t="s">
        <v>56</v>
      </c>
      <c r="D1131" s="1" t="s">
        <v>2015</v>
      </c>
      <c r="Y1131" s="2">
        <v>45517.0</v>
      </c>
      <c r="AE1131" s="1">
        <v>99.99</v>
      </c>
      <c r="AG1131" s="3" t="str">
        <f>"2000009025746074"</f>
        <v>2000009025746074</v>
      </c>
      <c r="AH1131" s="1" t="s">
        <v>58</v>
      </c>
      <c r="AI1131" s="1" t="s">
        <v>59</v>
      </c>
      <c r="AJ1131" s="1" t="s">
        <v>59</v>
      </c>
      <c r="AK1131" s="1" t="s">
        <v>60</v>
      </c>
      <c r="AL1131" s="1" t="s">
        <v>60</v>
      </c>
      <c r="AW1131" s="1" t="s">
        <v>2016</v>
      </c>
      <c r="AY1131" s="1">
        <v>1.0</v>
      </c>
      <c r="AZ1131" s="1">
        <v>99.99</v>
      </c>
      <c r="BB1131" s="1">
        <v>99.99</v>
      </c>
    </row>
    <row r="1132">
      <c r="A1132" s="1" t="s">
        <v>960</v>
      </c>
      <c r="C1132" s="1" t="s">
        <v>56</v>
      </c>
      <c r="D1132" s="1" t="s">
        <v>2017</v>
      </c>
      <c r="Y1132" s="2">
        <v>45517.0</v>
      </c>
      <c r="AE1132" s="1">
        <v>129.99</v>
      </c>
      <c r="AG1132" s="3" t="str">
        <f>"2000006168936107"</f>
        <v>2000006168936107</v>
      </c>
      <c r="AH1132" s="1" t="s">
        <v>58</v>
      </c>
      <c r="AI1132" s="1" t="s">
        <v>59</v>
      </c>
      <c r="AJ1132" s="1" t="s">
        <v>59</v>
      </c>
      <c r="AK1132" s="1" t="s">
        <v>60</v>
      </c>
      <c r="AL1132" s="1" t="s">
        <v>60</v>
      </c>
      <c r="AW1132" s="1" t="s">
        <v>763</v>
      </c>
      <c r="AY1132" s="1">
        <v>1.0</v>
      </c>
      <c r="AZ1132" s="1">
        <v>129.99</v>
      </c>
      <c r="BB1132" s="1">
        <v>129.99</v>
      </c>
    </row>
    <row r="1133">
      <c r="A1133" s="1" t="s">
        <v>2018</v>
      </c>
      <c r="C1133" s="1" t="s">
        <v>56</v>
      </c>
      <c r="D1133" s="1" t="s">
        <v>2019</v>
      </c>
      <c r="Y1133" s="2">
        <v>45517.0</v>
      </c>
      <c r="AE1133" s="1">
        <v>74.99</v>
      </c>
      <c r="AG1133" s="3" t="str">
        <f>"2000006169100147"</f>
        <v>2000006169100147</v>
      </c>
      <c r="AH1133" s="1" t="s">
        <v>58</v>
      </c>
      <c r="AI1133" s="1" t="s">
        <v>59</v>
      </c>
      <c r="AJ1133" s="1" t="s">
        <v>59</v>
      </c>
      <c r="AK1133" s="1" t="s">
        <v>60</v>
      </c>
      <c r="AL1133" s="1" t="s">
        <v>60</v>
      </c>
      <c r="AW1133" s="1" t="s">
        <v>473</v>
      </c>
      <c r="AY1133" s="1">
        <v>1.0</v>
      </c>
      <c r="AZ1133" s="1">
        <v>74.99</v>
      </c>
      <c r="BB1133" s="1">
        <v>74.99</v>
      </c>
    </row>
    <row r="1134">
      <c r="A1134" s="1" t="s">
        <v>360</v>
      </c>
      <c r="C1134" s="1" t="s">
        <v>56</v>
      </c>
      <c r="D1134" s="5" t="s">
        <v>2020</v>
      </c>
      <c r="Y1134" s="2">
        <v>45517.0</v>
      </c>
      <c r="AE1134" s="1">
        <v>47.18</v>
      </c>
      <c r="AG1134" s="3" t="str">
        <f>"2000006169092391"</f>
        <v>2000006169092391</v>
      </c>
      <c r="AH1134" s="1" t="s">
        <v>58</v>
      </c>
      <c r="AI1134" s="1" t="s">
        <v>59</v>
      </c>
      <c r="AJ1134" s="1" t="s">
        <v>59</v>
      </c>
      <c r="AK1134" s="1" t="s">
        <v>60</v>
      </c>
      <c r="AL1134" s="1" t="s">
        <v>60</v>
      </c>
      <c r="AW1134" s="1" t="s">
        <v>155</v>
      </c>
      <c r="AY1134" s="1">
        <v>1.0</v>
      </c>
      <c r="AZ1134" s="1">
        <v>47.18</v>
      </c>
      <c r="BB1134" s="1">
        <v>47.18</v>
      </c>
    </row>
    <row r="1135">
      <c r="A1135" s="1" t="s">
        <v>153</v>
      </c>
      <c r="C1135" s="1" t="s">
        <v>56</v>
      </c>
      <c r="D1135" s="1" t="s">
        <v>2021</v>
      </c>
      <c r="Y1135" s="2">
        <v>45517.0</v>
      </c>
      <c r="AE1135" s="1">
        <v>47.18</v>
      </c>
      <c r="AG1135" s="3" t="str">
        <f>"2000006169068575"</f>
        <v>2000006169068575</v>
      </c>
      <c r="AH1135" s="1" t="s">
        <v>58</v>
      </c>
      <c r="AI1135" s="1" t="s">
        <v>59</v>
      </c>
      <c r="AJ1135" s="1" t="s">
        <v>59</v>
      </c>
      <c r="AK1135" s="1" t="s">
        <v>60</v>
      </c>
      <c r="AL1135" s="1" t="s">
        <v>60</v>
      </c>
      <c r="AW1135" s="1" t="s">
        <v>155</v>
      </c>
      <c r="AY1135" s="1">
        <v>1.0</v>
      </c>
      <c r="AZ1135" s="1">
        <v>47.18</v>
      </c>
      <c r="BB1135" s="1">
        <v>47.18</v>
      </c>
    </row>
    <row r="1136">
      <c r="A1136" s="1" t="s">
        <v>1836</v>
      </c>
      <c r="C1136" s="1" t="s">
        <v>56</v>
      </c>
      <c r="D1136" s="1" t="s">
        <v>2022</v>
      </c>
      <c r="Y1136" s="2">
        <v>45517.0</v>
      </c>
      <c r="AE1136" s="1">
        <v>49.99</v>
      </c>
      <c r="AG1136" s="3" t="str">
        <f>"2000006169061421"</f>
        <v>2000006169061421</v>
      </c>
      <c r="AH1136" s="1" t="s">
        <v>58</v>
      </c>
      <c r="AI1136" s="1" t="s">
        <v>59</v>
      </c>
      <c r="AJ1136" s="1" t="s">
        <v>59</v>
      </c>
      <c r="AK1136" s="1" t="s">
        <v>60</v>
      </c>
      <c r="AL1136" s="1" t="s">
        <v>60</v>
      </c>
      <c r="AW1136" s="1" t="s">
        <v>1838</v>
      </c>
      <c r="AY1136" s="1">
        <v>1.0</v>
      </c>
      <c r="AZ1136" s="1">
        <v>49.99</v>
      </c>
      <c r="BB1136" s="1">
        <v>49.99</v>
      </c>
    </row>
    <row r="1137">
      <c r="A1137" s="1" t="s">
        <v>1041</v>
      </c>
      <c r="C1137" s="1" t="s">
        <v>56</v>
      </c>
      <c r="D1137" s="1" t="s">
        <v>2023</v>
      </c>
      <c r="Y1137" s="2">
        <v>45517.0</v>
      </c>
      <c r="AE1137" s="1">
        <v>499.99</v>
      </c>
      <c r="AG1137" s="3" t="str">
        <f>"2000006168981591"</f>
        <v>2000006168981591</v>
      </c>
      <c r="AH1137" s="1" t="s">
        <v>58</v>
      </c>
      <c r="AI1137" s="1" t="s">
        <v>59</v>
      </c>
      <c r="AJ1137" s="1" t="s">
        <v>59</v>
      </c>
      <c r="AK1137" s="1" t="s">
        <v>60</v>
      </c>
      <c r="AL1137" s="1" t="s">
        <v>60</v>
      </c>
      <c r="AW1137" s="1" t="s">
        <v>1043</v>
      </c>
      <c r="AY1137" s="1">
        <v>1.0</v>
      </c>
      <c r="AZ1137" s="1">
        <v>499.99</v>
      </c>
      <c r="BB1137" s="1">
        <v>499.99</v>
      </c>
    </row>
    <row r="1138">
      <c r="A1138" s="1" t="s">
        <v>1386</v>
      </c>
      <c r="C1138" s="1" t="s">
        <v>56</v>
      </c>
      <c r="D1138" s="1" t="s">
        <v>2024</v>
      </c>
      <c r="Y1138" s="2">
        <v>45517.0</v>
      </c>
      <c r="AE1138" s="1">
        <v>54.99</v>
      </c>
      <c r="AG1138" s="3" t="str">
        <f>"2000006168831611"</f>
        <v>2000006168831611</v>
      </c>
      <c r="AH1138" s="1" t="s">
        <v>58</v>
      </c>
      <c r="AI1138" s="1" t="s">
        <v>59</v>
      </c>
      <c r="AJ1138" s="1" t="s">
        <v>59</v>
      </c>
      <c r="AK1138" s="1" t="s">
        <v>60</v>
      </c>
      <c r="AL1138" s="1" t="s">
        <v>60</v>
      </c>
      <c r="AW1138" s="1" t="s">
        <v>1388</v>
      </c>
      <c r="AY1138" s="1">
        <v>1.0</v>
      </c>
      <c r="AZ1138" s="1">
        <v>54.99</v>
      </c>
      <c r="BB1138" s="1">
        <v>54.99</v>
      </c>
    </row>
    <row r="1139">
      <c r="A1139" s="1" t="s">
        <v>428</v>
      </c>
      <c r="C1139" s="1" t="s">
        <v>56</v>
      </c>
      <c r="D1139" s="1" t="s">
        <v>2025</v>
      </c>
      <c r="Y1139" s="2">
        <v>45517.0</v>
      </c>
      <c r="AE1139" s="1">
        <v>279.99</v>
      </c>
      <c r="AG1139" s="3" t="str">
        <f>"2000006168941059"</f>
        <v>2000006168941059</v>
      </c>
      <c r="AH1139" s="1" t="s">
        <v>58</v>
      </c>
      <c r="AI1139" s="1" t="s">
        <v>59</v>
      </c>
      <c r="AJ1139" s="1" t="s">
        <v>59</v>
      </c>
      <c r="AK1139" s="1" t="s">
        <v>60</v>
      </c>
      <c r="AL1139" s="1" t="s">
        <v>60</v>
      </c>
      <c r="AW1139" s="1" t="s">
        <v>430</v>
      </c>
      <c r="AY1139" s="1">
        <v>1.0</v>
      </c>
      <c r="AZ1139" s="1">
        <v>279.99</v>
      </c>
      <c r="BB1139" s="1">
        <v>279.99</v>
      </c>
    </row>
    <row r="1140">
      <c r="A1140" s="1" t="s">
        <v>1041</v>
      </c>
      <c r="C1140" s="1" t="s">
        <v>56</v>
      </c>
      <c r="D1140" s="1" t="s">
        <v>2026</v>
      </c>
      <c r="Y1140" s="2">
        <v>45517.0</v>
      </c>
      <c r="AE1140" s="1">
        <v>499.99</v>
      </c>
      <c r="AG1140" s="3" t="str">
        <f>"2000009025310666"</f>
        <v>2000009025310666</v>
      </c>
      <c r="AH1140" s="1" t="s">
        <v>58</v>
      </c>
      <c r="AI1140" s="1" t="s">
        <v>59</v>
      </c>
      <c r="AJ1140" s="1" t="s">
        <v>59</v>
      </c>
      <c r="AK1140" s="1" t="s">
        <v>60</v>
      </c>
      <c r="AL1140" s="1" t="s">
        <v>60</v>
      </c>
      <c r="AW1140" s="1" t="s">
        <v>1043</v>
      </c>
      <c r="AY1140" s="1">
        <v>1.0</v>
      </c>
      <c r="AZ1140" s="1">
        <v>499.99</v>
      </c>
      <c r="BB1140" s="1">
        <v>499.99</v>
      </c>
    </row>
    <row r="1141">
      <c r="A1141" s="1" t="s">
        <v>1619</v>
      </c>
      <c r="C1141" s="1" t="s">
        <v>56</v>
      </c>
      <c r="D1141" s="1" t="s">
        <v>2027</v>
      </c>
      <c r="Y1141" s="2">
        <v>45517.0</v>
      </c>
      <c r="AE1141" s="1">
        <v>349.98</v>
      </c>
      <c r="AG1141" s="3" t="str">
        <f>"2000006168894607"</f>
        <v>2000006168894607</v>
      </c>
      <c r="AH1141" s="1" t="s">
        <v>58</v>
      </c>
      <c r="AI1141" s="1" t="s">
        <v>59</v>
      </c>
      <c r="AJ1141" s="1" t="s">
        <v>59</v>
      </c>
      <c r="AK1141" s="1" t="s">
        <v>60</v>
      </c>
      <c r="AL1141" s="1" t="s">
        <v>60</v>
      </c>
      <c r="AW1141" s="1" t="s">
        <v>1621</v>
      </c>
      <c r="AY1141" s="1">
        <v>2.0</v>
      </c>
      <c r="AZ1141" s="1">
        <v>174.99</v>
      </c>
      <c r="BB1141" s="1">
        <v>349.98</v>
      </c>
    </row>
    <row r="1142">
      <c r="A1142" s="1" t="s">
        <v>2028</v>
      </c>
      <c r="C1142" s="1" t="s">
        <v>235</v>
      </c>
      <c r="D1142" s="1" t="s">
        <v>2029</v>
      </c>
      <c r="Y1142" s="2">
        <v>45517.0</v>
      </c>
      <c r="AE1142" s="1">
        <v>94.99</v>
      </c>
      <c r="AG1142" s="3" t="str">
        <f t="shared" ref="AG1142:AG1143" si="47">"2000006168824517"</f>
        <v>2000006168824517</v>
      </c>
      <c r="AH1142" s="1" t="s">
        <v>58</v>
      </c>
      <c r="AI1142" s="1" t="s">
        <v>59</v>
      </c>
      <c r="AJ1142" s="1" t="s">
        <v>59</v>
      </c>
      <c r="AK1142" s="1" t="s">
        <v>60</v>
      </c>
      <c r="AL1142" s="1" t="s">
        <v>60</v>
      </c>
      <c r="AW1142" s="1" t="s">
        <v>1279</v>
      </c>
      <c r="AY1142" s="1">
        <v>1.0</v>
      </c>
      <c r="AZ1142" s="1">
        <v>94.99</v>
      </c>
      <c r="BB1142" s="1">
        <v>94.99</v>
      </c>
    </row>
    <row r="1143">
      <c r="A1143" s="1" t="s">
        <v>1108</v>
      </c>
      <c r="C1143" s="1" t="s">
        <v>56</v>
      </c>
      <c r="D1143" s="1" t="s">
        <v>2029</v>
      </c>
      <c r="Y1143" s="2">
        <v>45517.0</v>
      </c>
      <c r="AE1143" s="1">
        <v>159.99</v>
      </c>
      <c r="AG1143" s="3" t="str">
        <f t="shared" si="47"/>
        <v>2000006168824517</v>
      </c>
      <c r="AH1143" s="1" t="s">
        <v>58</v>
      </c>
      <c r="AI1143" s="1" t="s">
        <v>59</v>
      </c>
      <c r="AJ1143" s="1" t="s">
        <v>59</v>
      </c>
      <c r="AK1143" s="1" t="s">
        <v>60</v>
      </c>
      <c r="AL1143" s="1" t="s">
        <v>60</v>
      </c>
      <c r="AW1143" s="1" t="s">
        <v>1109</v>
      </c>
      <c r="AY1143" s="1">
        <v>1.0</v>
      </c>
      <c r="AZ1143" s="1">
        <v>159.99</v>
      </c>
      <c r="BB1143" s="1">
        <v>159.99</v>
      </c>
    </row>
    <row r="1144">
      <c r="A1144" s="1" t="s">
        <v>802</v>
      </c>
      <c r="C1144" s="1" t="s">
        <v>56</v>
      </c>
      <c r="D1144" s="1" t="s">
        <v>2030</v>
      </c>
      <c r="Y1144" s="2">
        <v>45517.0</v>
      </c>
      <c r="AE1144" s="1">
        <v>99.98</v>
      </c>
      <c r="AG1144" s="3" t="str">
        <f>"2000006168762569"</f>
        <v>2000006168762569</v>
      </c>
      <c r="AH1144" s="1" t="s">
        <v>58</v>
      </c>
      <c r="AI1144" s="1" t="s">
        <v>59</v>
      </c>
      <c r="AJ1144" s="1" t="s">
        <v>59</v>
      </c>
      <c r="AK1144" s="1" t="s">
        <v>60</v>
      </c>
      <c r="AL1144" s="1" t="s">
        <v>60</v>
      </c>
      <c r="AW1144" s="1" t="s">
        <v>70</v>
      </c>
      <c r="AY1144" s="1">
        <v>2.0</v>
      </c>
      <c r="AZ1144" s="1">
        <v>49.99</v>
      </c>
      <c r="BB1144" s="1">
        <v>99.98</v>
      </c>
    </row>
    <row r="1145">
      <c r="A1145" s="1" t="s">
        <v>2018</v>
      </c>
      <c r="C1145" s="1" t="s">
        <v>56</v>
      </c>
      <c r="D1145" s="1" t="s">
        <v>2031</v>
      </c>
      <c r="Y1145" s="2">
        <v>45517.0</v>
      </c>
      <c r="AE1145" s="1">
        <v>74.99</v>
      </c>
      <c r="AG1145" s="3" t="str">
        <f>"2000009025019000"</f>
        <v>2000009025019000</v>
      </c>
      <c r="AH1145" s="1" t="s">
        <v>58</v>
      </c>
      <c r="AI1145" s="1" t="s">
        <v>59</v>
      </c>
      <c r="AJ1145" s="1" t="s">
        <v>59</v>
      </c>
      <c r="AK1145" s="1" t="s">
        <v>60</v>
      </c>
      <c r="AL1145" s="1" t="s">
        <v>60</v>
      </c>
      <c r="AW1145" s="1" t="s">
        <v>473</v>
      </c>
      <c r="AY1145" s="1">
        <v>1.0</v>
      </c>
      <c r="AZ1145" s="1">
        <v>74.99</v>
      </c>
      <c r="BB1145" s="1">
        <v>74.99</v>
      </c>
    </row>
    <row r="1146">
      <c r="A1146" s="1" t="s">
        <v>2032</v>
      </c>
      <c r="C1146" s="1" t="s">
        <v>56</v>
      </c>
      <c r="D1146" s="1" t="s">
        <v>2033</v>
      </c>
      <c r="Y1146" s="2">
        <v>45517.0</v>
      </c>
      <c r="AE1146" s="1">
        <v>509.99</v>
      </c>
      <c r="AG1146" s="3" t="str">
        <f>"2000006168745221"</f>
        <v>2000006168745221</v>
      </c>
      <c r="AH1146" s="1" t="s">
        <v>58</v>
      </c>
      <c r="AI1146" s="1" t="s">
        <v>59</v>
      </c>
      <c r="AJ1146" s="1" t="s">
        <v>59</v>
      </c>
      <c r="AK1146" s="1" t="s">
        <v>60</v>
      </c>
      <c r="AL1146" s="1" t="s">
        <v>60</v>
      </c>
      <c r="AW1146" s="1" t="s">
        <v>2034</v>
      </c>
      <c r="AY1146" s="1">
        <v>1.0</v>
      </c>
      <c r="AZ1146" s="1">
        <v>509.99</v>
      </c>
      <c r="BB1146" s="1">
        <v>509.99</v>
      </c>
    </row>
    <row r="1147">
      <c r="A1147" s="1" t="s">
        <v>567</v>
      </c>
      <c r="C1147" s="1" t="s">
        <v>56</v>
      </c>
      <c r="D1147" s="1" t="s">
        <v>2035</v>
      </c>
      <c r="Y1147" s="2">
        <v>45517.0</v>
      </c>
      <c r="AE1147" s="1">
        <v>44.99</v>
      </c>
      <c r="AG1147" s="3" t="str">
        <f>"2000006168722899"</f>
        <v>2000006168722899</v>
      </c>
      <c r="AH1147" s="1" t="s">
        <v>58</v>
      </c>
      <c r="AI1147" s="1" t="s">
        <v>59</v>
      </c>
      <c r="AJ1147" s="1" t="s">
        <v>59</v>
      </c>
      <c r="AK1147" s="1" t="s">
        <v>60</v>
      </c>
      <c r="AL1147" s="1" t="s">
        <v>60</v>
      </c>
      <c r="AW1147" s="1" t="s">
        <v>569</v>
      </c>
      <c r="AY1147" s="1">
        <v>1.0</v>
      </c>
      <c r="AZ1147" s="1">
        <v>44.99</v>
      </c>
      <c r="BB1147" s="1">
        <v>44.99</v>
      </c>
    </row>
    <row r="1148">
      <c r="A1148" s="1" t="s">
        <v>2036</v>
      </c>
      <c r="C1148" s="1" t="s">
        <v>56</v>
      </c>
      <c r="D1148" s="1" t="s">
        <v>2037</v>
      </c>
      <c r="Y1148" s="2">
        <v>45517.0</v>
      </c>
      <c r="AE1148" s="1">
        <v>109.99</v>
      </c>
      <c r="AG1148" s="3" t="str">
        <f>"2000006168715117"</f>
        <v>2000006168715117</v>
      </c>
      <c r="AH1148" s="1" t="s">
        <v>58</v>
      </c>
      <c r="AI1148" s="1" t="s">
        <v>59</v>
      </c>
      <c r="AJ1148" s="1" t="s">
        <v>59</v>
      </c>
      <c r="AK1148" s="1" t="s">
        <v>60</v>
      </c>
      <c r="AL1148" s="1" t="s">
        <v>60</v>
      </c>
      <c r="AW1148" s="1" t="s">
        <v>2038</v>
      </c>
      <c r="AY1148" s="1">
        <v>1.0</v>
      </c>
      <c r="AZ1148" s="1">
        <v>109.99</v>
      </c>
      <c r="BB1148" s="1">
        <v>109.99</v>
      </c>
    </row>
    <row r="1149">
      <c r="A1149" s="1" t="s">
        <v>1882</v>
      </c>
      <c r="C1149" s="1" t="s">
        <v>56</v>
      </c>
      <c r="D1149" s="1" t="s">
        <v>2039</v>
      </c>
      <c r="Y1149" s="2">
        <v>45517.0</v>
      </c>
      <c r="AE1149" s="1">
        <v>104.99</v>
      </c>
      <c r="AG1149" s="3" t="str">
        <f>"2000006168502597"</f>
        <v>2000006168502597</v>
      </c>
      <c r="AH1149" s="1" t="s">
        <v>58</v>
      </c>
      <c r="AI1149" s="1" t="s">
        <v>59</v>
      </c>
      <c r="AJ1149" s="1" t="s">
        <v>59</v>
      </c>
      <c r="AK1149" s="1" t="s">
        <v>60</v>
      </c>
      <c r="AL1149" s="1" t="s">
        <v>60</v>
      </c>
      <c r="AW1149" s="1" t="s">
        <v>1884</v>
      </c>
      <c r="AY1149" s="1">
        <v>1.0</v>
      </c>
      <c r="AZ1149" s="1">
        <v>104.99</v>
      </c>
      <c r="BB1149" s="1">
        <v>104.99</v>
      </c>
    </row>
    <row r="1150">
      <c r="A1150" s="1" t="s">
        <v>2040</v>
      </c>
      <c r="C1150" s="1" t="s">
        <v>56</v>
      </c>
      <c r="D1150" s="1" t="s">
        <v>2041</v>
      </c>
      <c r="Y1150" s="2">
        <v>45517.0</v>
      </c>
      <c r="AE1150" s="1">
        <v>42.49</v>
      </c>
      <c r="AG1150" s="3" t="str">
        <f>"2000006167160297"</f>
        <v>2000006167160297</v>
      </c>
      <c r="AH1150" s="1" t="s">
        <v>58</v>
      </c>
      <c r="AI1150" s="1" t="s">
        <v>59</v>
      </c>
      <c r="AJ1150" s="1" t="s">
        <v>59</v>
      </c>
      <c r="AK1150" s="1" t="s">
        <v>60</v>
      </c>
      <c r="AL1150" s="1" t="s">
        <v>60</v>
      </c>
      <c r="AW1150" s="1" t="s">
        <v>373</v>
      </c>
      <c r="AY1150" s="1">
        <v>1.0</v>
      </c>
      <c r="AZ1150" s="1">
        <v>42.49</v>
      </c>
      <c r="BB1150" s="1">
        <v>42.49</v>
      </c>
    </row>
    <row r="1151">
      <c r="A1151" s="1" t="s">
        <v>474</v>
      </c>
      <c r="C1151" s="1" t="s">
        <v>56</v>
      </c>
      <c r="D1151" s="1" t="s">
        <v>2042</v>
      </c>
      <c r="Y1151" s="2">
        <v>45517.0</v>
      </c>
      <c r="AE1151" s="1">
        <v>164.99</v>
      </c>
      <c r="AG1151" s="3" t="str">
        <f>"2000006168593299"</f>
        <v>2000006168593299</v>
      </c>
      <c r="AH1151" s="1" t="s">
        <v>58</v>
      </c>
      <c r="AI1151" s="1" t="s">
        <v>59</v>
      </c>
      <c r="AJ1151" s="1" t="s">
        <v>59</v>
      </c>
      <c r="AK1151" s="1" t="s">
        <v>60</v>
      </c>
      <c r="AL1151" s="1" t="s">
        <v>60</v>
      </c>
      <c r="AW1151" s="1" t="s">
        <v>476</v>
      </c>
      <c r="AY1151" s="1">
        <v>1.0</v>
      </c>
      <c r="AZ1151" s="1">
        <v>164.99</v>
      </c>
      <c r="BB1151" s="1">
        <v>164.99</v>
      </c>
    </row>
    <row r="1152">
      <c r="A1152" s="1" t="s">
        <v>2043</v>
      </c>
      <c r="C1152" s="1" t="s">
        <v>56</v>
      </c>
      <c r="D1152" s="1" t="s">
        <v>2044</v>
      </c>
      <c r="Y1152" s="2">
        <v>45517.0</v>
      </c>
      <c r="AE1152" s="1">
        <v>399.96</v>
      </c>
      <c r="AG1152" s="3" t="str">
        <f>"2000006168581519"</f>
        <v>2000006168581519</v>
      </c>
      <c r="AH1152" s="1" t="s">
        <v>58</v>
      </c>
      <c r="AI1152" s="1" t="s">
        <v>59</v>
      </c>
      <c r="AJ1152" s="1" t="s">
        <v>59</v>
      </c>
      <c r="AK1152" s="1" t="s">
        <v>60</v>
      </c>
      <c r="AL1152" s="1" t="s">
        <v>60</v>
      </c>
      <c r="AW1152" s="1" t="s">
        <v>2045</v>
      </c>
      <c r="AY1152" s="1">
        <v>2.0</v>
      </c>
      <c r="AZ1152" s="1">
        <v>199.98</v>
      </c>
      <c r="BB1152" s="1">
        <v>399.96</v>
      </c>
    </row>
    <row r="1153">
      <c r="A1153" s="1" t="s">
        <v>1273</v>
      </c>
      <c r="C1153" s="1" t="s">
        <v>56</v>
      </c>
      <c r="D1153" s="1" t="s">
        <v>2046</v>
      </c>
      <c r="Y1153" s="2">
        <v>45517.0</v>
      </c>
      <c r="AE1153" s="1">
        <v>119.99</v>
      </c>
      <c r="AG1153" s="3" t="str">
        <f>"2000006168574695"</f>
        <v>2000006168574695</v>
      </c>
      <c r="AH1153" s="1" t="s">
        <v>58</v>
      </c>
      <c r="AI1153" s="1" t="s">
        <v>59</v>
      </c>
      <c r="AJ1153" s="1" t="s">
        <v>59</v>
      </c>
      <c r="AK1153" s="1" t="s">
        <v>60</v>
      </c>
      <c r="AL1153" s="1" t="s">
        <v>60</v>
      </c>
      <c r="AW1153" s="1" t="s">
        <v>226</v>
      </c>
      <c r="AY1153" s="1">
        <v>1.0</v>
      </c>
      <c r="AZ1153" s="1">
        <v>119.99</v>
      </c>
      <c r="BB1153" s="1">
        <v>119.99</v>
      </c>
    </row>
    <row r="1154">
      <c r="A1154" s="1" t="s">
        <v>86</v>
      </c>
      <c r="C1154" s="1" t="s">
        <v>56</v>
      </c>
      <c r="D1154" s="1" t="s">
        <v>2047</v>
      </c>
      <c r="Y1154" s="2">
        <v>45517.0</v>
      </c>
      <c r="AE1154" s="1">
        <v>64.99</v>
      </c>
      <c r="AG1154" s="3" t="str">
        <f>"2000006168546975"</f>
        <v>2000006168546975</v>
      </c>
      <c r="AH1154" s="1" t="s">
        <v>58</v>
      </c>
      <c r="AI1154" s="1" t="s">
        <v>59</v>
      </c>
      <c r="AJ1154" s="1" t="s">
        <v>59</v>
      </c>
      <c r="AK1154" s="1" t="s">
        <v>60</v>
      </c>
      <c r="AL1154" s="1" t="s">
        <v>60</v>
      </c>
      <c r="AW1154" s="1" t="s">
        <v>88</v>
      </c>
      <c r="AY1154" s="1">
        <v>1.0</v>
      </c>
      <c r="AZ1154" s="1">
        <v>64.99</v>
      </c>
      <c r="BB1154" s="1">
        <v>64.99</v>
      </c>
    </row>
    <row r="1155">
      <c r="A1155" s="1" t="s">
        <v>2048</v>
      </c>
      <c r="C1155" s="1" t="s">
        <v>56</v>
      </c>
      <c r="D1155" s="1" t="s">
        <v>2049</v>
      </c>
      <c r="Y1155" s="2">
        <v>45517.0</v>
      </c>
      <c r="AE1155" s="1">
        <v>89.99</v>
      </c>
      <c r="AG1155" s="3" t="str">
        <f>"2000009024615964"</f>
        <v>2000009024615964</v>
      </c>
      <c r="AH1155" s="1" t="s">
        <v>58</v>
      </c>
      <c r="AI1155" s="1" t="s">
        <v>59</v>
      </c>
      <c r="AJ1155" s="1" t="s">
        <v>59</v>
      </c>
      <c r="AK1155" s="1" t="s">
        <v>60</v>
      </c>
      <c r="AL1155" s="1" t="s">
        <v>60</v>
      </c>
      <c r="AW1155" s="1" t="s">
        <v>2050</v>
      </c>
      <c r="AY1155" s="1">
        <v>1.0</v>
      </c>
      <c r="AZ1155" s="1">
        <v>89.99</v>
      </c>
      <c r="BB1155" s="1">
        <v>89.99</v>
      </c>
    </row>
    <row r="1156">
      <c r="A1156" s="1" t="s">
        <v>834</v>
      </c>
      <c r="C1156" s="1" t="s">
        <v>56</v>
      </c>
      <c r="D1156" s="1" t="s">
        <v>2051</v>
      </c>
      <c r="Y1156" s="2">
        <v>45517.0</v>
      </c>
      <c r="AE1156" s="1">
        <v>107.48</v>
      </c>
      <c r="AG1156" s="3" t="str">
        <f>"2000006168526187"</f>
        <v>2000006168526187</v>
      </c>
      <c r="AH1156" s="1" t="s">
        <v>58</v>
      </c>
      <c r="AI1156" s="1" t="s">
        <v>59</v>
      </c>
      <c r="AJ1156" s="1" t="s">
        <v>59</v>
      </c>
      <c r="AK1156" s="1" t="s">
        <v>60</v>
      </c>
      <c r="AL1156" s="1" t="s">
        <v>60</v>
      </c>
      <c r="AW1156" s="1" t="s">
        <v>836</v>
      </c>
      <c r="AY1156" s="1">
        <v>1.0</v>
      </c>
      <c r="AZ1156" s="1">
        <v>107.48</v>
      </c>
      <c r="BB1156" s="1">
        <v>107.48</v>
      </c>
    </row>
    <row r="1157">
      <c r="A1157" s="1" t="s">
        <v>953</v>
      </c>
      <c r="C1157" s="1" t="s">
        <v>56</v>
      </c>
      <c r="D1157" s="1" t="s">
        <v>2052</v>
      </c>
      <c r="Y1157" s="2">
        <v>45517.0</v>
      </c>
      <c r="AE1157" s="1">
        <v>39.99</v>
      </c>
      <c r="AG1157" s="3" t="str">
        <f>"2000006168484565"</f>
        <v>2000006168484565</v>
      </c>
      <c r="AH1157" s="1" t="s">
        <v>58</v>
      </c>
      <c r="AI1157" s="1" t="s">
        <v>59</v>
      </c>
      <c r="AJ1157" s="1" t="s">
        <v>59</v>
      </c>
      <c r="AK1157" s="1" t="s">
        <v>60</v>
      </c>
      <c r="AL1157" s="1" t="s">
        <v>60</v>
      </c>
      <c r="AW1157" s="1" t="s">
        <v>955</v>
      </c>
      <c r="AY1157" s="1">
        <v>1.0</v>
      </c>
      <c r="AZ1157" s="1">
        <v>39.99</v>
      </c>
      <c r="BB1157" s="1">
        <v>39.99</v>
      </c>
    </row>
    <row r="1158">
      <c r="A1158" s="1" t="s">
        <v>368</v>
      </c>
      <c r="C1158" s="1" t="s">
        <v>56</v>
      </c>
      <c r="D1158" s="1" t="s">
        <v>2053</v>
      </c>
      <c r="Y1158" s="2">
        <v>45517.0</v>
      </c>
      <c r="AE1158" s="1">
        <v>94.99</v>
      </c>
      <c r="AG1158" s="3" t="str">
        <f>"2000006168442527"</f>
        <v>2000006168442527</v>
      </c>
      <c r="AH1158" s="1" t="s">
        <v>58</v>
      </c>
      <c r="AI1158" s="1" t="s">
        <v>59</v>
      </c>
      <c r="AJ1158" s="1" t="s">
        <v>59</v>
      </c>
      <c r="AK1158" s="1" t="s">
        <v>60</v>
      </c>
      <c r="AL1158" s="1" t="s">
        <v>60</v>
      </c>
      <c r="AW1158" s="1" t="s">
        <v>370</v>
      </c>
      <c r="AY1158" s="1">
        <v>1.0</v>
      </c>
      <c r="AZ1158" s="1">
        <v>94.99</v>
      </c>
      <c r="BB1158" s="1">
        <v>94.99</v>
      </c>
    </row>
    <row r="1159">
      <c r="A1159" s="1" t="s">
        <v>1354</v>
      </c>
      <c r="C1159" s="1" t="s">
        <v>56</v>
      </c>
      <c r="D1159" s="1" t="s">
        <v>2054</v>
      </c>
      <c r="Y1159" s="2">
        <v>45517.0</v>
      </c>
      <c r="AE1159" s="1">
        <v>169.98</v>
      </c>
      <c r="AG1159" s="3" t="str">
        <f>"2000006168112433"</f>
        <v>2000006168112433</v>
      </c>
      <c r="AH1159" s="1" t="s">
        <v>58</v>
      </c>
      <c r="AI1159" s="1" t="s">
        <v>59</v>
      </c>
      <c r="AJ1159" s="1" t="s">
        <v>59</v>
      </c>
      <c r="AK1159" s="1" t="s">
        <v>60</v>
      </c>
      <c r="AL1159" s="1" t="s">
        <v>60</v>
      </c>
      <c r="AW1159" s="1" t="s">
        <v>1356</v>
      </c>
      <c r="AY1159" s="1">
        <v>2.0</v>
      </c>
      <c r="AZ1159" s="1">
        <v>84.99</v>
      </c>
      <c r="BB1159" s="1">
        <v>169.98</v>
      </c>
    </row>
    <row r="1160">
      <c r="A1160" s="1" t="s">
        <v>1700</v>
      </c>
      <c r="C1160" s="1" t="s">
        <v>56</v>
      </c>
      <c r="D1160" s="1" t="s">
        <v>2055</v>
      </c>
      <c r="Y1160" s="2">
        <v>45517.0</v>
      </c>
      <c r="AE1160" s="1">
        <v>219.99</v>
      </c>
      <c r="AG1160" s="3" t="str">
        <f>"2000009024157788"</f>
        <v>2000009024157788</v>
      </c>
      <c r="AH1160" s="1" t="s">
        <v>58</v>
      </c>
      <c r="AI1160" s="1" t="s">
        <v>59</v>
      </c>
      <c r="AJ1160" s="1" t="s">
        <v>59</v>
      </c>
      <c r="AK1160" s="1" t="s">
        <v>60</v>
      </c>
      <c r="AL1160" s="1" t="s">
        <v>60</v>
      </c>
      <c r="AW1160" s="1" t="s">
        <v>1702</v>
      </c>
      <c r="AY1160" s="1">
        <v>1.0</v>
      </c>
      <c r="AZ1160" s="1">
        <v>219.99</v>
      </c>
      <c r="BB1160" s="1">
        <v>219.99</v>
      </c>
    </row>
    <row r="1161">
      <c r="A1161" s="1" t="s">
        <v>1048</v>
      </c>
      <c r="C1161" s="1" t="s">
        <v>56</v>
      </c>
      <c r="D1161" s="1" t="s">
        <v>2056</v>
      </c>
      <c r="Y1161" s="2">
        <v>45517.0</v>
      </c>
      <c r="AE1161" s="1">
        <v>119.99</v>
      </c>
      <c r="AG1161" s="3" t="str">
        <f>"2000006168208275"</f>
        <v>2000006168208275</v>
      </c>
      <c r="AH1161" s="1" t="s">
        <v>58</v>
      </c>
      <c r="AI1161" s="1" t="s">
        <v>59</v>
      </c>
      <c r="AJ1161" s="1" t="s">
        <v>59</v>
      </c>
      <c r="AK1161" s="1" t="s">
        <v>60</v>
      </c>
      <c r="AL1161" s="1" t="s">
        <v>60</v>
      </c>
      <c r="AW1161" s="1" t="s">
        <v>1050</v>
      </c>
      <c r="AY1161" s="1">
        <v>1.0</v>
      </c>
      <c r="AZ1161" s="1">
        <v>119.99</v>
      </c>
      <c r="BB1161" s="1">
        <v>119.99</v>
      </c>
    </row>
    <row r="1162">
      <c r="A1162" s="1" t="s">
        <v>2057</v>
      </c>
      <c r="C1162" s="1" t="s">
        <v>56</v>
      </c>
      <c r="D1162" s="1" t="s">
        <v>2058</v>
      </c>
      <c r="Y1162" s="2">
        <v>45517.0</v>
      </c>
      <c r="AE1162" s="1">
        <v>89.99</v>
      </c>
      <c r="AG1162" s="3" t="str">
        <f>"2000006168080971"</f>
        <v>2000006168080971</v>
      </c>
      <c r="AH1162" s="1" t="s">
        <v>58</v>
      </c>
      <c r="AI1162" s="1" t="s">
        <v>59</v>
      </c>
      <c r="AJ1162" s="1" t="s">
        <v>59</v>
      </c>
      <c r="AK1162" s="1" t="s">
        <v>60</v>
      </c>
      <c r="AL1162" s="1" t="s">
        <v>60</v>
      </c>
      <c r="AW1162" s="1" t="s">
        <v>2059</v>
      </c>
      <c r="AY1162" s="1">
        <v>1.0</v>
      </c>
      <c r="AZ1162" s="1">
        <v>89.99</v>
      </c>
      <c r="BB1162" s="1">
        <v>89.99</v>
      </c>
    </row>
    <row r="1163">
      <c r="A1163" s="1" t="s">
        <v>1847</v>
      </c>
      <c r="C1163" s="1" t="s">
        <v>235</v>
      </c>
      <c r="D1163" s="1" t="s">
        <v>2060</v>
      </c>
      <c r="Y1163" s="2">
        <v>45517.0</v>
      </c>
      <c r="AE1163" s="1">
        <v>89.99</v>
      </c>
      <c r="AG1163" s="3" t="str">
        <f>"2000006168005073"</f>
        <v>2000006168005073</v>
      </c>
      <c r="AH1163" s="1" t="s">
        <v>58</v>
      </c>
      <c r="AI1163" s="1" t="s">
        <v>59</v>
      </c>
      <c r="AJ1163" s="1" t="s">
        <v>59</v>
      </c>
      <c r="AK1163" s="1" t="s">
        <v>60</v>
      </c>
      <c r="AL1163" s="1" t="s">
        <v>60</v>
      </c>
      <c r="AW1163" s="1" t="s">
        <v>2061</v>
      </c>
      <c r="AY1163" s="1">
        <v>1.0</v>
      </c>
      <c r="AZ1163" s="1">
        <v>89.99</v>
      </c>
      <c r="BB1163" s="1">
        <v>89.99</v>
      </c>
    </row>
    <row r="1164">
      <c r="A1164" s="1" t="s">
        <v>2062</v>
      </c>
      <c r="C1164" s="1" t="s">
        <v>56</v>
      </c>
      <c r="D1164" s="1" t="s">
        <v>2063</v>
      </c>
      <c r="Y1164" s="2">
        <v>45517.0</v>
      </c>
      <c r="AE1164" s="1">
        <v>172.99</v>
      </c>
      <c r="AG1164" s="3" t="str">
        <f>"2000009023471204"</f>
        <v>2000009023471204</v>
      </c>
      <c r="AH1164" s="1" t="s">
        <v>58</v>
      </c>
      <c r="AI1164" s="1" t="s">
        <v>59</v>
      </c>
      <c r="AJ1164" s="1" t="s">
        <v>59</v>
      </c>
      <c r="AK1164" s="1" t="s">
        <v>60</v>
      </c>
      <c r="AL1164" s="1" t="s">
        <v>60</v>
      </c>
      <c r="AW1164" s="1" t="s">
        <v>2064</v>
      </c>
      <c r="AY1164" s="1">
        <v>1.0</v>
      </c>
      <c r="AZ1164" s="1">
        <v>172.99</v>
      </c>
      <c r="BB1164" s="1">
        <v>172.99</v>
      </c>
    </row>
    <row r="1165">
      <c r="A1165" s="1" t="s">
        <v>265</v>
      </c>
      <c r="C1165" s="1" t="s">
        <v>235</v>
      </c>
      <c r="D1165" s="1" t="s">
        <v>2065</v>
      </c>
      <c r="Y1165" s="2">
        <v>45517.0</v>
      </c>
      <c r="AE1165" s="1">
        <v>114.99</v>
      </c>
      <c r="AG1165" s="3" t="str">
        <f>"2000006167771891"</f>
        <v>2000006167771891</v>
      </c>
      <c r="AH1165" s="1" t="s">
        <v>58</v>
      </c>
      <c r="AI1165" s="1" t="s">
        <v>59</v>
      </c>
      <c r="AJ1165" s="1" t="s">
        <v>59</v>
      </c>
      <c r="AK1165" s="1" t="s">
        <v>60</v>
      </c>
      <c r="AL1165" s="1" t="s">
        <v>60</v>
      </c>
      <c r="AW1165" s="1" t="s">
        <v>1997</v>
      </c>
      <c r="AY1165" s="1">
        <v>1.0</v>
      </c>
      <c r="AZ1165" s="1">
        <v>114.99</v>
      </c>
      <c r="BB1165" s="1">
        <v>114.99</v>
      </c>
    </row>
    <row r="1166">
      <c r="A1166" s="1" t="s">
        <v>636</v>
      </c>
      <c r="C1166" s="1" t="s">
        <v>56</v>
      </c>
      <c r="D1166" s="1" t="s">
        <v>2066</v>
      </c>
      <c r="Y1166" s="2">
        <v>45517.0</v>
      </c>
      <c r="AE1166" s="1">
        <v>109.99</v>
      </c>
      <c r="AG1166" s="3" t="str">
        <f>"2000006167752953"</f>
        <v>2000006167752953</v>
      </c>
      <c r="AH1166" s="1" t="s">
        <v>58</v>
      </c>
      <c r="AI1166" s="1" t="s">
        <v>59</v>
      </c>
      <c r="AJ1166" s="1" t="s">
        <v>59</v>
      </c>
      <c r="AK1166" s="1" t="s">
        <v>60</v>
      </c>
      <c r="AL1166" s="1" t="s">
        <v>60</v>
      </c>
      <c r="AW1166" s="1" t="s">
        <v>638</v>
      </c>
      <c r="AY1166" s="1">
        <v>1.0</v>
      </c>
      <c r="AZ1166" s="1">
        <v>109.99</v>
      </c>
      <c r="BB1166" s="1">
        <v>109.99</v>
      </c>
    </row>
    <row r="1167">
      <c r="A1167" s="1" t="s">
        <v>1716</v>
      </c>
      <c r="C1167" s="1" t="s">
        <v>56</v>
      </c>
      <c r="D1167" s="1" t="s">
        <v>2067</v>
      </c>
      <c r="Y1167" s="2">
        <v>45517.0</v>
      </c>
      <c r="AE1167" s="1">
        <v>64.99</v>
      </c>
      <c r="AG1167" s="3" t="str">
        <f>"2000006167684705"</f>
        <v>2000006167684705</v>
      </c>
      <c r="AH1167" s="1" t="s">
        <v>58</v>
      </c>
      <c r="AI1167" s="1" t="s">
        <v>59</v>
      </c>
      <c r="AJ1167" s="1" t="s">
        <v>59</v>
      </c>
      <c r="AK1167" s="1" t="s">
        <v>60</v>
      </c>
      <c r="AL1167" s="1" t="s">
        <v>60</v>
      </c>
      <c r="AW1167" s="1" t="s">
        <v>1718</v>
      </c>
      <c r="AY1167" s="1">
        <v>1.0</v>
      </c>
      <c r="AZ1167" s="1">
        <v>64.99</v>
      </c>
      <c r="BB1167" s="1">
        <v>64.99</v>
      </c>
    </row>
    <row r="1168">
      <c r="A1168" s="1" t="s">
        <v>1409</v>
      </c>
      <c r="C1168" s="1" t="s">
        <v>56</v>
      </c>
      <c r="D1168" s="1" t="s">
        <v>2068</v>
      </c>
      <c r="Y1168" s="2">
        <v>45517.0</v>
      </c>
      <c r="AE1168" s="1">
        <v>99.99</v>
      </c>
      <c r="AG1168" s="3" t="str">
        <f>"2000006167681523"</f>
        <v>2000006167681523</v>
      </c>
      <c r="AH1168" s="1" t="s">
        <v>58</v>
      </c>
      <c r="AI1168" s="1" t="s">
        <v>59</v>
      </c>
      <c r="AJ1168" s="1" t="s">
        <v>59</v>
      </c>
      <c r="AK1168" s="1" t="s">
        <v>60</v>
      </c>
      <c r="AL1168" s="1" t="s">
        <v>60</v>
      </c>
      <c r="AW1168" s="1" t="s">
        <v>1411</v>
      </c>
      <c r="AY1168" s="1">
        <v>1.0</v>
      </c>
      <c r="AZ1168" s="1">
        <v>99.99</v>
      </c>
      <c r="BB1168" s="1">
        <v>99.99</v>
      </c>
    </row>
    <row r="1169">
      <c r="A1169" s="1" t="s">
        <v>536</v>
      </c>
      <c r="C1169" s="1" t="s">
        <v>56</v>
      </c>
      <c r="D1169" s="1" t="s">
        <v>2069</v>
      </c>
      <c r="Y1169" s="2">
        <v>45517.0</v>
      </c>
      <c r="AE1169" s="1">
        <v>89.99</v>
      </c>
      <c r="AG1169" s="3" t="str">
        <f>"2000006167485627"</f>
        <v>2000006167485627</v>
      </c>
      <c r="AH1169" s="1" t="s">
        <v>58</v>
      </c>
      <c r="AI1169" s="1" t="s">
        <v>59</v>
      </c>
      <c r="AJ1169" s="1" t="s">
        <v>59</v>
      </c>
      <c r="AK1169" s="1" t="s">
        <v>60</v>
      </c>
      <c r="AL1169" s="1" t="s">
        <v>60</v>
      </c>
      <c r="AW1169" s="1" t="s">
        <v>538</v>
      </c>
      <c r="AY1169" s="1">
        <v>1.0</v>
      </c>
      <c r="AZ1169" s="1">
        <v>89.99</v>
      </c>
      <c r="BB1169" s="1">
        <v>89.99</v>
      </c>
    </row>
    <row r="1170">
      <c r="A1170" s="1" t="s">
        <v>2070</v>
      </c>
      <c r="C1170" s="1" t="s">
        <v>56</v>
      </c>
      <c r="D1170" s="1" t="s">
        <v>2071</v>
      </c>
      <c r="Y1170" s="2">
        <v>45517.0</v>
      </c>
      <c r="AE1170" s="1">
        <v>49.99</v>
      </c>
      <c r="AG1170" s="3" t="str">
        <f>"2000009022919542"</f>
        <v>2000009022919542</v>
      </c>
      <c r="AH1170" s="1" t="s">
        <v>58</v>
      </c>
      <c r="AI1170" s="1" t="s">
        <v>59</v>
      </c>
      <c r="AJ1170" s="1" t="s">
        <v>59</v>
      </c>
      <c r="AK1170" s="1" t="s">
        <v>60</v>
      </c>
      <c r="AL1170" s="1" t="s">
        <v>60</v>
      </c>
      <c r="AW1170" s="1" t="s">
        <v>2072</v>
      </c>
      <c r="AY1170" s="1">
        <v>1.0</v>
      </c>
      <c r="AZ1170" s="1">
        <v>49.99</v>
      </c>
      <c r="BB1170" s="1">
        <v>49.99</v>
      </c>
    </row>
    <row r="1171">
      <c r="A1171" s="1" t="s">
        <v>776</v>
      </c>
      <c r="C1171" s="1" t="s">
        <v>56</v>
      </c>
      <c r="D1171" s="1" t="s">
        <v>2073</v>
      </c>
      <c r="Y1171" s="2">
        <v>45517.0</v>
      </c>
      <c r="AE1171" s="1">
        <v>79.99</v>
      </c>
      <c r="AG1171" s="3" t="str">
        <f>"2000009022681992"</f>
        <v>2000009022681992</v>
      </c>
      <c r="AH1171" s="1" t="s">
        <v>58</v>
      </c>
      <c r="AI1171" s="1" t="s">
        <v>59</v>
      </c>
      <c r="AJ1171" s="1" t="s">
        <v>59</v>
      </c>
      <c r="AK1171" s="1" t="s">
        <v>60</v>
      </c>
      <c r="AL1171" s="1" t="s">
        <v>60</v>
      </c>
      <c r="AW1171" s="1" t="s">
        <v>778</v>
      </c>
      <c r="AY1171" s="1">
        <v>1.0</v>
      </c>
      <c r="AZ1171" s="1">
        <v>79.99</v>
      </c>
      <c r="BB1171" s="1">
        <v>79.99</v>
      </c>
    </row>
    <row r="1172">
      <c r="A1172" s="1" t="s">
        <v>1795</v>
      </c>
      <c r="C1172" s="1" t="s">
        <v>56</v>
      </c>
      <c r="D1172" s="1" t="s">
        <v>2074</v>
      </c>
      <c r="Y1172" s="2">
        <v>45517.0</v>
      </c>
      <c r="AE1172" s="1">
        <v>399.99</v>
      </c>
      <c r="AG1172" s="3" t="str">
        <f>"2000009021804784"</f>
        <v>2000009021804784</v>
      </c>
      <c r="AH1172" s="1" t="s">
        <v>58</v>
      </c>
      <c r="AI1172" s="1" t="s">
        <v>59</v>
      </c>
      <c r="AJ1172" s="1" t="s">
        <v>59</v>
      </c>
      <c r="AK1172" s="1" t="s">
        <v>60</v>
      </c>
      <c r="AL1172" s="1" t="s">
        <v>60</v>
      </c>
      <c r="AW1172" s="1" t="s">
        <v>1797</v>
      </c>
      <c r="AY1172" s="1">
        <v>1.0</v>
      </c>
      <c r="AZ1172" s="1">
        <v>399.99</v>
      </c>
      <c r="BB1172" s="1">
        <v>399.99</v>
      </c>
    </row>
    <row r="1173">
      <c r="A1173" s="1" t="s">
        <v>1060</v>
      </c>
      <c r="C1173" s="1" t="s">
        <v>56</v>
      </c>
      <c r="D1173" s="1" t="s">
        <v>2075</v>
      </c>
      <c r="Y1173" s="2">
        <v>45517.0</v>
      </c>
      <c r="AE1173" s="1">
        <v>64.48</v>
      </c>
      <c r="AG1173" s="3" t="str">
        <f>"2000006166715643"</f>
        <v>2000006166715643</v>
      </c>
      <c r="AH1173" s="1" t="s">
        <v>58</v>
      </c>
      <c r="AI1173" s="1" t="s">
        <v>59</v>
      </c>
      <c r="AJ1173" s="1" t="s">
        <v>59</v>
      </c>
      <c r="AK1173" s="1" t="s">
        <v>60</v>
      </c>
      <c r="AL1173" s="1" t="s">
        <v>60</v>
      </c>
      <c r="AW1173" s="1" t="s">
        <v>1062</v>
      </c>
      <c r="AY1173" s="1">
        <v>1.0</v>
      </c>
      <c r="AZ1173" s="1">
        <v>64.48</v>
      </c>
      <c r="BB1173" s="1">
        <v>64.48</v>
      </c>
    </row>
    <row r="1174">
      <c r="A1174" s="1" t="s">
        <v>539</v>
      </c>
      <c r="C1174" s="1" t="s">
        <v>56</v>
      </c>
      <c r="D1174" s="1" t="s">
        <v>2076</v>
      </c>
      <c r="Y1174" s="2">
        <v>45517.0</v>
      </c>
      <c r="AE1174" s="1">
        <v>73.99</v>
      </c>
      <c r="AG1174" s="3" t="str">
        <f>"2000009021470682"</f>
        <v>2000009021470682</v>
      </c>
      <c r="AH1174" s="1" t="s">
        <v>58</v>
      </c>
      <c r="AI1174" s="1" t="s">
        <v>59</v>
      </c>
      <c r="AJ1174" s="1" t="s">
        <v>59</v>
      </c>
      <c r="AK1174" s="1" t="s">
        <v>60</v>
      </c>
      <c r="AL1174" s="1" t="s">
        <v>60</v>
      </c>
      <c r="AW1174" s="1" t="s">
        <v>541</v>
      </c>
      <c r="AY1174" s="1">
        <v>1.0</v>
      </c>
      <c r="AZ1174" s="1">
        <v>73.99</v>
      </c>
      <c r="BB1174" s="1">
        <v>73.99</v>
      </c>
    </row>
    <row r="1175">
      <c r="A1175" s="1" t="s">
        <v>2077</v>
      </c>
      <c r="C1175" s="1" t="s">
        <v>56</v>
      </c>
      <c r="D1175" s="1" t="s">
        <v>2078</v>
      </c>
      <c r="Y1175" s="2">
        <v>45517.0</v>
      </c>
      <c r="AE1175" s="1">
        <v>109.98</v>
      </c>
      <c r="AG1175" s="3" t="str">
        <f t="shared" ref="AG1175:AG1176" si="48">"2000006166672253"</f>
        <v>2000006166672253</v>
      </c>
      <c r="AH1175" s="1" t="s">
        <v>58</v>
      </c>
      <c r="AI1175" s="1" t="s">
        <v>59</v>
      </c>
      <c r="AJ1175" s="1" t="s">
        <v>59</v>
      </c>
      <c r="AK1175" s="1" t="s">
        <v>60</v>
      </c>
      <c r="AL1175" s="1" t="s">
        <v>60</v>
      </c>
      <c r="AW1175" s="1" t="s">
        <v>1709</v>
      </c>
      <c r="AY1175" s="1">
        <v>2.0</v>
      </c>
      <c r="AZ1175" s="1">
        <v>54.99</v>
      </c>
      <c r="BB1175" s="1">
        <v>109.98</v>
      </c>
    </row>
    <row r="1176">
      <c r="A1176" s="1" t="s">
        <v>2079</v>
      </c>
      <c r="C1176" s="1" t="s">
        <v>56</v>
      </c>
      <c r="D1176" s="1" t="s">
        <v>2078</v>
      </c>
      <c r="Y1176" s="2">
        <v>45517.0</v>
      </c>
      <c r="AE1176" s="1">
        <v>109.98</v>
      </c>
      <c r="AG1176" s="3" t="str">
        <f t="shared" si="48"/>
        <v>2000006166672253</v>
      </c>
      <c r="AH1176" s="1" t="s">
        <v>58</v>
      </c>
      <c r="AI1176" s="1" t="s">
        <v>59</v>
      </c>
      <c r="AJ1176" s="1" t="s">
        <v>59</v>
      </c>
      <c r="AK1176" s="1" t="s">
        <v>60</v>
      </c>
      <c r="AL1176" s="1" t="s">
        <v>60</v>
      </c>
      <c r="AW1176" s="1" t="s">
        <v>1709</v>
      </c>
      <c r="AY1176" s="1">
        <v>2.0</v>
      </c>
      <c r="AZ1176" s="1">
        <v>54.99</v>
      </c>
      <c r="BB1176" s="1">
        <v>109.98</v>
      </c>
    </row>
    <row r="1177">
      <c r="A1177" s="1" t="s">
        <v>457</v>
      </c>
      <c r="C1177" s="1" t="s">
        <v>56</v>
      </c>
      <c r="D1177" s="1" t="s">
        <v>2080</v>
      </c>
      <c r="Y1177" s="2">
        <v>45517.0</v>
      </c>
      <c r="AE1177" s="1">
        <v>139.99</v>
      </c>
      <c r="AG1177" s="3" t="str">
        <f>"2000009021434066"</f>
        <v>2000009021434066</v>
      </c>
      <c r="AH1177" s="1" t="s">
        <v>58</v>
      </c>
      <c r="AI1177" s="1" t="s">
        <v>59</v>
      </c>
      <c r="AJ1177" s="1" t="s">
        <v>59</v>
      </c>
      <c r="AK1177" s="1" t="s">
        <v>60</v>
      </c>
      <c r="AL1177" s="1" t="s">
        <v>60</v>
      </c>
      <c r="AW1177" s="1" t="s">
        <v>279</v>
      </c>
      <c r="AY1177" s="1">
        <v>1.0</v>
      </c>
      <c r="AZ1177" s="1">
        <v>139.99</v>
      </c>
      <c r="BB1177" s="1">
        <v>139.99</v>
      </c>
    </row>
    <row r="1178">
      <c r="A1178" s="1" t="s">
        <v>1689</v>
      </c>
      <c r="C1178" s="1" t="s">
        <v>56</v>
      </c>
      <c r="D1178" s="1" t="s">
        <v>2081</v>
      </c>
      <c r="Y1178" s="2">
        <v>45517.0</v>
      </c>
      <c r="AE1178" s="1">
        <v>79.99</v>
      </c>
      <c r="AG1178" s="3" t="str">
        <f>"2000006166625443"</f>
        <v>2000006166625443</v>
      </c>
      <c r="AH1178" s="1" t="s">
        <v>58</v>
      </c>
      <c r="AI1178" s="1" t="s">
        <v>59</v>
      </c>
      <c r="AJ1178" s="1" t="s">
        <v>59</v>
      </c>
      <c r="AK1178" s="1" t="s">
        <v>60</v>
      </c>
      <c r="AL1178" s="1" t="s">
        <v>60</v>
      </c>
      <c r="AW1178" s="1" t="s">
        <v>856</v>
      </c>
      <c r="AY1178" s="1">
        <v>1.0</v>
      </c>
      <c r="AZ1178" s="1">
        <v>79.99</v>
      </c>
      <c r="BB1178" s="1">
        <v>79.99</v>
      </c>
    </row>
    <row r="1179">
      <c r="A1179" s="1" t="s">
        <v>942</v>
      </c>
      <c r="C1179" s="1" t="s">
        <v>56</v>
      </c>
      <c r="D1179" s="1" t="s">
        <v>2082</v>
      </c>
      <c r="Y1179" s="2">
        <v>45517.0</v>
      </c>
      <c r="AE1179" s="1">
        <v>114.99</v>
      </c>
      <c r="AG1179" s="3" t="str">
        <f>"2000006166628301"</f>
        <v>2000006166628301</v>
      </c>
      <c r="AH1179" s="1" t="s">
        <v>58</v>
      </c>
      <c r="AI1179" s="1" t="s">
        <v>59</v>
      </c>
      <c r="AJ1179" s="1" t="s">
        <v>59</v>
      </c>
      <c r="AK1179" s="1" t="s">
        <v>60</v>
      </c>
      <c r="AL1179" s="1" t="s">
        <v>60</v>
      </c>
      <c r="AW1179" s="1" t="s">
        <v>944</v>
      </c>
      <c r="AY1179" s="1">
        <v>1.0</v>
      </c>
      <c r="AZ1179" s="1">
        <v>114.99</v>
      </c>
      <c r="BB1179" s="1">
        <v>114.99</v>
      </c>
    </row>
    <row r="1180">
      <c r="A1180" s="1" t="s">
        <v>1946</v>
      </c>
      <c r="C1180" s="1" t="s">
        <v>56</v>
      </c>
      <c r="D1180" s="1" t="s">
        <v>2083</v>
      </c>
      <c r="Y1180" s="2">
        <v>45517.0</v>
      </c>
      <c r="AE1180" s="1">
        <v>39.99</v>
      </c>
      <c r="AG1180" s="3" t="str">
        <f>"2000006166616697"</f>
        <v>2000006166616697</v>
      </c>
      <c r="AH1180" s="1" t="s">
        <v>58</v>
      </c>
      <c r="AI1180" s="1" t="s">
        <v>59</v>
      </c>
      <c r="AJ1180" s="1" t="s">
        <v>59</v>
      </c>
      <c r="AK1180" s="1" t="s">
        <v>60</v>
      </c>
      <c r="AL1180" s="1" t="s">
        <v>60</v>
      </c>
      <c r="AW1180" s="1" t="s">
        <v>1529</v>
      </c>
      <c r="AY1180" s="1">
        <v>1.0</v>
      </c>
      <c r="AZ1180" s="1">
        <v>39.99</v>
      </c>
      <c r="BB1180" s="1">
        <v>39.99</v>
      </c>
    </row>
    <row r="1181">
      <c r="A1181" s="1" t="s">
        <v>1829</v>
      </c>
      <c r="C1181" s="1" t="s">
        <v>56</v>
      </c>
      <c r="D1181" s="1" t="s">
        <v>2084</v>
      </c>
      <c r="Y1181" s="2">
        <v>45517.0</v>
      </c>
      <c r="AE1181" s="1">
        <v>59.99</v>
      </c>
      <c r="AG1181" s="3" t="str">
        <f t="shared" ref="AG1181:AG1182" si="49">"2000006166614901"</f>
        <v>2000006166614901</v>
      </c>
      <c r="AH1181" s="1" t="s">
        <v>58</v>
      </c>
      <c r="AI1181" s="1" t="s">
        <v>59</v>
      </c>
      <c r="AJ1181" s="1" t="s">
        <v>59</v>
      </c>
      <c r="AK1181" s="1" t="s">
        <v>60</v>
      </c>
      <c r="AL1181" s="1" t="s">
        <v>60</v>
      </c>
      <c r="AW1181" s="1" t="s">
        <v>1831</v>
      </c>
      <c r="AY1181" s="1">
        <v>1.0</v>
      </c>
      <c r="AZ1181" s="1">
        <v>59.99</v>
      </c>
      <c r="BB1181" s="1">
        <v>59.99</v>
      </c>
    </row>
    <row r="1182">
      <c r="A1182" s="1" t="s">
        <v>1748</v>
      </c>
      <c r="C1182" s="1" t="s">
        <v>56</v>
      </c>
      <c r="D1182" s="1" t="s">
        <v>2084</v>
      </c>
      <c r="Y1182" s="2">
        <v>45517.0</v>
      </c>
      <c r="AE1182" s="1">
        <v>69.99</v>
      </c>
      <c r="AG1182" s="3" t="str">
        <f t="shared" si="49"/>
        <v>2000006166614901</v>
      </c>
      <c r="AH1182" s="1" t="s">
        <v>58</v>
      </c>
      <c r="AI1182" s="1" t="s">
        <v>59</v>
      </c>
      <c r="AJ1182" s="1" t="s">
        <v>59</v>
      </c>
      <c r="AK1182" s="1" t="s">
        <v>60</v>
      </c>
      <c r="AL1182" s="1" t="s">
        <v>60</v>
      </c>
      <c r="AW1182" s="1" t="s">
        <v>1750</v>
      </c>
      <c r="AY1182" s="1">
        <v>1.0</v>
      </c>
      <c r="AZ1182" s="1">
        <v>69.99</v>
      </c>
      <c r="BB1182" s="1">
        <v>69.99</v>
      </c>
    </row>
    <row r="1183">
      <c r="A1183" s="1" t="s">
        <v>539</v>
      </c>
      <c r="C1183" s="1" t="s">
        <v>56</v>
      </c>
      <c r="D1183" s="1" t="s">
        <v>2085</v>
      </c>
      <c r="Y1183" s="2">
        <v>45517.0</v>
      </c>
      <c r="AE1183" s="1">
        <v>73.99</v>
      </c>
      <c r="AG1183" s="3" t="str">
        <f>"2000006166598907"</f>
        <v>2000006166598907</v>
      </c>
      <c r="AH1183" s="1" t="s">
        <v>58</v>
      </c>
      <c r="AI1183" s="1" t="s">
        <v>59</v>
      </c>
      <c r="AJ1183" s="1" t="s">
        <v>59</v>
      </c>
      <c r="AK1183" s="1" t="s">
        <v>60</v>
      </c>
      <c r="AL1183" s="1" t="s">
        <v>60</v>
      </c>
      <c r="AW1183" s="1" t="s">
        <v>541</v>
      </c>
      <c r="AY1183" s="1">
        <v>1.0</v>
      </c>
      <c r="AZ1183" s="1">
        <v>73.99</v>
      </c>
      <c r="BB1183" s="1">
        <v>73.99</v>
      </c>
    </row>
    <row r="1184">
      <c r="A1184" s="1" t="s">
        <v>764</v>
      </c>
      <c r="C1184" s="1" t="s">
        <v>56</v>
      </c>
      <c r="D1184" s="1" t="s">
        <v>2086</v>
      </c>
      <c r="Y1184" s="2">
        <v>45517.0</v>
      </c>
      <c r="AE1184" s="1">
        <v>133.98</v>
      </c>
      <c r="AG1184" s="3" t="str">
        <f>"2000006166592401"</f>
        <v>2000006166592401</v>
      </c>
      <c r="AH1184" s="1" t="s">
        <v>58</v>
      </c>
      <c r="AI1184" s="1" t="s">
        <v>59</v>
      </c>
      <c r="AJ1184" s="1" t="s">
        <v>59</v>
      </c>
      <c r="AK1184" s="1" t="s">
        <v>60</v>
      </c>
      <c r="AL1184" s="1" t="s">
        <v>60</v>
      </c>
      <c r="AW1184" s="1" t="s">
        <v>766</v>
      </c>
      <c r="AY1184" s="1">
        <v>2.0</v>
      </c>
      <c r="AZ1184" s="1">
        <v>66.99</v>
      </c>
      <c r="BB1184" s="1">
        <v>133.98</v>
      </c>
    </row>
    <row r="1185">
      <c r="A1185" s="1" t="s">
        <v>102</v>
      </c>
      <c r="C1185" s="1" t="s">
        <v>56</v>
      </c>
      <c r="D1185" s="1" t="s">
        <v>2087</v>
      </c>
      <c r="Y1185" s="2">
        <v>45517.0</v>
      </c>
      <c r="AE1185" s="1">
        <v>59.99</v>
      </c>
      <c r="AG1185" s="3" t="str">
        <f>"2000006166587695"</f>
        <v>2000006166587695</v>
      </c>
      <c r="AH1185" s="1" t="s">
        <v>58</v>
      </c>
      <c r="AI1185" s="1" t="s">
        <v>59</v>
      </c>
      <c r="AJ1185" s="1" t="s">
        <v>59</v>
      </c>
      <c r="AK1185" s="1" t="s">
        <v>60</v>
      </c>
      <c r="AL1185" s="1" t="s">
        <v>60</v>
      </c>
      <c r="AW1185" s="1" t="s">
        <v>104</v>
      </c>
      <c r="AY1185" s="1">
        <v>1.0</v>
      </c>
      <c r="AZ1185" s="1">
        <v>59.99</v>
      </c>
      <c r="BB1185" s="1">
        <v>59.99</v>
      </c>
    </row>
    <row r="1186">
      <c r="A1186" s="1" t="s">
        <v>1836</v>
      </c>
      <c r="C1186" s="1" t="s">
        <v>56</v>
      </c>
      <c r="D1186" s="1" t="s">
        <v>2088</v>
      </c>
      <c r="Y1186" s="2">
        <v>45517.0</v>
      </c>
      <c r="AE1186" s="1">
        <v>49.99</v>
      </c>
      <c r="AG1186" s="3" t="str">
        <f>"2000006166581369"</f>
        <v>2000006166581369</v>
      </c>
      <c r="AH1186" s="1" t="s">
        <v>58</v>
      </c>
      <c r="AI1186" s="1" t="s">
        <v>59</v>
      </c>
      <c r="AJ1186" s="1" t="s">
        <v>59</v>
      </c>
      <c r="AK1186" s="1" t="s">
        <v>60</v>
      </c>
      <c r="AL1186" s="1" t="s">
        <v>60</v>
      </c>
      <c r="AW1186" s="1" t="s">
        <v>1838</v>
      </c>
      <c r="AY1186" s="1">
        <v>1.0</v>
      </c>
      <c r="AZ1186" s="1">
        <v>49.99</v>
      </c>
      <c r="BB1186" s="1">
        <v>49.99</v>
      </c>
    </row>
    <row r="1187">
      <c r="A1187" s="1" t="s">
        <v>1019</v>
      </c>
      <c r="C1187" s="1" t="s">
        <v>56</v>
      </c>
      <c r="D1187" s="1" t="s">
        <v>2089</v>
      </c>
      <c r="Y1187" s="2">
        <v>45517.0</v>
      </c>
      <c r="AE1187" s="1">
        <v>59.99</v>
      </c>
      <c r="AG1187" s="3" t="str">
        <f>"2000009021286336"</f>
        <v>2000009021286336</v>
      </c>
      <c r="AH1187" s="1" t="s">
        <v>58</v>
      </c>
      <c r="AI1187" s="1" t="s">
        <v>59</v>
      </c>
      <c r="AJ1187" s="1" t="s">
        <v>59</v>
      </c>
      <c r="AK1187" s="1" t="s">
        <v>60</v>
      </c>
      <c r="AL1187" s="1" t="s">
        <v>60</v>
      </c>
      <c r="AW1187" s="1" t="s">
        <v>703</v>
      </c>
      <c r="AY1187" s="1">
        <v>1.0</v>
      </c>
      <c r="AZ1187" s="1">
        <v>59.99</v>
      </c>
      <c r="BB1187" s="1">
        <v>59.99</v>
      </c>
    </row>
    <row r="1188">
      <c r="A1188" s="1" t="s">
        <v>2090</v>
      </c>
      <c r="C1188" s="1" t="s">
        <v>56</v>
      </c>
      <c r="D1188" s="1" t="s">
        <v>2091</v>
      </c>
      <c r="Y1188" s="2">
        <v>45517.0</v>
      </c>
      <c r="AE1188" s="1">
        <v>69.99</v>
      </c>
      <c r="AG1188" s="3" t="str">
        <f>"2000006166552987"</f>
        <v>2000006166552987</v>
      </c>
      <c r="AH1188" s="1" t="s">
        <v>58</v>
      </c>
      <c r="AI1188" s="1" t="s">
        <v>59</v>
      </c>
      <c r="AJ1188" s="1" t="s">
        <v>59</v>
      </c>
      <c r="AK1188" s="1" t="s">
        <v>60</v>
      </c>
      <c r="AL1188" s="1" t="s">
        <v>60</v>
      </c>
      <c r="AW1188" s="1" t="s">
        <v>2092</v>
      </c>
      <c r="AY1188" s="1">
        <v>1.0</v>
      </c>
      <c r="AZ1188" s="1">
        <v>69.99</v>
      </c>
      <c r="BB1188" s="1">
        <v>69.99</v>
      </c>
    </row>
    <row r="1189">
      <c r="A1189" s="1" t="s">
        <v>423</v>
      </c>
      <c r="C1189" s="1" t="s">
        <v>56</v>
      </c>
      <c r="D1189" s="1" t="s">
        <v>2093</v>
      </c>
      <c r="Y1189" s="2">
        <v>45517.0</v>
      </c>
      <c r="AE1189" s="1">
        <v>399.98</v>
      </c>
      <c r="AG1189" s="3" t="str">
        <f>"2000006166550651"</f>
        <v>2000006166550651</v>
      </c>
      <c r="AH1189" s="1" t="s">
        <v>58</v>
      </c>
      <c r="AI1189" s="1" t="s">
        <v>59</v>
      </c>
      <c r="AJ1189" s="1" t="s">
        <v>59</v>
      </c>
      <c r="AK1189" s="1" t="s">
        <v>60</v>
      </c>
      <c r="AL1189" s="1" t="s">
        <v>60</v>
      </c>
      <c r="AW1189" s="1" t="s">
        <v>425</v>
      </c>
      <c r="AY1189" s="1">
        <v>2.0</v>
      </c>
      <c r="AZ1189" s="1">
        <v>199.99</v>
      </c>
      <c r="BB1189" s="1">
        <v>399.98</v>
      </c>
    </row>
    <row r="1190">
      <c r="A1190" s="1" t="s">
        <v>1336</v>
      </c>
      <c r="C1190" s="1" t="s">
        <v>56</v>
      </c>
      <c r="D1190" s="1" t="s">
        <v>2094</v>
      </c>
      <c r="Y1190" s="2">
        <v>45517.0</v>
      </c>
      <c r="AE1190" s="1">
        <v>49.99</v>
      </c>
      <c r="AG1190" s="3" t="str">
        <f>"2000006166536313"</f>
        <v>2000006166536313</v>
      </c>
      <c r="AH1190" s="1" t="s">
        <v>58</v>
      </c>
      <c r="AI1190" s="1" t="s">
        <v>59</v>
      </c>
      <c r="AJ1190" s="1" t="s">
        <v>59</v>
      </c>
      <c r="AK1190" s="1" t="s">
        <v>60</v>
      </c>
      <c r="AL1190" s="1" t="s">
        <v>60</v>
      </c>
      <c r="AW1190" s="1" t="s">
        <v>1338</v>
      </c>
      <c r="AY1190" s="1">
        <v>1.0</v>
      </c>
      <c r="AZ1190" s="1">
        <v>49.99</v>
      </c>
      <c r="BB1190" s="1">
        <v>49.99</v>
      </c>
    </row>
    <row r="1191">
      <c r="A1191" s="1" t="s">
        <v>2095</v>
      </c>
      <c r="C1191" s="1" t="s">
        <v>56</v>
      </c>
      <c r="D1191" s="1" t="s">
        <v>2096</v>
      </c>
      <c r="Y1191" s="2">
        <v>45517.0</v>
      </c>
      <c r="AE1191" s="1">
        <v>219.99</v>
      </c>
      <c r="AG1191" s="3" t="str">
        <f>"2000009021237010"</f>
        <v>2000009021237010</v>
      </c>
      <c r="AH1191" s="1" t="s">
        <v>58</v>
      </c>
      <c r="AI1191" s="1" t="s">
        <v>59</v>
      </c>
      <c r="AJ1191" s="1" t="s">
        <v>59</v>
      </c>
      <c r="AK1191" s="1" t="s">
        <v>60</v>
      </c>
      <c r="AL1191" s="1" t="s">
        <v>60</v>
      </c>
      <c r="AW1191" s="1" t="s">
        <v>2097</v>
      </c>
      <c r="AY1191" s="1">
        <v>1.0</v>
      </c>
      <c r="AZ1191" s="1">
        <v>219.99</v>
      </c>
      <c r="BB1191" s="1">
        <v>219.99</v>
      </c>
    </row>
    <row r="1192">
      <c r="A1192" s="1" t="s">
        <v>1431</v>
      </c>
      <c r="C1192" s="1" t="s">
        <v>56</v>
      </c>
      <c r="D1192" s="1" t="s">
        <v>2098</v>
      </c>
      <c r="Y1192" s="2">
        <v>45517.0</v>
      </c>
      <c r="AE1192" s="1">
        <v>109.99</v>
      </c>
      <c r="AG1192" s="3" t="str">
        <f>"2000006166526293"</f>
        <v>2000006166526293</v>
      </c>
      <c r="AH1192" s="1" t="s">
        <v>58</v>
      </c>
      <c r="AI1192" s="1" t="s">
        <v>59</v>
      </c>
      <c r="AJ1192" s="1" t="s">
        <v>59</v>
      </c>
      <c r="AK1192" s="1" t="s">
        <v>60</v>
      </c>
      <c r="AL1192" s="1" t="s">
        <v>60</v>
      </c>
      <c r="AW1192" s="1" t="s">
        <v>1433</v>
      </c>
      <c r="AY1192" s="1">
        <v>1.0</v>
      </c>
      <c r="AZ1192" s="1">
        <v>109.99</v>
      </c>
      <c r="BB1192" s="1">
        <v>109.99</v>
      </c>
    </row>
    <row r="1193">
      <c r="A1193" s="1" t="s">
        <v>332</v>
      </c>
      <c r="C1193" s="1" t="s">
        <v>56</v>
      </c>
      <c r="D1193" s="1" t="s">
        <v>2099</v>
      </c>
      <c r="Y1193" s="2">
        <v>45517.0</v>
      </c>
      <c r="AE1193" s="1">
        <v>84.99</v>
      </c>
      <c r="AG1193" s="3" t="str">
        <f>"2000009021171490"</f>
        <v>2000009021171490</v>
      </c>
      <c r="AH1193" s="1" t="s">
        <v>58</v>
      </c>
      <c r="AI1193" s="1" t="s">
        <v>59</v>
      </c>
      <c r="AJ1193" s="1" t="s">
        <v>59</v>
      </c>
      <c r="AK1193" s="1" t="s">
        <v>60</v>
      </c>
      <c r="AL1193" s="1" t="s">
        <v>60</v>
      </c>
      <c r="AW1193" s="1" t="s">
        <v>2100</v>
      </c>
      <c r="AY1193" s="1">
        <v>1.0</v>
      </c>
      <c r="AZ1193" s="1">
        <v>84.99</v>
      </c>
      <c r="BB1193" s="1">
        <v>84.99</v>
      </c>
    </row>
    <row r="1194">
      <c r="A1194" s="1" t="s">
        <v>1801</v>
      </c>
      <c r="C1194" s="1" t="s">
        <v>56</v>
      </c>
      <c r="D1194" s="1" t="s">
        <v>2101</v>
      </c>
      <c r="Y1194" s="2">
        <v>45517.0</v>
      </c>
      <c r="AE1194" s="1">
        <v>224.97</v>
      </c>
      <c r="AG1194" s="3" t="str">
        <f>"2000006166480841"</f>
        <v>2000006166480841</v>
      </c>
      <c r="AH1194" s="1" t="s">
        <v>58</v>
      </c>
      <c r="AI1194" s="1" t="s">
        <v>59</v>
      </c>
      <c r="AJ1194" s="1" t="s">
        <v>59</v>
      </c>
      <c r="AK1194" s="1" t="s">
        <v>60</v>
      </c>
      <c r="AL1194" s="1" t="s">
        <v>60</v>
      </c>
      <c r="AW1194" s="1" t="s">
        <v>1225</v>
      </c>
      <c r="AY1194" s="1">
        <v>3.0</v>
      </c>
      <c r="AZ1194" s="1">
        <v>74.99</v>
      </c>
      <c r="BB1194" s="1">
        <v>224.969999999999</v>
      </c>
    </row>
    <row r="1195">
      <c r="A1195" s="1" t="s">
        <v>265</v>
      </c>
      <c r="C1195" s="1" t="s">
        <v>56</v>
      </c>
      <c r="D1195" s="1" t="s">
        <v>2102</v>
      </c>
      <c r="Y1195" s="2">
        <v>45517.0</v>
      </c>
      <c r="AE1195" s="1">
        <v>114.99</v>
      </c>
      <c r="AG1195" s="3" t="str">
        <f>"2000006166477533"</f>
        <v>2000006166477533</v>
      </c>
      <c r="AH1195" s="1" t="s">
        <v>58</v>
      </c>
      <c r="AI1195" s="1" t="s">
        <v>59</v>
      </c>
      <c r="AJ1195" s="1" t="s">
        <v>59</v>
      </c>
      <c r="AK1195" s="1" t="s">
        <v>60</v>
      </c>
      <c r="AL1195" s="1" t="s">
        <v>60</v>
      </c>
      <c r="AW1195" s="1" t="s">
        <v>1997</v>
      </c>
      <c r="AY1195" s="1">
        <v>1.0</v>
      </c>
      <c r="AZ1195" s="1">
        <v>114.99</v>
      </c>
      <c r="BB1195" s="1">
        <v>114.99</v>
      </c>
    </row>
    <row r="1196">
      <c r="A1196" s="1" t="s">
        <v>141</v>
      </c>
      <c r="C1196" s="1" t="s">
        <v>56</v>
      </c>
      <c r="D1196" s="1" t="s">
        <v>2103</v>
      </c>
      <c r="Y1196" s="2">
        <v>45517.0</v>
      </c>
      <c r="AE1196" s="1">
        <v>139.99</v>
      </c>
      <c r="AG1196" s="3" t="str">
        <f>"2000006166443257"</f>
        <v>2000006166443257</v>
      </c>
      <c r="AH1196" s="1" t="s">
        <v>58</v>
      </c>
      <c r="AI1196" s="1" t="s">
        <v>59</v>
      </c>
      <c r="AJ1196" s="1" t="s">
        <v>59</v>
      </c>
      <c r="AK1196" s="1" t="s">
        <v>60</v>
      </c>
      <c r="AL1196" s="1" t="s">
        <v>60</v>
      </c>
      <c r="AW1196" s="1" t="s">
        <v>143</v>
      </c>
      <c r="AY1196" s="1">
        <v>1.0</v>
      </c>
      <c r="AZ1196" s="1">
        <v>139.99</v>
      </c>
      <c r="BB1196" s="1">
        <v>139.99</v>
      </c>
    </row>
    <row r="1197">
      <c r="A1197" s="1" t="s">
        <v>262</v>
      </c>
      <c r="C1197" s="1" t="s">
        <v>56</v>
      </c>
      <c r="D1197" s="1" t="s">
        <v>2104</v>
      </c>
      <c r="Y1197" s="2">
        <v>45517.0</v>
      </c>
      <c r="AE1197" s="1">
        <v>129.99</v>
      </c>
      <c r="AG1197" s="3" t="str">
        <f>"2000006166433401"</f>
        <v>2000006166433401</v>
      </c>
      <c r="AH1197" s="1" t="s">
        <v>58</v>
      </c>
      <c r="AI1197" s="1" t="s">
        <v>59</v>
      </c>
      <c r="AJ1197" s="1" t="s">
        <v>59</v>
      </c>
      <c r="AK1197" s="1" t="s">
        <v>60</v>
      </c>
      <c r="AL1197" s="1" t="s">
        <v>60</v>
      </c>
      <c r="AW1197" s="1" t="s">
        <v>264</v>
      </c>
      <c r="AY1197" s="1">
        <v>1.0</v>
      </c>
      <c r="AZ1197" s="1">
        <v>129.99</v>
      </c>
      <c r="BB1197" s="1">
        <v>129.99</v>
      </c>
    </row>
    <row r="1198">
      <c r="A1198" s="1" t="s">
        <v>761</v>
      </c>
      <c r="C1198" s="1" t="s">
        <v>56</v>
      </c>
      <c r="D1198" s="1" t="s">
        <v>2105</v>
      </c>
      <c r="Y1198" s="2">
        <v>45517.0</v>
      </c>
      <c r="AE1198" s="1">
        <v>129.99</v>
      </c>
      <c r="AG1198" s="3" t="str">
        <f t="shared" ref="AG1198:AG1200" si="50">"2000006166398305"</f>
        <v>2000006166398305</v>
      </c>
      <c r="AH1198" s="1" t="s">
        <v>58</v>
      </c>
      <c r="AI1198" s="1" t="s">
        <v>59</v>
      </c>
      <c r="AJ1198" s="1" t="s">
        <v>59</v>
      </c>
      <c r="AK1198" s="1" t="s">
        <v>60</v>
      </c>
      <c r="AL1198" s="1" t="s">
        <v>60</v>
      </c>
      <c r="AW1198" s="1" t="s">
        <v>763</v>
      </c>
      <c r="AY1198" s="1">
        <v>1.0</v>
      </c>
      <c r="AZ1198" s="1">
        <v>129.99</v>
      </c>
      <c r="BB1198" s="1">
        <v>129.99</v>
      </c>
    </row>
    <row r="1199">
      <c r="A1199" s="1" t="s">
        <v>1666</v>
      </c>
      <c r="C1199" s="1" t="s">
        <v>56</v>
      </c>
      <c r="D1199" s="1" t="s">
        <v>2105</v>
      </c>
      <c r="Y1199" s="2">
        <v>45517.0</v>
      </c>
      <c r="AE1199" s="1">
        <v>129.99</v>
      </c>
      <c r="AG1199" s="3" t="str">
        <f t="shared" si="50"/>
        <v>2000006166398305</v>
      </c>
      <c r="AH1199" s="1" t="s">
        <v>58</v>
      </c>
      <c r="AI1199" s="1" t="s">
        <v>59</v>
      </c>
      <c r="AJ1199" s="1" t="s">
        <v>59</v>
      </c>
      <c r="AK1199" s="1" t="s">
        <v>60</v>
      </c>
      <c r="AL1199" s="1" t="s">
        <v>60</v>
      </c>
      <c r="AW1199" s="1" t="s">
        <v>763</v>
      </c>
      <c r="AY1199" s="1">
        <v>1.0</v>
      </c>
      <c r="AZ1199" s="1">
        <v>129.99</v>
      </c>
      <c r="BB1199" s="1">
        <v>129.99</v>
      </c>
    </row>
    <row r="1200">
      <c r="A1200" s="1" t="s">
        <v>2106</v>
      </c>
      <c r="C1200" s="1" t="s">
        <v>56</v>
      </c>
      <c r="D1200" s="1" t="s">
        <v>2105</v>
      </c>
      <c r="Y1200" s="2">
        <v>45517.0</v>
      </c>
      <c r="AE1200" s="1">
        <v>129.99</v>
      </c>
      <c r="AG1200" s="3" t="str">
        <f t="shared" si="50"/>
        <v>2000006166398305</v>
      </c>
      <c r="AH1200" s="1" t="s">
        <v>58</v>
      </c>
      <c r="AI1200" s="1" t="s">
        <v>59</v>
      </c>
      <c r="AJ1200" s="1" t="s">
        <v>59</v>
      </c>
      <c r="AK1200" s="1" t="s">
        <v>60</v>
      </c>
      <c r="AL1200" s="1" t="s">
        <v>60</v>
      </c>
      <c r="AW1200" s="1" t="s">
        <v>763</v>
      </c>
      <c r="AY1200" s="1">
        <v>1.0</v>
      </c>
      <c r="AZ1200" s="1">
        <v>129.99</v>
      </c>
      <c r="BB1200" s="1">
        <v>129.99</v>
      </c>
    </row>
    <row r="1201">
      <c r="A1201" s="1" t="s">
        <v>1613</v>
      </c>
      <c r="C1201" s="1" t="s">
        <v>56</v>
      </c>
      <c r="D1201" s="1" t="s">
        <v>2107</v>
      </c>
      <c r="Y1201" s="2">
        <v>45517.0</v>
      </c>
      <c r="AE1201" s="1">
        <v>169.99</v>
      </c>
      <c r="AG1201" s="3" t="str">
        <f>"2000006166369511"</f>
        <v>2000006166369511</v>
      </c>
      <c r="AH1201" s="1" t="s">
        <v>58</v>
      </c>
      <c r="AI1201" s="1" t="s">
        <v>59</v>
      </c>
      <c r="AJ1201" s="1" t="s">
        <v>59</v>
      </c>
      <c r="AK1201" s="1" t="s">
        <v>60</v>
      </c>
      <c r="AL1201" s="1" t="s">
        <v>60</v>
      </c>
      <c r="AW1201" s="1" t="s">
        <v>1615</v>
      </c>
      <c r="AY1201" s="1">
        <v>1.0</v>
      </c>
      <c r="AZ1201" s="1">
        <v>169.99</v>
      </c>
      <c r="BB1201" s="1">
        <v>169.99</v>
      </c>
    </row>
    <row r="1202">
      <c r="A1202" s="1" t="s">
        <v>484</v>
      </c>
      <c r="C1202" s="1" t="s">
        <v>56</v>
      </c>
      <c r="D1202" s="1" t="s">
        <v>2108</v>
      </c>
      <c r="Y1202" s="2">
        <v>45517.0</v>
      </c>
      <c r="AE1202" s="1">
        <v>74.99</v>
      </c>
      <c r="AG1202" s="3" t="str">
        <f>"2000006166366307"</f>
        <v>2000006166366307</v>
      </c>
      <c r="AH1202" s="1" t="s">
        <v>58</v>
      </c>
      <c r="AI1202" s="1" t="s">
        <v>59</v>
      </c>
      <c r="AJ1202" s="1" t="s">
        <v>59</v>
      </c>
      <c r="AK1202" s="1" t="s">
        <v>60</v>
      </c>
      <c r="AL1202" s="1" t="s">
        <v>60</v>
      </c>
      <c r="AW1202" s="1" t="s">
        <v>486</v>
      </c>
      <c r="AY1202" s="1">
        <v>1.0</v>
      </c>
      <c r="AZ1202" s="1">
        <v>74.99</v>
      </c>
      <c r="BB1202" s="1">
        <v>74.99</v>
      </c>
    </row>
    <row r="1203">
      <c r="A1203" s="1" t="s">
        <v>1336</v>
      </c>
      <c r="C1203" s="1" t="s">
        <v>235</v>
      </c>
      <c r="D1203" s="1" t="s">
        <v>2109</v>
      </c>
      <c r="Y1203" s="2">
        <v>45517.0</v>
      </c>
      <c r="AE1203" s="1">
        <v>49.99</v>
      </c>
      <c r="AG1203" s="3" t="str">
        <f>"2000006166356471"</f>
        <v>2000006166356471</v>
      </c>
      <c r="AH1203" s="1" t="s">
        <v>58</v>
      </c>
      <c r="AI1203" s="1" t="s">
        <v>59</v>
      </c>
      <c r="AJ1203" s="1" t="s">
        <v>59</v>
      </c>
      <c r="AK1203" s="1" t="s">
        <v>60</v>
      </c>
      <c r="AL1203" s="1" t="s">
        <v>60</v>
      </c>
      <c r="AW1203" s="1" t="s">
        <v>1338</v>
      </c>
      <c r="AY1203" s="1">
        <v>1.0</v>
      </c>
      <c r="AZ1203" s="1">
        <v>49.99</v>
      </c>
      <c r="BB1203" s="1">
        <v>49.99</v>
      </c>
    </row>
    <row r="1204">
      <c r="A1204" s="1" t="s">
        <v>1397</v>
      </c>
      <c r="C1204" s="1" t="s">
        <v>56</v>
      </c>
      <c r="D1204" s="1" t="s">
        <v>2110</v>
      </c>
      <c r="Y1204" s="2">
        <v>45516.0</v>
      </c>
      <c r="AE1204" s="1">
        <v>39.99</v>
      </c>
      <c r="AG1204" s="3" t="str">
        <f>"2000006166342805"</f>
        <v>2000006166342805</v>
      </c>
      <c r="AH1204" s="1" t="s">
        <v>58</v>
      </c>
      <c r="AI1204" s="1" t="s">
        <v>59</v>
      </c>
      <c r="AJ1204" s="1" t="s">
        <v>59</v>
      </c>
      <c r="AK1204" s="1" t="s">
        <v>60</v>
      </c>
      <c r="AL1204" s="1" t="s">
        <v>60</v>
      </c>
      <c r="AW1204" s="1" t="s">
        <v>149</v>
      </c>
      <c r="AY1204" s="1">
        <v>1.0</v>
      </c>
      <c r="AZ1204" s="1">
        <v>39.99</v>
      </c>
      <c r="BB1204" s="1">
        <v>39.99</v>
      </c>
    </row>
    <row r="1205">
      <c r="A1205" s="1" t="s">
        <v>2095</v>
      </c>
      <c r="C1205" s="1" t="s">
        <v>56</v>
      </c>
      <c r="D1205" s="1" t="s">
        <v>2111</v>
      </c>
      <c r="Y1205" s="2">
        <v>45516.0</v>
      </c>
      <c r="AE1205" s="1">
        <v>219.99</v>
      </c>
      <c r="AG1205" s="3" t="str">
        <f>"2000009020938888"</f>
        <v>2000009020938888</v>
      </c>
      <c r="AH1205" s="1" t="s">
        <v>58</v>
      </c>
      <c r="AI1205" s="1" t="s">
        <v>59</v>
      </c>
      <c r="AJ1205" s="1" t="s">
        <v>59</v>
      </c>
      <c r="AK1205" s="1" t="s">
        <v>60</v>
      </c>
      <c r="AL1205" s="1" t="s">
        <v>60</v>
      </c>
      <c r="AW1205" s="1" t="s">
        <v>2097</v>
      </c>
      <c r="AY1205" s="1">
        <v>1.0</v>
      </c>
      <c r="AZ1205" s="1">
        <v>219.99</v>
      </c>
      <c r="BB1205" s="1">
        <v>219.99</v>
      </c>
    </row>
    <row r="1206">
      <c r="A1206" s="1" t="s">
        <v>135</v>
      </c>
      <c r="C1206" s="1" t="s">
        <v>56</v>
      </c>
      <c r="D1206" s="1" t="s">
        <v>2112</v>
      </c>
      <c r="Y1206" s="2">
        <v>45516.0</v>
      </c>
      <c r="AE1206" s="1">
        <v>179.98</v>
      </c>
      <c r="AG1206" s="3" t="str">
        <f>"2000006166334091"</f>
        <v>2000006166334091</v>
      </c>
      <c r="AH1206" s="1" t="s">
        <v>58</v>
      </c>
      <c r="AI1206" s="1" t="s">
        <v>59</v>
      </c>
      <c r="AJ1206" s="1" t="s">
        <v>59</v>
      </c>
      <c r="AK1206" s="1" t="s">
        <v>60</v>
      </c>
      <c r="AL1206" s="1" t="s">
        <v>60</v>
      </c>
      <c r="AW1206" s="1" t="s">
        <v>137</v>
      </c>
      <c r="AY1206" s="1">
        <v>2.0</v>
      </c>
      <c r="AZ1206" s="1">
        <v>89.99</v>
      </c>
      <c r="BB1206" s="1">
        <v>179.98</v>
      </c>
    </row>
    <row r="1207">
      <c r="A1207" s="1" t="s">
        <v>175</v>
      </c>
      <c r="C1207" s="1" t="s">
        <v>56</v>
      </c>
      <c r="D1207" s="1" t="s">
        <v>2113</v>
      </c>
      <c r="Y1207" s="2">
        <v>45516.0</v>
      </c>
      <c r="AE1207" s="1">
        <v>199.99</v>
      </c>
      <c r="AG1207" s="3" t="str">
        <f>"2000006166335293"</f>
        <v>2000006166335293</v>
      </c>
      <c r="AH1207" s="1" t="s">
        <v>58</v>
      </c>
      <c r="AI1207" s="1" t="s">
        <v>59</v>
      </c>
      <c r="AJ1207" s="1" t="s">
        <v>59</v>
      </c>
      <c r="AK1207" s="1" t="s">
        <v>60</v>
      </c>
      <c r="AL1207" s="1" t="s">
        <v>60</v>
      </c>
      <c r="AW1207" s="1" t="s">
        <v>177</v>
      </c>
      <c r="AY1207" s="1">
        <v>1.0</v>
      </c>
      <c r="AZ1207" s="1">
        <v>199.99</v>
      </c>
      <c r="BB1207" s="1">
        <v>199.99</v>
      </c>
    </row>
    <row r="1208">
      <c r="A1208" s="1" t="s">
        <v>1409</v>
      </c>
      <c r="C1208" s="1" t="s">
        <v>56</v>
      </c>
      <c r="D1208" s="1" t="s">
        <v>2114</v>
      </c>
      <c r="Y1208" s="2">
        <v>45516.0</v>
      </c>
      <c r="AE1208" s="1">
        <v>99.99</v>
      </c>
      <c r="AG1208" s="3" t="str">
        <f>"2000006166251571"</f>
        <v>2000006166251571</v>
      </c>
      <c r="AH1208" s="1" t="s">
        <v>58</v>
      </c>
      <c r="AI1208" s="1" t="s">
        <v>59</v>
      </c>
      <c r="AJ1208" s="1" t="s">
        <v>59</v>
      </c>
      <c r="AK1208" s="1" t="s">
        <v>60</v>
      </c>
      <c r="AL1208" s="1" t="s">
        <v>60</v>
      </c>
      <c r="AW1208" s="1" t="s">
        <v>1411</v>
      </c>
      <c r="AY1208" s="1">
        <v>1.0</v>
      </c>
      <c r="AZ1208" s="1">
        <v>99.99</v>
      </c>
      <c r="BB1208" s="1">
        <v>99.99</v>
      </c>
    </row>
    <row r="1209">
      <c r="A1209" s="1" t="s">
        <v>2115</v>
      </c>
      <c r="C1209" s="1" t="s">
        <v>56</v>
      </c>
      <c r="D1209" s="1" t="s">
        <v>2116</v>
      </c>
      <c r="Y1209" s="2">
        <v>45516.0</v>
      </c>
      <c r="AE1209" s="1">
        <v>69.99</v>
      </c>
      <c r="AG1209" s="3" t="str">
        <f>"2000006166265527"</f>
        <v>2000006166265527</v>
      </c>
      <c r="AH1209" s="1" t="s">
        <v>58</v>
      </c>
      <c r="AI1209" s="1" t="s">
        <v>59</v>
      </c>
      <c r="AJ1209" s="1" t="s">
        <v>59</v>
      </c>
      <c r="AK1209" s="1" t="s">
        <v>60</v>
      </c>
      <c r="AL1209" s="1" t="s">
        <v>60</v>
      </c>
      <c r="AW1209" s="1" t="s">
        <v>2117</v>
      </c>
      <c r="AY1209" s="1">
        <v>1.0</v>
      </c>
      <c r="AZ1209" s="1">
        <v>69.99</v>
      </c>
      <c r="BB1209" s="1">
        <v>69.99</v>
      </c>
    </row>
    <row r="1210">
      <c r="A1210" s="1" t="s">
        <v>525</v>
      </c>
      <c r="C1210" s="1" t="s">
        <v>56</v>
      </c>
      <c r="D1210" s="1" t="s">
        <v>2118</v>
      </c>
      <c r="Y1210" s="2">
        <v>45516.0</v>
      </c>
      <c r="AE1210" s="1">
        <v>54.99</v>
      </c>
      <c r="AG1210" s="3" t="str">
        <f>"2000009020206772"</f>
        <v>2000009020206772</v>
      </c>
      <c r="AH1210" s="1" t="s">
        <v>58</v>
      </c>
      <c r="AI1210" s="1" t="s">
        <v>59</v>
      </c>
      <c r="AJ1210" s="1" t="s">
        <v>59</v>
      </c>
      <c r="AK1210" s="1" t="s">
        <v>60</v>
      </c>
      <c r="AL1210" s="1" t="s">
        <v>60</v>
      </c>
      <c r="AW1210" s="1" t="s">
        <v>497</v>
      </c>
      <c r="AY1210" s="1">
        <v>1.0</v>
      </c>
      <c r="AZ1210" s="1">
        <v>54.99</v>
      </c>
      <c r="BB1210" s="1">
        <v>54.99</v>
      </c>
    </row>
    <row r="1211">
      <c r="A1211" s="1" t="s">
        <v>175</v>
      </c>
      <c r="C1211" s="1" t="s">
        <v>56</v>
      </c>
      <c r="D1211" s="1" t="s">
        <v>2119</v>
      </c>
      <c r="Y1211" s="2">
        <v>45516.0</v>
      </c>
      <c r="AE1211" s="1">
        <v>199.99</v>
      </c>
      <c r="AG1211" s="3" t="str">
        <f>"2000006166270033"</f>
        <v>2000006166270033</v>
      </c>
      <c r="AH1211" s="1" t="s">
        <v>58</v>
      </c>
      <c r="AI1211" s="1" t="s">
        <v>59</v>
      </c>
      <c r="AJ1211" s="1" t="s">
        <v>59</v>
      </c>
      <c r="AK1211" s="1" t="s">
        <v>60</v>
      </c>
      <c r="AL1211" s="1" t="s">
        <v>60</v>
      </c>
      <c r="AW1211" s="1" t="s">
        <v>177</v>
      </c>
      <c r="AY1211" s="1">
        <v>1.0</v>
      </c>
      <c r="AZ1211" s="1">
        <v>199.99</v>
      </c>
      <c r="BB1211" s="1">
        <v>199.99</v>
      </c>
    </row>
    <row r="1212">
      <c r="A1212" s="1" t="s">
        <v>1228</v>
      </c>
      <c r="C1212" s="1" t="s">
        <v>56</v>
      </c>
      <c r="D1212" s="1" t="s">
        <v>2120</v>
      </c>
      <c r="Y1212" s="2">
        <v>45516.0</v>
      </c>
      <c r="AE1212" s="1">
        <v>109.99</v>
      </c>
      <c r="AG1212" s="3" t="str">
        <f>"2000009020842642"</f>
        <v>2000009020842642</v>
      </c>
      <c r="AH1212" s="1" t="s">
        <v>58</v>
      </c>
      <c r="AI1212" s="1" t="s">
        <v>59</v>
      </c>
      <c r="AJ1212" s="1" t="s">
        <v>59</v>
      </c>
      <c r="AK1212" s="1" t="s">
        <v>60</v>
      </c>
      <c r="AL1212" s="1" t="s">
        <v>60</v>
      </c>
      <c r="AW1212" s="1" t="s">
        <v>1230</v>
      </c>
      <c r="AY1212" s="1">
        <v>1.0</v>
      </c>
      <c r="AZ1212" s="1">
        <v>109.99</v>
      </c>
      <c r="BB1212" s="1">
        <v>109.99</v>
      </c>
    </row>
    <row r="1213">
      <c r="A1213" s="1" t="s">
        <v>947</v>
      </c>
      <c r="C1213" s="1" t="s">
        <v>56</v>
      </c>
      <c r="D1213" s="1" t="s">
        <v>2121</v>
      </c>
      <c r="Y1213" s="2">
        <v>45516.0</v>
      </c>
      <c r="AE1213" s="1">
        <v>129.99</v>
      </c>
      <c r="AG1213" s="3" t="str">
        <f>"2000006166183033"</f>
        <v>2000006166183033</v>
      </c>
      <c r="AH1213" s="1" t="s">
        <v>58</v>
      </c>
      <c r="AI1213" s="1" t="s">
        <v>59</v>
      </c>
      <c r="AJ1213" s="1" t="s">
        <v>59</v>
      </c>
      <c r="AK1213" s="1" t="s">
        <v>60</v>
      </c>
      <c r="AL1213" s="1" t="s">
        <v>60</v>
      </c>
      <c r="AW1213" s="1" t="s">
        <v>949</v>
      </c>
      <c r="AY1213" s="1">
        <v>1.0</v>
      </c>
      <c r="AZ1213" s="1">
        <v>129.99</v>
      </c>
      <c r="BB1213" s="1">
        <v>129.99</v>
      </c>
    </row>
    <row r="1214">
      <c r="A1214" s="1" t="s">
        <v>2122</v>
      </c>
      <c r="C1214" s="1" t="s">
        <v>56</v>
      </c>
      <c r="D1214" s="1" t="s">
        <v>2123</v>
      </c>
      <c r="Y1214" s="2">
        <v>45516.0</v>
      </c>
      <c r="AE1214" s="1">
        <v>109.99</v>
      </c>
      <c r="AG1214" s="3" t="str">
        <f>"2000006166226939"</f>
        <v>2000006166226939</v>
      </c>
      <c r="AH1214" s="1" t="s">
        <v>58</v>
      </c>
      <c r="AI1214" s="1" t="s">
        <v>59</v>
      </c>
      <c r="AJ1214" s="1" t="s">
        <v>59</v>
      </c>
      <c r="AK1214" s="1" t="s">
        <v>60</v>
      </c>
      <c r="AL1214" s="1" t="s">
        <v>60</v>
      </c>
      <c r="AW1214" s="1" t="s">
        <v>1631</v>
      </c>
      <c r="AY1214" s="1">
        <v>1.0</v>
      </c>
      <c r="AZ1214" s="1">
        <v>109.99</v>
      </c>
      <c r="BB1214" s="1">
        <v>109.99</v>
      </c>
    </row>
    <row r="1215">
      <c r="A1215" s="1" t="s">
        <v>1748</v>
      </c>
      <c r="C1215" s="1" t="s">
        <v>56</v>
      </c>
      <c r="D1215" s="1" t="s">
        <v>2124</v>
      </c>
      <c r="Y1215" s="2">
        <v>45516.0</v>
      </c>
      <c r="AE1215" s="1">
        <v>69.99</v>
      </c>
      <c r="AG1215" s="3" t="str">
        <f>"2000006166238845"</f>
        <v>2000006166238845</v>
      </c>
      <c r="AH1215" s="1" t="s">
        <v>58</v>
      </c>
      <c r="AI1215" s="1" t="s">
        <v>59</v>
      </c>
      <c r="AJ1215" s="1" t="s">
        <v>59</v>
      </c>
      <c r="AK1215" s="1" t="s">
        <v>60</v>
      </c>
      <c r="AL1215" s="1" t="s">
        <v>60</v>
      </c>
      <c r="AW1215" s="1" t="s">
        <v>1750</v>
      </c>
      <c r="AY1215" s="1">
        <v>1.0</v>
      </c>
      <c r="AZ1215" s="1">
        <v>69.99</v>
      </c>
      <c r="BB1215" s="1">
        <v>69.99</v>
      </c>
    </row>
    <row r="1216">
      <c r="A1216" s="1" t="s">
        <v>1293</v>
      </c>
      <c r="C1216" s="1" t="s">
        <v>56</v>
      </c>
      <c r="D1216" s="1" t="s">
        <v>2125</v>
      </c>
      <c r="Y1216" s="2">
        <v>45516.0</v>
      </c>
      <c r="AE1216" s="1">
        <v>124.99</v>
      </c>
      <c r="AG1216" s="3" t="str">
        <f>"2000006166118701"</f>
        <v>2000006166118701</v>
      </c>
      <c r="AH1216" s="1" t="s">
        <v>58</v>
      </c>
      <c r="AI1216" s="1" t="s">
        <v>59</v>
      </c>
      <c r="AJ1216" s="1" t="s">
        <v>59</v>
      </c>
      <c r="AK1216" s="1" t="s">
        <v>60</v>
      </c>
      <c r="AL1216" s="1" t="s">
        <v>60</v>
      </c>
      <c r="AW1216" s="1" t="s">
        <v>1295</v>
      </c>
      <c r="AY1216" s="1">
        <v>1.0</v>
      </c>
      <c r="AZ1216" s="1">
        <v>124.99</v>
      </c>
      <c r="BB1216" s="1">
        <v>124.99</v>
      </c>
    </row>
    <row r="1217">
      <c r="A1217" s="1" t="s">
        <v>2126</v>
      </c>
      <c r="C1217" s="1" t="s">
        <v>56</v>
      </c>
      <c r="D1217" s="1" t="s">
        <v>2127</v>
      </c>
      <c r="Y1217" s="2">
        <v>45516.0</v>
      </c>
      <c r="AE1217" s="1">
        <v>44.99</v>
      </c>
      <c r="AG1217" s="3" t="str">
        <f>"2000006166205343"</f>
        <v>2000006166205343</v>
      </c>
      <c r="AH1217" s="1" t="s">
        <v>58</v>
      </c>
      <c r="AI1217" s="1" t="s">
        <v>59</v>
      </c>
      <c r="AJ1217" s="1" t="s">
        <v>59</v>
      </c>
      <c r="AK1217" s="1" t="s">
        <v>60</v>
      </c>
      <c r="AL1217" s="1" t="s">
        <v>60</v>
      </c>
      <c r="AW1217" s="1" t="s">
        <v>2128</v>
      </c>
      <c r="AY1217" s="1">
        <v>1.0</v>
      </c>
      <c r="AZ1217" s="1">
        <v>44.99</v>
      </c>
      <c r="BB1217" s="1">
        <v>44.99</v>
      </c>
    </row>
    <row r="1218">
      <c r="A1218" s="1" t="s">
        <v>1466</v>
      </c>
      <c r="C1218" s="1" t="s">
        <v>56</v>
      </c>
      <c r="D1218" s="1" t="s">
        <v>2129</v>
      </c>
      <c r="Y1218" s="2">
        <v>45516.0</v>
      </c>
      <c r="AE1218" s="1">
        <v>129.99</v>
      </c>
      <c r="AG1218" s="3" t="str">
        <f>"2000006166190553"</f>
        <v>2000006166190553</v>
      </c>
      <c r="AH1218" s="1" t="s">
        <v>58</v>
      </c>
      <c r="AI1218" s="1" t="s">
        <v>59</v>
      </c>
      <c r="AJ1218" s="1" t="s">
        <v>59</v>
      </c>
      <c r="AK1218" s="1" t="s">
        <v>60</v>
      </c>
      <c r="AL1218" s="1" t="s">
        <v>60</v>
      </c>
      <c r="AW1218" s="1" t="s">
        <v>1468</v>
      </c>
      <c r="AY1218" s="1">
        <v>1.0</v>
      </c>
      <c r="AZ1218" s="1">
        <v>129.99</v>
      </c>
      <c r="BB1218" s="1">
        <v>129.99</v>
      </c>
    </row>
    <row r="1219">
      <c r="A1219" s="1" t="s">
        <v>577</v>
      </c>
      <c r="C1219" s="1" t="s">
        <v>56</v>
      </c>
      <c r="D1219" s="1" t="s">
        <v>2130</v>
      </c>
      <c r="Y1219" s="2">
        <v>45516.0</v>
      </c>
      <c r="AE1219" s="1">
        <v>52.99</v>
      </c>
      <c r="AG1219" s="3" t="str">
        <f>"2000009020691848"</f>
        <v>2000009020691848</v>
      </c>
      <c r="AH1219" s="1" t="s">
        <v>58</v>
      </c>
      <c r="AI1219" s="1" t="s">
        <v>59</v>
      </c>
      <c r="AJ1219" s="1" t="s">
        <v>59</v>
      </c>
      <c r="AK1219" s="1" t="s">
        <v>60</v>
      </c>
      <c r="AL1219" s="1" t="s">
        <v>60</v>
      </c>
      <c r="AW1219" s="1" t="s">
        <v>579</v>
      </c>
      <c r="AY1219" s="1">
        <v>1.0</v>
      </c>
      <c r="AZ1219" s="1">
        <v>52.99</v>
      </c>
      <c r="BB1219" s="1">
        <v>52.99</v>
      </c>
    </row>
    <row r="1220">
      <c r="A1220" s="1" t="s">
        <v>2131</v>
      </c>
      <c r="C1220" s="1" t="s">
        <v>56</v>
      </c>
      <c r="D1220" s="1" t="s">
        <v>2132</v>
      </c>
      <c r="Y1220" s="2">
        <v>45516.0</v>
      </c>
      <c r="AE1220" s="1">
        <v>79.99</v>
      </c>
      <c r="AG1220" s="3" t="str">
        <f>"2000009020704696"</f>
        <v>2000009020704696</v>
      </c>
      <c r="AH1220" s="1" t="s">
        <v>58</v>
      </c>
      <c r="AI1220" s="1" t="s">
        <v>59</v>
      </c>
      <c r="AJ1220" s="1" t="s">
        <v>59</v>
      </c>
      <c r="AK1220" s="1" t="s">
        <v>60</v>
      </c>
      <c r="AL1220" s="1" t="s">
        <v>60</v>
      </c>
      <c r="AW1220" s="1" t="s">
        <v>868</v>
      </c>
      <c r="AY1220" s="1">
        <v>1.0</v>
      </c>
      <c r="AZ1220" s="1">
        <v>79.99</v>
      </c>
      <c r="BB1220" s="1">
        <v>79.99</v>
      </c>
    </row>
    <row r="1221">
      <c r="A1221" s="1" t="s">
        <v>886</v>
      </c>
      <c r="C1221" s="1" t="s">
        <v>56</v>
      </c>
      <c r="D1221" s="1" t="s">
        <v>2133</v>
      </c>
      <c r="Y1221" s="2">
        <v>45516.0</v>
      </c>
      <c r="AE1221" s="1">
        <v>69.99</v>
      </c>
      <c r="AG1221" s="3" t="str">
        <f>"2000006166163431"</f>
        <v>2000006166163431</v>
      </c>
      <c r="AH1221" s="1" t="s">
        <v>58</v>
      </c>
      <c r="AI1221" s="1" t="s">
        <v>59</v>
      </c>
      <c r="AJ1221" s="1" t="s">
        <v>59</v>
      </c>
      <c r="AK1221" s="1" t="s">
        <v>60</v>
      </c>
      <c r="AL1221" s="1" t="s">
        <v>60</v>
      </c>
      <c r="AW1221" s="1" t="s">
        <v>888</v>
      </c>
      <c r="AY1221" s="1">
        <v>1.0</v>
      </c>
      <c r="AZ1221" s="1">
        <v>69.99</v>
      </c>
      <c r="BB1221" s="1">
        <v>69.99</v>
      </c>
    </row>
    <row r="1222">
      <c r="A1222" s="1" t="s">
        <v>77</v>
      </c>
      <c r="C1222" s="1" t="s">
        <v>56</v>
      </c>
      <c r="D1222" s="1" t="s">
        <v>2134</v>
      </c>
      <c r="Y1222" s="2">
        <v>45516.0</v>
      </c>
      <c r="AE1222" s="1">
        <v>64.99</v>
      </c>
      <c r="AG1222" s="3" t="str">
        <f>"2000006166137657"</f>
        <v>2000006166137657</v>
      </c>
      <c r="AH1222" s="1" t="s">
        <v>58</v>
      </c>
      <c r="AI1222" s="1" t="s">
        <v>59</v>
      </c>
      <c r="AJ1222" s="1" t="s">
        <v>59</v>
      </c>
      <c r="AK1222" s="1" t="s">
        <v>60</v>
      </c>
      <c r="AL1222" s="1" t="s">
        <v>60</v>
      </c>
      <c r="AW1222" s="1" t="s">
        <v>79</v>
      </c>
      <c r="AY1222" s="1">
        <v>1.0</v>
      </c>
      <c r="AZ1222" s="1">
        <v>64.99</v>
      </c>
      <c r="BB1222" s="1">
        <v>64.99</v>
      </c>
    </row>
    <row r="1223">
      <c r="A1223" s="1" t="s">
        <v>407</v>
      </c>
      <c r="C1223" s="1" t="s">
        <v>56</v>
      </c>
      <c r="D1223" s="1" t="s">
        <v>2135</v>
      </c>
      <c r="Y1223" s="2">
        <v>45516.0</v>
      </c>
      <c r="AE1223" s="1">
        <v>94.99</v>
      </c>
      <c r="AG1223" s="3" t="str">
        <f>"2000006166130071"</f>
        <v>2000006166130071</v>
      </c>
      <c r="AH1223" s="1" t="s">
        <v>58</v>
      </c>
      <c r="AI1223" s="1" t="s">
        <v>59</v>
      </c>
      <c r="AJ1223" s="1" t="s">
        <v>59</v>
      </c>
      <c r="AK1223" s="1" t="s">
        <v>60</v>
      </c>
      <c r="AL1223" s="1" t="s">
        <v>60</v>
      </c>
      <c r="AW1223" s="1" t="s">
        <v>409</v>
      </c>
      <c r="AY1223" s="1">
        <v>1.0</v>
      </c>
      <c r="AZ1223" s="1">
        <v>94.99</v>
      </c>
      <c r="BB1223" s="1">
        <v>94.99</v>
      </c>
    </row>
    <row r="1224">
      <c r="A1224" s="1" t="s">
        <v>65</v>
      </c>
      <c r="C1224" s="1" t="s">
        <v>56</v>
      </c>
      <c r="D1224" s="1" t="s">
        <v>2136</v>
      </c>
      <c r="Y1224" s="2">
        <v>45516.0</v>
      </c>
      <c r="AE1224" s="1">
        <v>79.99</v>
      </c>
      <c r="AG1224" s="3" t="str">
        <f>"2000006166114213"</f>
        <v>2000006166114213</v>
      </c>
      <c r="AH1224" s="1" t="s">
        <v>58</v>
      </c>
      <c r="AI1224" s="1" t="s">
        <v>59</v>
      </c>
      <c r="AJ1224" s="1" t="s">
        <v>59</v>
      </c>
      <c r="AK1224" s="1" t="s">
        <v>60</v>
      </c>
      <c r="AL1224" s="1" t="s">
        <v>60</v>
      </c>
      <c r="AW1224" s="1" t="s">
        <v>67</v>
      </c>
      <c r="AY1224" s="1">
        <v>1.0</v>
      </c>
      <c r="AZ1224" s="1">
        <v>79.99</v>
      </c>
      <c r="BB1224" s="1">
        <v>79.99</v>
      </c>
    </row>
    <row r="1225">
      <c r="A1225" s="1" t="s">
        <v>2137</v>
      </c>
      <c r="C1225" s="1" t="s">
        <v>56</v>
      </c>
      <c r="D1225" s="1" t="s">
        <v>2138</v>
      </c>
      <c r="Y1225" s="2">
        <v>45516.0</v>
      </c>
      <c r="AE1225" s="1">
        <v>39.99</v>
      </c>
      <c r="AG1225" s="3" t="str">
        <f>"2000006166089669"</f>
        <v>2000006166089669</v>
      </c>
      <c r="AH1225" s="1" t="s">
        <v>58</v>
      </c>
      <c r="AI1225" s="1" t="s">
        <v>59</v>
      </c>
      <c r="AJ1225" s="1" t="s">
        <v>59</v>
      </c>
      <c r="AK1225" s="1" t="s">
        <v>60</v>
      </c>
      <c r="AL1225" s="1" t="s">
        <v>60</v>
      </c>
      <c r="AW1225" s="1" t="s">
        <v>2139</v>
      </c>
      <c r="AY1225" s="1">
        <v>1.0</v>
      </c>
      <c r="AZ1225" s="1">
        <v>39.99</v>
      </c>
      <c r="BB1225" s="1">
        <v>39.99</v>
      </c>
    </row>
    <row r="1226">
      <c r="A1226" s="1" t="s">
        <v>1384</v>
      </c>
      <c r="C1226" s="1" t="s">
        <v>56</v>
      </c>
      <c r="D1226" s="1" t="s">
        <v>2140</v>
      </c>
      <c r="Y1226" s="2">
        <v>45516.0</v>
      </c>
      <c r="AE1226" s="1">
        <v>129.99</v>
      </c>
      <c r="AG1226" s="3" t="str">
        <f>"2000009020527942"</f>
        <v>2000009020527942</v>
      </c>
      <c r="AH1226" s="1" t="s">
        <v>58</v>
      </c>
      <c r="AI1226" s="1" t="s">
        <v>59</v>
      </c>
      <c r="AJ1226" s="1" t="s">
        <v>59</v>
      </c>
      <c r="AK1226" s="1" t="s">
        <v>60</v>
      </c>
      <c r="AL1226" s="1" t="s">
        <v>60</v>
      </c>
      <c r="AW1226" s="1" t="s">
        <v>2141</v>
      </c>
      <c r="AY1226" s="1">
        <v>1.0</v>
      </c>
      <c r="AZ1226" s="1">
        <v>129.99</v>
      </c>
      <c r="BB1226" s="1">
        <v>129.99</v>
      </c>
    </row>
    <row r="1227">
      <c r="A1227" s="1" t="s">
        <v>377</v>
      </c>
      <c r="C1227" s="1" t="s">
        <v>56</v>
      </c>
      <c r="D1227" s="1" t="s">
        <v>2142</v>
      </c>
      <c r="Y1227" s="2">
        <v>45516.0</v>
      </c>
      <c r="AE1227" s="1">
        <v>64.99</v>
      </c>
      <c r="AG1227" s="3" t="str">
        <f>"2000009020479318"</f>
        <v>2000009020479318</v>
      </c>
      <c r="AH1227" s="1" t="s">
        <v>58</v>
      </c>
      <c r="AI1227" s="1" t="s">
        <v>59</v>
      </c>
      <c r="AJ1227" s="1" t="s">
        <v>59</v>
      </c>
      <c r="AK1227" s="1" t="s">
        <v>60</v>
      </c>
      <c r="AL1227" s="1" t="s">
        <v>60</v>
      </c>
      <c r="AW1227" s="1" t="s">
        <v>79</v>
      </c>
      <c r="AY1227" s="1">
        <v>1.0</v>
      </c>
      <c r="AZ1227" s="1">
        <v>64.99</v>
      </c>
      <c r="BB1227" s="1">
        <v>64.99</v>
      </c>
    </row>
    <row r="1228">
      <c r="A1228" s="1" t="s">
        <v>2143</v>
      </c>
      <c r="C1228" s="1" t="s">
        <v>56</v>
      </c>
      <c r="D1228" s="1" t="s">
        <v>2144</v>
      </c>
      <c r="Y1228" s="2">
        <v>45516.0</v>
      </c>
      <c r="AE1228" s="1">
        <v>99.99</v>
      </c>
      <c r="AG1228" s="3" t="str">
        <f>"2000006166054105"</f>
        <v>2000006166054105</v>
      </c>
      <c r="AH1228" s="1" t="s">
        <v>58</v>
      </c>
      <c r="AI1228" s="1" t="s">
        <v>59</v>
      </c>
      <c r="AJ1228" s="1" t="s">
        <v>59</v>
      </c>
      <c r="AK1228" s="1" t="s">
        <v>60</v>
      </c>
      <c r="AL1228" s="1" t="s">
        <v>60</v>
      </c>
      <c r="AW1228" s="1" t="s">
        <v>2145</v>
      </c>
      <c r="AY1228" s="1">
        <v>1.0</v>
      </c>
      <c r="AZ1228" s="1">
        <v>99.99</v>
      </c>
      <c r="BB1228" s="1">
        <v>99.99</v>
      </c>
    </row>
    <row r="1229">
      <c r="A1229" s="1" t="s">
        <v>950</v>
      </c>
      <c r="C1229" s="1" t="s">
        <v>56</v>
      </c>
      <c r="D1229" s="1" t="s">
        <v>2146</v>
      </c>
      <c r="Y1229" s="2">
        <v>45516.0</v>
      </c>
      <c r="AE1229" s="1">
        <v>119.99</v>
      </c>
      <c r="AG1229" s="3" t="str">
        <f>"2000006166046891"</f>
        <v>2000006166046891</v>
      </c>
      <c r="AH1229" s="1" t="s">
        <v>58</v>
      </c>
      <c r="AI1229" s="1" t="s">
        <v>59</v>
      </c>
      <c r="AJ1229" s="1" t="s">
        <v>59</v>
      </c>
      <c r="AK1229" s="1" t="s">
        <v>60</v>
      </c>
      <c r="AL1229" s="1" t="s">
        <v>60</v>
      </c>
      <c r="AW1229" s="1" t="s">
        <v>952</v>
      </c>
      <c r="AY1229" s="1">
        <v>1.0</v>
      </c>
      <c r="AZ1229" s="1">
        <v>119.99</v>
      </c>
      <c r="BB1229" s="1">
        <v>119.99</v>
      </c>
    </row>
    <row r="1230">
      <c r="A1230" s="1" t="s">
        <v>2147</v>
      </c>
      <c r="C1230" s="1" t="s">
        <v>56</v>
      </c>
      <c r="D1230" s="1" t="s">
        <v>2148</v>
      </c>
      <c r="Y1230" s="2">
        <v>45516.0</v>
      </c>
      <c r="AE1230" s="1">
        <v>89.99</v>
      </c>
      <c r="AG1230" s="3" t="str">
        <f>"2000006166024907"</f>
        <v>2000006166024907</v>
      </c>
      <c r="AH1230" s="1" t="s">
        <v>58</v>
      </c>
      <c r="AI1230" s="1" t="s">
        <v>59</v>
      </c>
      <c r="AJ1230" s="1" t="s">
        <v>59</v>
      </c>
      <c r="AK1230" s="1" t="s">
        <v>60</v>
      </c>
      <c r="AL1230" s="1" t="s">
        <v>60</v>
      </c>
      <c r="AW1230" s="1" t="s">
        <v>2149</v>
      </c>
      <c r="AY1230" s="1">
        <v>1.0</v>
      </c>
      <c r="AZ1230" s="1">
        <v>89.99</v>
      </c>
      <c r="BB1230" s="1">
        <v>89.99</v>
      </c>
    </row>
    <row r="1231">
      <c r="A1231" s="1" t="s">
        <v>496</v>
      </c>
      <c r="C1231" s="1" t="s">
        <v>56</v>
      </c>
      <c r="D1231" s="1" t="s">
        <v>2150</v>
      </c>
      <c r="Y1231" s="2">
        <v>45516.0</v>
      </c>
      <c r="AE1231" s="1">
        <v>109.98</v>
      </c>
      <c r="AG1231" s="3" t="str">
        <f>"2000006165983245"</f>
        <v>2000006165983245</v>
      </c>
      <c r="AH1231" s="1" t="s">
        <v>58</v>
      </c>
      <c r="AI1231" s="1" t="s">
        <v>59</v>
      </c>
      <c r="AJ1231" s="1" t="s">
        <v>59</v>
      </c>
      <c r="AK1231" s="1" t="s">
        <v>60</v>
      </c>
      <c r="AL1231" s="1" t="s">
        <v>60</v>
      </c>
      <c r="AW1231" s="1" t="s">
        <v>497</v>
      </c>
      <c r="AY1231" s="1">
        <v>2.0</v>
      </c>
      <c r="AZ1231" s="1">
        <v>54.99</v>
      </c>
      <c r="BB1231" s="1">
        <v>109.98</v>
      </c>
    </row>
    <row r="1232">
      <c r="A1232" s="1" t="s">
        <v>236</v>
      </c>
      <c r="C1232" s="1" t="s">
        <v>235</v>
      </c>
      <c r="D1232" s="1" t="s">
        <v>1207</v>
      </c>
      <c r="Y1232" s="2">
        <v>45516.0</v>
      </c>
      <c r="AE1232" s="1">
        <v>119.99</v>
      </c>
      <c r="AG1232" s="3" t="str">
        <f>"2000006165977737"</f>
        <v>2000006165977737</v>
      </c>
      <c r="AH1232" s="1" t="s">
        <v>58</v>
      </c>
      <c r="AI1232" s="1" t="s">
        <v>59</v>
      </c>
      <c r="AJ1232" s="1" t="s">
        <v>59</v>
      </c>
      <c r="AK1232" s="1" t="s">
        <v>60</v>
      </c>
      <c r="AL1232" s="1" t="s">
        <v>60</v>
      </c>
      <c r="AW1232" s="1" t="s">
        <v>238</v>
      </c>
      <c r="AY1232" s="1">
        <v>1.0</v>
      </c>
      <c r="AZ1232" s="1">
        <v>119.99</v>
      </c>
      <c r="BB1232" s="1">
        <v>119.99</v>
      </c>
    </row>
    <row r="1233">
      <c r="A1233" s="1" t="s">
        <v>368</v>
      </c>
      <c r="C1233" s="1" t="s">
        <v>56</v>
      </c>
      <c r="D1233" s="1" t="s">
        <v>2151</v>
      </c>
      <c r="Y1233" s="2">
        <v>45516.0</v>
      </c>
      <c r="AE1233" s="1">
        <v>94.99</v>
      </c>
      <c r="AG1233" s="3" t="str">
        <f>"2000006165934771"</f>
        <v>2000006165934771</v>
      </c>
      <c r="AH1233" s="1" t="s">
        <v>58</v>
      </c>
      <c r="AI1233" s="1" t="s">
        <v>59</v>
      </c>
      <c r="AJ1233" s="1" t="s">
        <v>59</v>
      </c>
      <c r="AK1233" s="1" t="s">
        <v>60</v>
      </c>
      <c r="AL1233" s="1" t="s">
        <v>60</v>
      </c>
      <c r="AW1233" s="1" t="s">
        <v>370</v>
      </c>
      <c r="AY1233" s="1">
        <v>1.0</v>
      </c>
      <c r="AZ1233" s="1">
        <v>94.99</v>
      </c>
      <c r="BB1233" s="1">
        <v>94.99</v>
      </c>
    </row>
    <row r="1234">
      <c r="A1234" s="1" t="s">
        <v>1391</v>
      </c>
      <c r="C1234" s="1" t="s">
        <v>56</v>
      </c>
      <c r="D1234" s="1" t="s">
        <v>2152</v>
      </c>
      <c r="Y1234" s="2">
        <v>45516.0</v>
      </c>
      <c r="AE1234" s="1">
        <v>479.99</v>
      </c>
      <c r="AG1234" s="3" t="str">
        <f t="shared" ref="AG1234:AG1235" si="51">"2000006165886389"</f>
        <v>2000006165886389</v>
      </c>
      <c r="AH1234" s="1" t="s">
        <v>58</v>
      </c>
      <c r="AI1234" s="1" t="s">
        <v>59</v>
      </c>
      <c r="AJ1234" s="1" t="s">
        <v>59</v>
      </c>
      <c r="AK1234" s="1" t="s">
        <v>60</v>
      </c>
      <c r="AL1234" s="1" t="s">
        <v>60</v>
      </c>
      <c r="AW1234" s="1" t="s">
        <v>1393</v>
      </c>
      <c r="AY1234" s="1">
        <v>1.0</v>
      </c>
      <c r="AZ1234" s="1">
        <v>479.99</v>
      </c>
      <c r="BB1234" s="1">
        <v>479.99</v>
      </c>
    </row>
    <row r="1235">
      <c r="A1235" s="1" t="s">
        <v>2153</v>
      </c>
      <c r="C1235" s="1" t="s">
        <v>56</v>
      </c>
      <c r="D1235" s="1" t="s">
        <v>2152</v>
      </c>
      <c r="Y1235" s="2">
        <v>45516.0</v>
      </c>
      <c r="AE1235" s="1">
        <v>59.99</v>
      </c>
      <c r="AG1235" s="3" t="str">
        <f t="shared" si="51"/>
        <v>2000006165886389</v>
      </c>
      <c r="AH1235" s="1" t="s">
        <v>58</v>
      </c>
      <c r="AI1235" s="1" t="s">
        <v>59</v>
      </c>
      <c r="AJ1235" s="1" t="s">
        <v>59</v>
      </c>
      <c r="AK1235" s="1" t="s">
        <v>60</v>
      </c>
      <c r="AL1235" s="1" t="s">
        <v>60</v>
      </c>
      <c r="AW1235" s="1" t="s">
        <v>2154</v>
      </c>
      <c r="AY1235" s="1">
        <v>1.0</v>
      </c>
      <c r="AZ1235" s="1">
        <v>59.99</v>
      </c>
      <c r="BB1235" s="1">
        <v>59.99</v>
      </c>
    </row>
    <row r="1236">
      <c r="A1236" s="1" t="s">
        <v>1031</v>
      </c>
      <c r="C1236" s="1" t="s">
        <v>56</v>
      </c>
      <c r="D1236" s="1" t="s">
        <v>2155</v>
      </c>
      <c r="Y1236" s="2">
        <v>45516.0</v>
      </c>
      <c r="AE1236" s="1">
        <v>69.99</v>
      </c>
      <c r="AG1236" s="3" t="str">
        <f>"2000006165862641"</f>
        <v>2000006165862641</v>
      </c>
      <c r="AH1236" s="1" t="s">
        <v>58</v>
      </c>
      <c r="AI1236" s="1" t="s">
        <v>59</v>
      </c>
      <c r="AJ1236" s="1" t="s">
        <v>59</v>
      </c>
      <c r="AK1236" s="1" t="s">
        <v>60</v>
      </c>
      <c r="AL1236" s="1" t="s">
        <v>60</v>
      </c>
      <c r="AW1236" s="1" t="s">
        <v>1033</v>
      </c>
      <c r="AY1236" s="1">
        <v>1.0</v>
      </c>
      <c r="AZ1236" s="1">
        <v>69.99</v>
      </c>
      <c r="BB1236" s="1">
        <v>69.99</v>
      </c>
    </row>
    <row r="1237">
      <c r="A1237" s="1" t="s">
        <v>619</v>
      </c>
      <c r="C1237" s="1" t="s">
        <v>56</v>
      </c>
      <c r="D1237" s="1" t="s">
        <v>2156</v>
      </c>
      <c r="Y1237" s="2">
        <v>45516.0</v>
      </c>
      <c r="AE1237" s="1">
        <v>139.99</v>
      </c>
      <c r="AG1237" s="3" t="str">
        <f>"2000006165826109"</f>
        <v>2000006165826109</v>
      </c>
      <c r="AH1237" s="1" t="s">
        <v>58</v>
      </c>
      <c r="AI1237" s="1" t="s">
        <v>59</v>
      </c>
      <c r="AJ1237" s="1" t="s">
        <v>59</v>
      </c>
      <c r="AK1237" s="1" t="s">
        <v>60</v>
      </c>
      <c r="AL1237" s="1" t="s">
        <v>60</v>
      </c>
      <c r="AW1237" s="1" t="s">
        <v>621</v>
      </c>
      <c r="AY1237" s="1">
        <v>1.0</v>
      </c>
      <c r="AZ1237" s="1">
        <v>139.99</v>
      </c>
      <c r="BB1237" s="1">
        <v>139.99</v>
      </c>
    </row>
    <row r="1238">
      <c r="A1238" s="1" t="s">
        <v>947</v>
      </c>
      <c r="C1238" s="1" t="s">
        <v>56</v>
      </c>
      <c r="D1238" s="1" t="s">
        <v>2157</v>
      </c>
      <c r="Y1238" s="2">
        <v>45516.0</v>
      </c>
      <c r="AE1238" s="1">
        <v>129.99</v>
      </c>
      <c r="AG1238" s="3" t="str">
        <f t="shared" ref="AG1238:AG1239" si="52">"2000006165813989"</f>
        <v>2000006165813989</v>
      </c>
      <c r="AH1238" s="1" t="s">
        <v>58</v>
      </c>
      <c r="AI1238" s="1" t="s">
        <v>59</v>
      </c>
      <c r="AJ1238" s="1" t="s">
        <v>59</v>
      </c>
      <c r="AK1238" s="1" t="s">
        <v>60</v>
      </c>
      <c r="AL1238" s="1" t="s">
        <v>60</v>
      </c>
      <c r="AW1238" s="1" t="s">
        <v>949</v>
      </c>
      <c r="AY1238" s="1">
        <v>1.0</v>
      </c>
      <c r="AZ1238" s="1">
        <v>129.99</v>
      </c>
      <c r="BB1238" s="1">
        <v>129.99</v>
      </c>
    </row>
    <row r="1239">
      <c r="A1239" s="1" t="s">
        <v>2158</v>
      </c>
      <c r="C1239" s="1" t="s">
        <v>56</v>
      </c>
      <c r="D1239" s="1" t="s">
        <v>2157</v>
      </c>
      <c r="Y1239" s="2">
        <v>45516.0</v>
      </c>
      <c r="AE1239" s="1">
        <v>89.99</v>
      </c>
      <c r="AG1239" s="3" t="str">
        <f t="shared" si="52"/>
        <v>2000006165813989</v>
      </c>
      <c r="AH1239" s="1" t="s">
        <v>58</v>
      </c>
      <c r="AI1239" s="1" t="s">
        <v>59</v>
      </c>
      <c r="AJ1239" s="1" t="s">
        <v>59</v>
      </c>
      <c r="AK1239" s="1" t="s">
        <v>60</v>
      </c>
      <c r="AL1239" s="1" t="s">
        <v>60</v>
      </c>
      <c r="AW1239" s="1" t="s">
        <v>2159</v>
      </c>
      <c r="AY1239" s="1">
        <v>1.0</v>
      </c>
      <c r="AZ1239" s="1">
        <v>89.99</v>
      </c>
      <c r="BB1239" s="1">
        <v>89.99</v>
      </c>
    </row>
    <row r="1240">
      <c r="A1240" s="1" t="s">
        <v>776</v>
      </c>
      <c r="C1240" s="1" t="s">
        <v>56</v>
      </c>
      <c r="D1240" s="1" t="s">
        <v>2160</v>
      </c>
      <c r="Y1240" s="2">
        <v>45516.0</v>
      </c>
      <c r="AE1240" s="1">
        <v>79.99</v>
      </c>
      <c r="AG1240" s="3" t="str">
        <f>"2000006165800249"</f>
        <v>2000006165800249</v>
      </c>
      <c r="AH1240" s="1" t="s">
        <v>58</v>
      </c>
      <c r="AI1240" s="1" t="s">
        <v>59</v>
      </c>
      <c r="AJ1240" s="1" t="s">
        <v>59</v>
      </c>
      <c r="AK1240" s="1" t="s">
        <v>60</v>
      </c>
      <c r="AL1240" s="1" t="s">
        <v>60</v>
      </c>
      <c r="AW1240" s="1" t="s">
        <v>778</v>
      </c>
      <c r="AY1240" s="1">
        <v>1.0</v>
      </c>
      <c r="AZ1240" s="1">
        <v>79.99</v>
      </c>
      <c r="BB1240" s="1">
        <v>79.99</v>
      </c>
    </row>
    <row r="1241">
      <c r="A1241" s="1" t="s">
        <v>98</v>
      </c>
      <c r="C1241" s="1" t="s">
        <v>56</v>
      </c>
      <c r="D1241" s="1" t="s">
        <v>2161</v>
      </c>
      <c r="Y1241" s="2">
        <v>45516.0</v>
      </c>
      <c r="AE1241" s="1">
        <v>45.99</v>
      </c>
      <c r="AG1241" s="3" t="str">
        <f>"2000006165786035"</f>
        <v>2000006165786035</v>
      </c>
      <c r="AH1241" s="1" t="s">
        <v>58</v>
      </c>
      <c r="AI1241" s="1" t="s">
        <v>59</v>
      </c>
      <c r="AJ1241" s="1" t="s">
        <v>59</v>
      </c>
      <c r="AK1241" s="1" t="s">
        <v>60</v>
      </c>
      <c r="AL1241" s="1" t="s">
        <v>60</v>
      </c>
      <c r="AW1241" s="1" t="s">
        <v>100</v>
      </c>
      <c r="AY1241" s="1">
        <v>1.0</v>
      </c>
      <c r="AZ1241" s="1">
        <v>45.99</v>
      </c>
      <c r="BB1241" s="1">
        <v>45.99</v>
      </c>
    </row>
    <row r="1242">
      <c r="A1242" s="1" t="s">
        <v>2162</v>
      </c>
      <c r="C1242" s="1" t="s">
        <v>56</v>
      </c>
      <c r="D1242" s="1" t="s">
        <v>2163</v>
      </c>
      <c r="Y1242" s="2">
        <v>45516.0</v>
      </c>
      <c r="AE1242" s="1">
        <v>39.99</v>
      </c>
      <c r="AG1242" s="3" t="str">
        <f>"2000006165767591"</f>
        <v>2000006165767591</v>
      </c>
      <c r="AH1242" s="1" t="s">
        <v>58</v>
      </c>
      <c r="AI1242" s="1" t="s">
        <v>59</v>
      </c>
      <c r="AJ1242" s="1" t="s">
        <v>59</v>
      </c>
      <c r="AK1242" s="1" t="s">
        <v>60</v>
      </c>
      <c r="AL1242" s="1" t="s">
        <v>60</v>
      </c>
      <c r="AW1242" s="1" t="s">
        <v>2164</v>
      </c>
      <c r="AY1242" s="1">
        <v>1.0</v>
      </c>
      <c r="AZ1242" s="1">
        <v>39.99</v>
      </c>
      <c r="BB1242" s="1">
        <v>39.99</v>
      </c>
    </row>
    <row r="1243">
      <c r="A1243" s="1" t="s">
        <v>114</v>
      </c>
      <c r="C1243" s="1" t="s">
        <v>56</v>
      </c>
      <c r="D1243" s="1" t="s">
        <v>2165</v>
      </c>
      <c r="Y1243" s="2">
        <v>45516.0</v>
      </c>
      <c r="AE1243" s="1">
        <v>84.99</v>
      </c>
      <c r="AG1243" s="3" t="str">
        <f>"2000006165620135"</f>
        <v>2000006165620135</v>
      </c>
      <c r="AH1243" s="1" t="s">
        <v>58</v>
      </c>
      <c r="AI1243" s="1" t="s">
        <v>59</v>
      </c>
      <c r="AJ1243" s="1" t="s">
        <v>59</v>
      </c>
      <c r="AK1243" s="1" t="s">
        <v>60</v>
      </c>
      <c r="AL1243" s="1" t="s">
        <v>60</v>
      </c>
      <c r="AW1243" s="1" t="s">
        <v>116</v>
      </c>
      <c r="AY1243" s="1">
        <v>1.0</v>
      </c>
      <c r="AZ1243" s="1">
        <v>84.99</v>
      </c>
      <c r="BB1243" s="1">
        <v>84.99</v>
      </c>
    </row>
    <row r="1244">
      <c r="A1244" s="1" t="s">
        <v>1521</v>
      </c>
      <c r="C1244" s="1" t="s">
        <v>56</v>
      </c>
      <c r="D1244" s="1" t="s">
        <v>2166</v>
      </c>
      <c r="Y1244" s="2">
        <v>45516.0</v>
      </c>
      <c r="AE1244" s="1">
        <v>49.99</v>
      </c>
      <c r="AG1244" s="3" t="str">
        <f>"2000009019888788"</f>
        <v>2000009019888788</v>
      </c>
      <c r="AH1244" s="1" t="s">
        <v>58</v>
      </c>
      <c r="AI1244" s="1" t="s">
        <v>59</v>
      </c>
      <c r="AJ1244" s="1" t="s">
        <v>59</v>
      </c>
      <c r="AK1244" s="1" t="s">
        <v>60</v>
      </c>
      <c r="AL1244" s="1" t="s">
        <v>60</v>
      </c>
      <c r="AW1244" s="1" t="s">
        <v>1523</v>
      </c>
      <c r="AY1244" s="1">
        <v>1.0</v>
      </c>
      <c r="AZ1244" s="1">
        <v>49.99</v>
      </c>
      <c r="BB1244" s="1">
        <v>49.99</v>
      </c>
    </row>
    <row r="1245">
      <c r="A1245" s="1" t="s">
        <v>307</v>
      </c>
      <c r="C1245" s="1" t="s">
        <v>56</v>
      </c>
      <c r="D1245" s="1" t="s">
        <v>2167</v>
      </c>
      <c r="Y1245" s="2">
        <v>45516.0</v>
      </c>
      <c r="AE1245" s="1">
        <v>64.99</v>
      </c>
      <c r="AG1245" s="3" t="str">
        <f>"2000006165712723"</f>
        <v>2000006165712723</v>
      </c>
      <c r="AH1245" s="1" t="s">
        <v>58</v>
      </c>
      <c r="AI1245" s="1" t="s">
        <v>59</v>
      </c>
      <c r="AJ1245" s="1" t="s">
        <v>59</v>
      </c>
      <c r="AK1245" s="1" t="s">
        <v>60</v>
      </c>
      <c r="AL1245" s="1" t="s">
        <v>60</v>
      </c>
      <c r="AW1245" s="1" t="s">
        <v>309</v>
      </c>
      <c r="AY1245" s="1">
        <v>1.0</v>
      </c>
      <c r="AZ1245" s="1">
        <v>64.99</v>
      </c>
      <c r="BB1245" s="1">
        <v>64.99</v>
      </c>
    </row>
    <row r="1246">
      <c r="A1246" s="1" t="s">
        <v>147</v>
      </c>
      <c r="C1246" s="1" t="s">
        <v>56</v>
      </c>
      <c r="D1246" s="1" t="s">
        <v>2168</v>
      </c>
      <c r="Y1246" s="2">
        <v>45516.0</v>
      </c>
      <c r="AE1246" s="1">
        <v>39.99</v>
      </c>
      <c r="AG1246" s="3" t="str">
        <f>"2000006165698909"</f>
        <v>2000006165698909</v>
      </c>
      <c r="AH1246" s="1" t="s">
        <v>58</v>
      </c>
      <c r="AI1246" s="1" t="s">
        <v>59</v>
      </c>
      <c r="AJ1246" s="1" t="s">
        <v>59</v>
      </c>
      <c r="AK1246" s="1" t="s">
        <v>60</v>
      </c>
      <c r="AL1246" s="1" t="s">
        <v>60</v>
      </c>
      <c r="AW1246" s="1" t="s">
        <v>149</v>
      </c>
      <c r="AY1246" s="1">
        <v>1.0</v>
      </c>
      <c r="AZ1246" s="1">
        <v>39.99</v>
      </c>
      <c r="BB1246" s="1">
        <v>39.99</v>
      </c>
    </row>
    <row r="1247">
      <c r="A1247" s="1" t="s">
        <v>2169</v>
      </c>
      <c r="C1247" s="1" t="s">
        <v>56</v>
      </c>
      <c r="D1247" s="1" t="s">
        <v>2170</v>
      </c>
      <c r="Y1247" s="2">
        <v>45516.0</v>
      </c>
      <c r="AE1247" s="1">
        <v>74.99</v>
      </c>
      <c r="AG1247" s="3" t="str">
        <f>"2000006165663519"</f>
        <v>2000006165663519</v>
      </c>
      <c r="AH1247" s="1" t="s">
        <v>58</v>
      </c>
      <c r="AI1247" s="1" t="s">
        <v>59</v>
      </c>
      <c r="AJ1247" s="1" t="s">
        <v>59</v>
      </c>
      <c r="AK1247" s="1" t="s">
        <v>60</v>
      </c>
      <c r="AL1247" s="1" t="s">
        <v>60</v>
      </c>
      <c r="AW1247" s="1" t="s">
        <v>2171</v>
      </c>
      <c r="AY1247" s="1">
        <v>1.0</v>
      </c>
      <c r="AZ1247" s="1">
        <v>74.99</v>
      </c>
      <c r="BB1247" s="1">
        <v>74.99</v>
      </c>
    </row>
    <row r="1248">
      <c r="A1248" s="1" t="s">
        <v>360</v>
      </c>
      <c r="C1248" s="1" t="s">
        <v>56</v>
      </c>
      <c r="D1248" s="1" t="s">
        <v>2172</v>
      </c>
      <c r="Y1248" s="2">
        <v>45516.0</v>
      </c>
      <c r="AE1248" s="1">
        <v>47.18</v>
      </c>
      <c r="AG1248" s="3" t="str">
        <f>"2000006165685013"</f>
        <v>2000006165685013</v>
      </c>
      <c r="AH1248" s="1" t="s">
        <v>58</v>
      </c>
      <c r="AI1248" s="1" t="s">
        <v>59</v>
      </c>
      <c r="AJ1248" s="1" t="s">
        <v>59</v>
      </c>
      <c r="AK1248" s="1" t="s">
        <v>60</v>
      </c>
      <c r="AL1248" s="1" t="s">
        <v>60</v>
      </c>
      <c r="AW1248" s="1" t="s">
        <v>155</v>
      </c>
      <c r="AY1248" s="1">
        <v>1.0</v>
      </c>
      <c r="AZ1248" s="1">
        <v>47.18</v>
      </c>
      <c r="BB1248" s="1">
        <v>47.18</v>
      </c>
    </row>
    <row r="1249">
      <c r="A1249" s="1" t="s">
        <v>803</v>
      </c>
      <c r="C1249" s="1" t="s">
        <v>56</v>
      </c>
      <c r="D1249" s="1" t="s">
        <v>2173</v>
      </c>
      <c r="Y1249" s="2">
        <v>45516.0</v>
      </c>
      <c r="AE1249" s="1">
        <v>64.99</v>
      </c>
      <c r="AG1249" s="3" t="str">
        <f>"2000006165681191"</f>
        <v>2000006165681191</v>
      </c>
      <c r="AH1249" s="1" t="s">
        <v>58</v>
      </c>
      <c r="AI1249" s="1" t="s">
        <v>59</v>
      </c>
      <c r="AJ1249" s="1" t="s">
        <v>59</v>
      </c>
      <c r="AK1249" s="1" t="s">
        <v>60</v>
      </c>
      <c r="AL1249" s="1" t="s">
        <v>60</v>
      </c>
      <c r="AW1249" s="1" t="s">
        <v>805</v>
      </c>
      <c r="AY1249" s="1">
        <v>1.0</v>
      </c>
      <c r="AZ1249" s="1">
        <v>64.99</v>
      </c>
      <c r="BB1249" s="1">
        <v>64.99</v>
      </c>
    </row>
    <row r="1250">
      <c r="A1250" s="1" t="s">
        <v>2174</v>
      </c>
      <c r="C1250" s="1" t="s">
        <v>235</v>
      </c>
      <c r="D1250" s="1" t="s">
        <v>2175</v>
      </c>
      <c r="Y1250" s="2">
        <v>45516.0</v>
      </c>
      <c r="AE1250" s="1">
        <v>64.99</v>
      </c>
      <c r="AG1250" s="3" t="str">
        <f>"2000009019806844"</f>
        <v>2000009019806844</v>
      </c>
      <c r="AH1250" s="1" t="s">
        <v>58</v>
      </c>
      <c r="AI1250" s="1" t="s">
        <v>59</v>
      </c>
      <c r="AJ1250" s="1" t="s">
        <v>59</v>
      </c>
      <c r="AK1250" s="1" t="s">
        <v>60</v>
      </c>
      <c r="AL1250" s="1" t="s">
        <v>60</v>
      </c>
      <c r="AW1250" s="1" t="s">
        <v>2176</v>
      </c>
      <c r="AY1250" s="1">
        <v>1.0</v>
      </c>
      <c r="AZ1250" s="1">
        <v>64.99</v>
      </c>
      <c r="BB1250" s="1">
        <v>64.99</v>
      </c>
    </row>
    <row r="1251">
      <c r="A1251" s="1" t="s">
        <v>1648</v>
      </c>
      <c r="C1251" s="1" t="s">
        <v>56</v>
      </c>
      <c r="D1251" s="1" t="s">
        <v>2177</v>
      </c>
      <c r="Y1251" s="2">
        <v>45516.0</v>
      </c>
      <c r="AE1251" s="1">
        <v>99.99</v>
      </c>
      <c r="AG1251" s="3" t="str">
        <f>"2000006165661575"</f>
        <v>2000006165661575</v>
      </c>
      <c r="AH1251" s="1" t="s">
        <v>58</v>
      </c>
      <c r="AI1251" s="1" t="s">
        <v>59</v>
      </c>
      <c r="AJ1251" s="1" t="s">
        <v>59</v>
      </c>
      <c r="AK1251" s="1" t="s">
        <v>60</v>
      </c>
      <c r="AL1251" s="1" t="s">
        <v>60</v>
      </c>
      <c r="AW1251" s="1" t="s">
        <v>1650</v>
      </c>
      <c r="AY1251" s="1">
        <v>1.0</v>
      </c>
      <c r="AZ1251" s="1">
        <v>99.99</v>
      </c>
      <c r="BB1251" s="1">
        <v>99.99</v>
      </c>
    </row>
    <row r="1252">
      <c r="A1252" s="1" t="s">
        <v>872</v>
      </c>
      <c r="C1252" s="1" t="s">
        <v>56</v>
      </c>
      <c r="D1252" s="1" t="s">
        <v>2178</v>
      </c>
      <c r="Y1252" s="2">
        <v>45516.0</v>
      </c>
      <c r="AE1252" s="1">
        <v>249.99</v>
      </c>
      <c r="AG1252" s="3" t="str">
        <f>"2000006165631885"</f>
        <v>2000006165631885</v>
      </c>
      <c r="AH1252" s="1" t="s">
        <v>58</v>
      </c>
      <c r="AI1252" s="1" t="s">
        <v>59</v>
      </c>
      <c r="AJ1252" s="1" t="s">
        <v>59</v>
      </c>
      <c r="AK1252" s="1" t="s">
        <v>60</v>
      </c>
      <c r="AL1252" s="1" t="s">
        <v>60</v>
      </c>
      <c r="AW1252" s="1" t="s">
        <v>874</v>
      </c>
      <c r="AY1252" s="1">
        <v>1.0</v>
      </c>
      <c r="AZ1252" s="1">
        <v>249.99</v>
      </c>
      <c r="BB1252" s="1">
        <v>249.99</v>
      </c>
    </row>
    <row r="1253">
      <c r="A1253" s="1" t="s">
        <v>390</v>
      </c>
      <c r="C1253" s="1" t="s">
        <v>56</v>
      </c>
      <c r="D1253" s="1" t="s">
        <v>2179</v>
      </c>
      <c r="Y1253" s="2">
        <v>45516.0</v>
      </c>
      <c r="AE1253" s="1">
        <v>159.98</v>
      </c>
      <c r="AG1253" s="3" t="str">
        <f>"2000006165629659"</f>
        <v>2000006165629659</v>
      </c>
      <c r="AH1253" s="1" t="s">
        <v>58</v>
      </c>
      <c r="AI1253" s="1" t="s">
        <v>59</v>
      </c>
      <c r="AJ1253" s="1" t="s">
        <v>59</v>
      </c>
      <c r="AK1253" s="1" t="s">
        <v>60</v>
      </c>
      <c r="AL1253" s="1" t="s">
        <v>60</v>
      </c>
      <c r="AW1253" s="1" t="s">
        <v>392</v>
      </c>
      <c r="AY1253" s="1">
        <v>2.0</v>
      </c>
      <c r="AZ1253" s="1">
        <v>79.99</v>
      </c>
      <c r="BB1253" s="1">
        <v>159.98</v>
      </c>
    </row>
    <row r="1254">
      <c r="A1254" s="1" t="s">
        <v>236</v>
      </c>
      <c r="C1254" s="1" t="s">
        <v>56</v>
      </c>
      <c r="D1254" s="1" t="s">
        <v>2180</v>
      </c>
      <c r="Y1254" s="2">
        <v>45516.0</v>
      </c>
      <c r="AE1254" s="1">
        <v>119.99</v>
      </c>
      <c r="AG1254" s="3" t="str">
        <f>"2000009019726428"</f>
        <v>2000009019726428</v>
      </c>
      <c r="AH1254" s="1" t="s">
        <v>58</v>
      </c>
      <c r="AI1254" s="1" t="s">
        <v>59</v>
      </c>
      <c r="AJ1254" s="1" t="s">
        <v>59</v>
      </c>
      <c r="AK1254" s="1" t="s">
        <v>60</v>
      </c>
      <c r="AL1254" s="1" t="s">
        <v>60</v>
      </c>
      <c r="AW1254" s="1" t="s">
        <v>238</v>
      </c>
      <c r="AY1254" s="1">
        <v>1.0</v>
      </c>
      <c r="AZ1254" s="1">
        <v>119.99</v>
      </c>
      <c r="BB1254" s="1">
        <v>119.99</v>
      </c>
    </row>
    <row r="1255">
      <c r="A1255" s="1" t="s">
        <v>1569</v>
      </c>
      <c r="C1255" s="1" t="s">
        <v>56</v>
      </c>
      <c r="D1255" s="1" t="s">
        <v>2181</v>
      </c>
      <c r="Y1255" s="2">
        <v>45516.0</v>
      </c>
      <c r="AE1255" s="1">
        <v>59.99</v>
      </c>
      <c r="AG1255" s="3" t="str">
        <f>"2000006165597221"</f>
        <v>2000006165597221</v>
      </c>
      <c r="AH1255" s="1" t="s">
        <v>58</v>
      </c>
      <c r="AI1255" s="1" t="s">
        <v>59</v>
      </c>
      <c r="AJ1255" s="1" t="s">
        <v>59</v>
      </c>
      <c r="AK1255" s="1" t="s">
        <v>60</v>
      </c>
      <c r="AL1255" s="1" t="s">
        <v>60</v>
      </c>
      <c r="AW1255" s="1" t="s">
        <v>254</v>
      </c>
      <c r="AY1255" s="1">
        <v>1.0</v>
      </c>
      <c r="AZ1255" s="1">
        <v>59.99</v>
      </c>
      <c r="BB1255" s="1">
        <v>59.99</v>
      </c>
    </row>
    <row r="1256">
      <c r="A1256" s="1" t="s">
        <v>2182</v>
      </c>
      <c r="C1256" s="1" t="s">
        <v>56</v>
      </c>
      <c r="D1256" s="1" t="s">
        <v>2183</v>
      </c>
      <c r="Y1256" s="2">
        <v>45516.0</v>
      </c>
      <c r="AE1256" s="1">
        <v>94.99</v>
      </c>
      <c r="AG1256" s="3" t="str">
        <f>"2000006165551053"</f>
        <v>2000006165551053</v>
      </c>
      <c r="AH1256" s="1" t="s">
        <v>58</v>
      </c>
      <c r="AI1256" s="1" t="s">
        <v>59</v>
      </c>
      <c r="AJ1256" s="1" t="s">
        <v>59</v>
      </c>
      <c r="AK1256" s="1" t="s">
        <v>60</v>
      </c>
      <c r="AL1256" s="1" t="s">
        <v>60</v>
      </c>
      <c r="AW1256" s="1" t="s">
        <v>2184</v>
      </c>
      <c r="AY1256" s="1">
        <v>1.0</v>
      </c>
      <c r="AZ1256" s="1">
        <v>94.99</v>
      </c>
      <c r="BB1256" s="1">
        <v>94.99</v>
      </c>
    </row>
    <row r="1257">
      <c r="A1257" s="1" t="s">
        <v>630</v>
      </c>
      <c r="C1257" s="1" t="s">
        <v>56</v>
      </c>
      <c r="D1257" s="1" t="s">
        <v>2185</v>
      </c>
      <c r="Y1257" s="2">
        <v>45516.0</v>
      </c>
      <c r="AE1257" s="1">
        <v>189.99</v>
      </c>
      <c r="AG1257" s="3" t="str">
        <f>"2000006165546897"</f>
        <v>2000006165546897</v>
      </c>
      <c r="AH1257" s="1" t="s">
        <v>58</v>
      </c>
      <c r="AI1257" s="1" t="s">
        <v>59</v>
      </c>
      <c r="AJ1257" s="1" t="s">
        <v>59</v>
      </c>
      <c r="AK1257" s="1" t="s">
        <v>60</v>
      </c>
      <c r="AL1257" s="1" t="s">
        <v>60</v>
      </c>
      <c r="AW1257" s="1" t="s">
        <v>632</v>
      </c>
      <c r="AY1257" s="1">
        <v>1.0</v>
      </c>
      <c r="AZ1257" s="1">
        <v>189.99</v>
      </c>
      <c r="BB1257" s="1">
        <v>189.99</v>
      </c>
    </row>
    <row r="1258">
      <c r="A1258" s="1" t="s">
        <v>2186</v>
      </c>
      <c r="C1258" s="1" t="s">
        <v>56</v>
      </c>
      <c r="D1258" s="1" t="s">
        <v>2187</v>
      </c>
      <c r="Y1258" s="2">
        <v>45516.0</v>
      </c>
      <c r="AE1258" s="1">
        <v>69.99</v>
      </c>
      <c r="AG1258" s="3" t="str">
        <f>"2000009019509738"</f>
        <v>2000009019509738</v>
      </c>
      <c r="AH1258" s="1" t="s">
        <v>58</v>
      </c>
      <c r="AI1258" s="1" t="s">
        <v>59</v>
      </c>
      <c r="AJ1258" s="1" t="s">
        <v>59</v>
      </c>
      <c r="AK1258" s="1" t="s">
        <v>60</v>
      </c>
      <c r="AL1258" s="1" t="s">
        <v>60</v>
      </c>
      <c r="AW1258" s="1" t="s">
        <v>2188</v>
      </c>
      <c r="AY1258" s="1">
        <v>1.0</v>
      </c>
      <c r="AZ1258" s="1">
        <v>69.99</v>
      </c>
      <c r="BB1258" s="1">
        <v>69.99</v>
      </c>
    </row>
    <row r="1259">
      <c r="A1259" s="1" t="s">
        <v>120</v>
      </c>
      <c r="C1259" s="1" t="s">
        <v>56</v>
      </c>
      <c r="D1259" s="1" t="s">
        <v>2189</v>
      </c>
      <c r="Y1259" s="2">
        <v>45516.0</v>
      </c>
      <c r="AE1259" s="1">
        <v>164.97</v>
      </c>
      <c r="AG1259" s="3" t="str">
        <f>"2000006165452059"</f>
        <v>2000006165452059</v>
      </c>
      <c r="AH1259" s="1" t="s">
        <v>58</v>
      </c>
      <c r="AI1259" s="1" t="s">
        <v>59</v>
      </c>
      <c r="AJ1259" s="1" t="s">
        <v>59</v>
      </c>
      <c r="AK1259" s="1" t="s">
        <v>60</v>
      </c>
      <c r="AL1259" s="1" t="s">
        <v>60</v>
      </c>
      <c r="AW1259" s="1" t="s">
        <v>110</v>
      </c>
      <c r="AY1259" s="1">
        <v>3.0</v>
      </c>
      <c r="AZ1259" s="1">
        <v>54.99</v>
      </c>
      <c r="BB1259" s="1">
        <v>164.97</v>
      </c>
    </row>
    <row r="1260">
      <c r="A1260" s="1" t="s">
        <v>764</v>
      </c>
      <c r="C1260" s="1" t="s">
        <v>56</v>
      </c>
      <c r="D1260" s="1" t="s">
        <v>2190</v>
      </c>
      <c r="Y1260" s="2">
        <v>45516.0</v>
      </c>
      <c r="AE1260" s="1">
        <v>66.99</v>
      </c>
      <c r="AG1260" s="3" t="str">
        <f>"2000009019328268"</f>
        <v>2000009019328268</v>
      </c>
      <c r="AH1260" s="1" t="s">
        <v>58</v>
      </c>
      <c r="AI1260" s="1" t="s">
        <v>59</v>
      </c>
      <c r="AJ1260" s="1" t="s">
        <v>59</v>
      </c>
      <c r="AK1260" s="1" t="s">
        <v>60</v>
      </c>
      <c r="AL1260" s="1" t="s">
        <v>60</v>
      </c>
      <c r="AW1260" s="1" t="s">
        <v>766</v>
      </c>
      <c r="AY1260" s="1">
        <v>1.0</v>
      </c>
      <c r="AZ1260" s="1">
        <v>66.99</v>
      </c>
      <c r="BB1260" s="1">
        <v>66.99</v>
      </c>
    </row>
    <row r="1261">
      <c r="A1261" s="1" t="s">
        <v>351</v>
      </c>
      <c r="C1261" s="1" t="s">
        <v>56</v>
      </c>
      <c r="D1261" s="1" t="s">
        <v>2191</v>
      </c>
      <c r="Y1261" s="2">
        <v>45516.0</v>
      </c>
      <c r="AE1261" s="1">
        <v>119.99</v>
      </c>
      <c r="AG1261" s="3" t="str">
        <f>"2000006165367251"</f>
        <v>2000006165367251</v>
      </c>
      <c r="AH1261" s="1" t="s">
        <v>58</v>
      </c>
      <c r="AI1261" s="1" t="s">
        <v>59</v>
      </c>
      <c r="AJ1261" s="1" t="s">
        <v>59</v>
      </c>
      <c r="AK1261" s="1" t="s">
        <v>60</v>
      </c>
      <c r="AL1261" s="1" t="s">
        <v>60</v>
      </c>
      <c r="AW1261" s="1" t="s">
        <v>353</v>
      </c>
      <c r="AY1261" s="1">
        <v>1.0</v>
      </c>
      <c r="AZ1261" s="1">
        <v>119.99</v>
      </c>
      <c r="BB1261" s="1">
        <v>119.99</v>
      </c>
    </row>
    <row r="1262">
      <c r="A1262" s="1" t="s">
        <v>1759</v>
      </c>
      <c r="C1262" s="1" t="s">
        <v>56</v>
      </c>
      <c r="D1262" s="1" t="s">
        <v>2192</v>
      </c>
      <c r="Y1262" s="2">
        <v>45516.0</v>
      </c>
      <c r="AE1262" s="1">
        <v>149.99</v>
      </c>
      <c r="AG1262" s="3" t="str">
        <f>"2000006165381751"</f>
        <v>2000006165381751</v>
      </c>
      <c r="AH1262" s="1" t="s">
        <v>58</v>
      </c>
      <c r="AI1262" s="1" t="s">
        <v>59</v>
      </c>
      <c r="AJ1262" s="1" t="s">
        <v>59</v>
      </c>
      <c r="AK1262" s="1" t="s">
        <v>60</v>
      </c>
      <c r="AL1262" s="1" t="s">
        <v>60</v>
      </c>
      <c r="AW1262" s="1" t="s">
        <v>1761</v>
      </c>
      <c r="AY1262" s="1">
        <v>1.0</v>
      </c>
      <c r="AZ1262" s="1">
        <v>149.99</v>
      </c>
      <c r="BB1262" s="1">
        <v>149.99</v>
      </c>
    </row>
    <row r="1263">
      <c r="A1263" s="1" t="s">
        <v>1666</v>
      </c>
      <c r="C1263" s="1" t="s">
        <v>56</v>
      </c>
      <c r="D1263" s="1" t="s">
        <v>2193</v>
      </c>
      <c r="Y1263" s="2">
        <v>45516.0</v>
      </c>
      <c r="AE1263" s="1">
        <v>129.99</v>
      </c>
      <c r="AG1263" s="3" t="str">
        <f>"2000006165361281"</f>
        <v>2000006165361281</v>
      </c>
      <c r="AH1263" s="1" t="s">
        <v>58</v>
      </c>
      <c r="AI1263" s="1" t="s">
        <v>59</v>
      </c>
      <c r="AJ1263" s="1" t="s">
        <v>59</v>
      </c>
      <c r="AK1263" s="1" t="s">
        <v>60</v>
      </c>
      <c r="AL1263" s="1" t="s">
        <v>60</v>
      </c>
      <c r="AW1263" s="1" t="s">
        <v>763</v>
      </c>
      <c r="AY1263" s="1">
        <v>1.0</v>
      </c>
      <c r="AZ1263" s="1">
        <v>129.99</v>
      </c>
      <c r="BB1263" s="1">
        <v>129.99</v>
      </c>
    </row>
    <row r="1264">
      <c r="A1264" s="1" t="s">
        <v>249</v>
      </c>
      <c r="C1264" s="1" t="s">
        <v>56</v>
      </c>
      <c r="D1264" s="1" t="s">
        <v>2194</v>
      </c>
      <c r="Y1264" s="2">
        <v>45516.0</v>
      </c>
      <c r="AE1264" s="1">
        <v>64.99</v>
      </c>
      <c r="AG1264" s="3" t="str">
        <f>"2000006165347457"</f>
        <v>2000006165347457</v>
      </c>
      <c r="AH1264" s="1" t="s">
        <v>58</v>
      </c>
      <c r="AI1264" s="1" t="s">
        <v>59</v>
      </c>
      <c r="AJ1264" s="1" t="s">
        <v>59</v>
      </c>
      <c r="AK1264" s="1" t="s">
        <v>60</v>
      </c>
      <c r="AL1264" s="1" t="s">
        <v>60</v>
      </c>
      <c r="AW1264" s="1" t="s">
        <v>251</v>
      </c>
      <c r="AY1264" s="1">
        <v>1.0</v>
      </c>
      <c r="AZ1264" s="1">
        <v>64.99</v>
      </c>
      <c r="BB1264" s="1">
        <v>64.99</v>
      </c>
    </row>
    <row r="1265">
      <c r="A1265" s="1" t="s">
        <v>204</v>
      </c>
      <c r="C1265" s="1" t="s">
        <v>56</v>
      </c>
      <c r="D1265" s="1" t="s">
        <v>1637</v>
      </c>
      <c r="Y1265" s="2">
        <v>45516.0</v>
      </c>
      <c r="AE1265" s="1">
        <v>57.99</v>
      </c>
      <c r="AG1265" s="3" t="str">
        <f>"2000006165342277"</f>
        <v>2000006165342277</v>
      </c>
      <c r="AH1265" s="1" t="s">
        <v>58</v>
      </c>
      <c r="AI1265" s="1" t="s">
        <v>59</v>
      </c>
      <c r="AJ1265" s="1" t="s">
        <v>59</v>
      </c>
      <c r="AK1265" s="1" t="s">
        <v>60</v>
      </c>
      <c r="AL1265" s="1" t="s">
        <v>60</v>
      </c>
      <c r="AW1265" s="1" t="s">
        <v>206</v>
      </c>
      <c r="AY1265" s="1">
        <v>1.0</v>
      </c>
      <c r="AZ1265" s="1">
        <v>57.99</v>
      </c>
      <c r="BB1265" s="1">
        <v>57.99</v>
      </c>
    </row>
    <row r="1266">
      <c r="A1266" s="1" t="s">
        <v>2195</v>
      </c>
      <c r="C1266" s="1" t="s">
        <v>56</v>
      </c>
      <c r="D1266" s="1" t="s">
        <v>2196</v>
      </c>
      <c r="Y1266" s="2">
        <v>45516.0</v>
      </c>
      <c r="AE1266" s="1">
        <v>44.99</v>
      </c>
      <c r="AG1266" s="3" t="str">
        <f>"2000006165308079"</f>
        <v>2000006165308079</v>
      </c>
      <c r="AH1266" s="1" t="s">
        <v>58</v>
      </c>
      <c r="AI1266" s="1" t="s">
        <v>59</v>
      </c>
      <c r="AJ1266" s="1" t="s">
        <v>59</v>
      </c>
      <c r="AK1266" s="1" t="s">
        <v>60</v>
      </c>
      <c r="AL1266" s="1" t="s">
        <v>60</v>
      </c>
      <c r="AW1266" s="1" t="s">
        <v>2197</v>
      </c>
      <c r="AY1266" s="1">
        <v>1.0</v>
      </c>
      <c r="AZ1266" s="1">
        <v>44.99</v>
      </c>
      <c r="BB1266" s="1">
        <v>44.99</v>
      </c>
    </row>
    <row r="1267">
      <c r="A1267" s="1" t="s">
        <v>1527</v>
      </c>
      <c r="C1267" s="1" t="s">
        <v>56</v>
      </c>
      <c r="D1267" s="1" t="s">
        <v>2198</v>
      </c>
      <c r="Y1267" s="2">
        <v>45516.0</v>
      </c>
      <c r="AE1267" s="1">
        <v>79.98</v>
      </c>
      <c r="AG1267" s="3" t="str">
        <f>"2000006165332285"</f>
        <v>2000006165332285</v>
      </c>
      <c r="AH1267" s="1" t="s">
        <v>58</v>
      </c>
      <c r="AI1267" s="1" t="s">
        <v>59</v>
      </c>
      <c r="AJ1267" s="1" t="s">
        <v>59</v>
      </c>
      <c r="AK1267" s="1" t="s">
        <v>60</v>
      </c>
      <c r="AL1267" s="1" t="s">
        <v>60</v>
      </c>
      <c r="AW1267" s="1" t="s">
        <v>1529</v>
      </c>
      <c r="AY1267" s="1">
        <v>2.0</v>
      </c>
      <c r="AZ1267" s="1">
        <v>39.99</v>
      </c>
      <c r="BB1267" s="1">
        <v>79.98</v>
      </c>
    </row>
    <row r="1268">
      <c r="A1268" s="1" t="s">
        <v>1798</v>
      </c>
      <c r="C1268" s="1" t="s">
        <v>56</v>
      </c>
      <c r="D1268" s="1" t="s">
        <v>2198</v>
      </c>
      <c r="Y1268" s="2">
        <v>45516.0</v>
      </c>
      <c r="AE1268" s="1">
        <v>64.99</v>
      </c>
      <c r="AG1268" s="3" t="str">
        <f>"2000006165332287"</f>
        <v>2000006165332287</v>
      </c>
      <c r="AH1268" s="1" t="s">
        <v>58</v>
      </c>
      <c r="AI1268" s="1" t="s">
        <v>59</v>
      </c>
      <c r="AJ1268" s="1" t="s">
        <v>59</v>
      </c>
      <c r="AK1268" s="1" t="s">
        <v>60</v>
      </c>
      <c r="AL1268" s="1" t="s">
        <v>60</v>
      </c>
      <c r="AW1268" s="1" t="s">
        <v>1800</v>
      </c>
      <c r="AY1268" s="1">
        <v>1.0</v>
      </c>
      <c r="AZ1268" s="1">
        <v>64.99</v>
      </c>
      <c r="BB1268" s="1">
        <v>64.99</v>
      </c>
    </row>
    <row r="1269">
      <c r="A1269" s="1" t="s">
        <v>2199</v>
      </c>
      <c r="C1269" s="1" t="s">
        <v>56</v>
      </c>
      <c r="D1269" s="1" t="s">
        <v>2200</v>
      </c>
      <c r="Y1269" s="2">
        <v>45516.0</v>
      </c>
      <c r="AE1269" s="1">
        <v>41.99</v>
      </c>
      <c r="AG1269" s="3" t="str">
        <f>"2000006165308721"</f>
        <v>2000006165308721</v>
      </c>
      <c r="AH1269" s="1" t="s">
        <v>58</v>
      </c>
      <c r="AI1269" s="1" t="s">
        <v>59</v>
      </c>
      <c r="AJ1269" s="1" t="s">
        <v>59</v>
      </c>
      <c r="AK1269" s="1" t="s">
        <v>60</v>
      </c>
      <c r="AL1269" s="1" t="s">
        <v>60</v>
      </c>
      <c r="AW1269" s="1" t="s">
        <v>2201</v>
      </c>
      <c r="AY1269" s="1">
        <v>1.0</v>
      </c>
      <c r="AZ1269" s="1">
        <v>41.99</v>
      </c>
      <c r="BB1269" s="1">
        <v>41.99</v>
      </c>
    </row>
    <row r="1270">
      <c r="A1270" s="1" t="s">
        <v>2202</v>
      </c>
      <c r="C1270" s="1" t="s">
        <v>56</v>
      </c>
      <c r="D1270" s="1" t="s">
        <v>2203</v>
      </c>
      <c r="Y1270" s="2">
        <v>45516.0</v>
      </c>
      <c r="AE1270" s="1">
        <v>179.99</v>
      </c>
      <c r="AG1270" s="3" t="str">
        <f>"2000006165306011"</f>
        <v>2000006165306011</v>
      </c>
      <c r="AH1270" s="1" t="s">
        <v>58</v>
      </c>
      <c r="AI1270" s="1" t="s">
        <v>59</v>
      </c>
      <c r="AJ1270" s="1" t="s">
        <v>59</v>
      </c>
      <c r="AK1270" s="1" t="s">
        <v>60</v>
      </c>
      <c r="AL1270" s="1" t="s">
        <v>60</v>
      </c>
      <c r="AW1270" s="1" t="s">
        <v>2204</v>
      </c>
      <c r="AY1270" s="1">
        <v>1.0</v>
      </c>
      <c r="AZ1270" s="1">
        <v>179.99</v>
      </c>
      <c r="BB1270" s="1">
        <v>179.99</v>
      </c>
    </row>
    <row r="1271">
      <c r="A1271" s="1" t="s">
        <v>2202</v>
      </c>
      <c r="C1271" s="1" t="s">
        <v>56</v>
      </c>
      <c r="D1271" s="1" t="s">
        <v>2203</v>
      </c>
      <c r="Y1271" s="2">
        <v>45516.0</v>
      </c>
      <c r="AE1271" s="1">
        <v>179.99</v>
      </c>
      <c r="AG1271" s="3" t="str">
        <f>"2000006165306009"</f>
        <v>2000006165306009</v>
      </c>
      <c r="AH1271" s="1" t="s">
        <v>58</v>
      </c>
      <c r="AI1271" s="1" t="s">
        <v>59</v>
      </c>
      <c r="AJ1271" s="1" t="s">
        <v>59</v>
      </c>
      <c r="AK1271" s="1" t="s">
        <v>60</v>
      </c>
      <c r="AL1271" s="1" t="s">
        <v>60</v>
      </c>
      <c r="AW1271" s="1" t="s">
        <v>2204</v>
      </c>
      <c r="AY1271" s="1">
        <v>1.0</v>
      </c>
      <c r="AZ1271" s="1">
        <v>179.99</v>
      </c>
      <c r="BB1271" s="1">
        <v>179.99</v>
      </c>
    </row>
    <row r="1272">
      <c r="A1272" s="1" t="s">
        <v>377</v>
      </c>
      <c r="C1272" s="1" t="s">
        <v>56</v>
      </c>
      <c r="D1272" s="1" t="s">
        <v>2205</v>
      </c>
      <c r="Y1272" s="2">
        <v>45516.0</v>
      </c>
      <c r="AE1272" s="1">
        <v>64.99</v>
      </c>
      <c r="AG1272" s="3" t="str">
        <f>"2000006165127805"</f>
        <v>2000006165127805</v>
      </c>
      <c r="AH1272" s="1" t="s">
        <v>58</v>
      </c>
      <c r="AI1272" s="1" t="s">
        <v>59</v>
      </c>
      <c r="AJ1272" s="1" t="s">
        <v>59</v>
      </c>
      <c r="AK1272" s="1" t="s">
        <v>60</v>
      </c>
      <c r="AL1272" s="1" t="s">
        <v>60</v>
      </c>
      <c r="AW1272" s="1" t="s">
        <v>79</v>
      </c>
      <c r="AY1272" s="1">
        <v>1.0</v>
      </c>
      <c r="AZ1272" s="1">
        <v>64.99</v>
      </c>
      <c r="BB1272" s="1">
        <v>64.99</v>
      </c>
    </row>
    <row r="1273">
      <c r="A1273" s="1" t="s">
        <v>2206</v>
      </c>
      <c r="C1273" s="1" t="s">
        <v>56</v>
      </c>
      <c r="D1273" s="1" t="s">
        <v>2207</v>
      </c>
      <c r="Y1273" s="2">
        <v>45516.0</v>
      </c>
      <c r="AE1273" s="1">
        <v>129.99</v>
      </c>
      <c r="AG1273" s="3" t="str">
        <f>"2000009018787538"</f>
        <v>2000009018787538</v>
      </c>
      <c r="AH1273" s="1" t="s">
        <v>58</v>
      </c>
      <c r="AI1273" s="1" t="s">
        <v>59</v>
      </c>
      <c r="AJ1273" s="1" t="s">
        <v>59</v>
      </c>
      <c r="AK1273" s="1" t="s">
        <v>60</v>
      </c>
      <c r="AL1273" s="1" t="s">
        <v>60</v>
      </c>
      <c r="AW1273" s="1" t="s">
        <v>2208</v>
      </c>
      <c r="AY1273" s="1">
        <v>1.0</v>
      </c>
      <c r="AZ1273" s="1">
        <v>129.99</v>
      </c>
      <c r="BB1273" s="1">
        <v>129.99</v>
      </c>
    </row>
    <row r="1274">
      <c r="A1274" s="1" t="s">
        <v>567</v>
      </c>
      <c r="C1274" s="1" t="s">
        <v>56</v>
      </c>
      <c r="D1274" s="1" t="s">
        <v>2209</v>
      </c>
      <c r="Y1274" s="2">
        <v>45516.0</v>
      </c>
      <c r="AE1274" s="1">
        <v>224.95</v>
      </c>
      <c r="AG1274" s="3" t="str">
        <f>"2000006165268927"</f>
        <v>2000006165268927</v>
      </c>
      <c r="AH1274" s="1" t="s">
        <v>58</v>
      </c>
      <c r="AI1274" s="1" t="s">
        <v>59</v>
      </c>
      <c r="AJ1274" s="1" t="s">
        <v>59</v>
      </c>
      <c r="AK1274" s="1" t="s">
        <v>60</v>
      </c>
      <c r="AL1274" s="1" t="s">
        <v>60</v>
      </c>
      <c r="AW1274" s="1" t="s">
        <v>569</v>
      </c>
      <c r="AY1274" s="1">
        <v>5.0</v>
      </c>
      <c r="AZ1274" s="1">
        <v>44.99</v>
      </c>
      <c r="BB1274" s="1">
        <v>224.95</v>
      </c>
    </row>
    <row r="1275">
      <c r="A1275" s="1" t="s">
        <v>2210</v>
      </c>
      <c r="C1275" s="1" t="s">
        <v>56</v>
      </c>
      <c r="D1275" s="1" t="s">
        <v>2211</v>
      </c>
      <c r="Y1275" s="2">
        <v>45516.0</v>
      </c>
      <c r="AE1275" s="1">
        <v>429.99</v>
      </c>
      <c r="AG1275" s="3" t="str">
        <f>"2000009019029078"</f>
        <v>2000009019029078</v>
      </c>
      <c r="AH1275" s="1" t="s">
        <v>58</v>
      </c>
      <c r="AI1275" s="1" t="s">
        <v>59</v>
      </c>
      <c r="AJ1275" s="1" t="s">
        <v>59</v>
      </c>
      <c r="AK1275" s="1" t="s">
        <v>60</v>
      </c>
      <c r="AL1275" s="1" t="s">
        <v>60</v>
      </c>
      <c r="AW1275" s="1" t="s">
        <v>2212</v>
      </c>
      <c r="AY1275" s="1">
        <v>1.0</v>
      </c>
      <c r="AZ1275" s="1">
        <v>429.99</v>
      </c>
      <c r="BB1275" s="1">
        <v>429.99</v>
      </c>
    </row>
    <row r="1276">
      <c r="A1276" s="1" t="s">
        <v>457</v>
      </c>
      <c r="C1276" s="1" t="s">
        <v>56</v>
      </c>
      <c r="D1276" s="1" t="s">
        <v>2213</v>
      </c>
      <c r="Y1276" s="2">
        <v>45516.0</v>
      </c>
      <c r="AE1276" s="1">
        <v>139.99</v>
      </c>
      <c r="AG1276" s="3" t="str">
        <f>"2000006165247571"</f>
        <v>2000006165247571</v>
      </c>
      <c r="AH1276" s="1" t="s">
        <v>58</v>
      </c>
      <c r="AI1276" s="1" t="s">
        <v>59</v>
      </c>
      <c r="AJ1276" s="1" t="s">
        <v>59</v>
      </c>
      <c r="AK1276" s="1" t="s">
        <v>60</v>
      </c>
      <c r="AL1276" s="1" t="s">
        <v>60</v>
      </c>
      <c r="AW1276" s="1" t="s">
        <v>279</v>
      </c>
      <c r="AY1276" s="1">
        <v>1.0</v>
      </c>
      <c r="AZ1276" s="1">
        <v>139.99</v>
      </c>
      <c r="BB1276" s="1">
        <v>139.99</v>
      </c>
    </row>
    <row r="1277">
      <c r="A1277" s="1" t="s">
        <v>1788</v>
      </c>
      <c r="C1277" s="1" t="s">
        <v>56</v>
      </c>
      <c r="D1277" s="1" t="s">
        <v>2214</v>
      </c>
      <c r="Y1277" s="2">
        <v>45516.0</v>
      </c>
      <c r="AE1277" s="1">
        <v>99.99</v>
      </c>
      <c r="AG1277" s="3" t="str">
        <f>"2000006165242835"</f>
        <v>2000006165242835</v>
      </c>
      <c r="AH1277" s="1" t="s">
        <v>58</v>
      </c>
      <c r="AI1277" s="1" t="s">
        <v>59</v>
      </c>
      <c r="AJ1277" s="1" t="s">
        <v>59</v>
      </c>
      <c r="AK1277" s="1" t="s">
        <v>60</v>
      </c>
      <c r="AL1277" s="1" t="s">
        <v>60</v>
      </c>
      <c r="AW1277" s="1" t="s">
        <v>1790</v>
      </c>
      <c r="AY1277" s="1">
        <v>1.0</v>
      </c>
      <c r="AZ1277" s="1">
        <v>99.99</v>
      </c>
      <c r="BB1277" s="1">
        <v>99.99</v>
      </c>
    </row>
    <row r="1278">
      <c r="A1278" s="1" t="s">
        <v>86</v>
      </c>
      <c r="C1278" s="1" t="s">
        <v>56</v>
      </c>
      <c r="D1278" s="1" t="s">
        <v>2215</v>
      </c>
      <c r="Y1278" s="2">
        <v>45516.0</v>
      </c>
      <c r="AE1278" s="1">
        <v>129.98</v>
      </c>
      <c r="AG1278" s="3" t="str">
        <f>"2000006165235073"</f>
        <v>2000006165235073</v>
      </c>
      <c r="AH1278" s="1" t="s">
        <v>58</v>
      </c>
      <c r="AI1278" s="1" t="s">
        <v>59</v>
      </c>
      <c r="AJ1278" s="1" t="s">
        <v>59</v>
      </c>
      <c r="AK1278" s="1" t="s">
        <v>60</v>
      </c>
      <c r="AL1278" s="1" t="s">
        <v>60</v>
      </c>
      <c r="AW1278" s="1" t="s">
        <v>88</v>
      </c>
      <c r="AY1278" s="1">
        <v>2.0</v>
      </c>
      <c r="AZ1278" s="1">
        <v>64.99</v>
      </c>
      <c r="BB1278" s="1">
        <v>129.98</v>
      </c>
    </row>
    <row r="1279">
      <c r="A1279" s="1" t="s">
        <v>564</v>
      </c>
      <c r="C1279" s="1" t="s">
        <v>56</v>
      </c>
      <c r="D1279" s="1" t="s">
        <v>2216</v>
      </c>
      <c r="Y1279" s="2">
        <v>45516.0</v>
      </c>
      <c r="AE1279" s="1">
        <v>204.99</v>
      </c>
      <c r="AG1279" s="3" t="str">
        <f>"2000009018932804"</f>
        <v>2000009018932804</v>
      </c>
      <c r="AH1279" s="1" t="s">
        <v>58</v>
      </c>
      <c r="AI1279" s="1" t="s">
        <v>59</v>
      </c>
      <c r="AJ1279" s="1" t="s">
        <v>59</v>
      </c>
      <c r="AK1279" s="1" t="s">
        <v>60</v>
      </c>
      <c r="AL1279" s="1" t="s">
        <v>60</v>
      </c>
      <c r="AW1279" s="1" t="s">
        <v>566</v>
      </c>
      <c r="AY1279" s="1">
        <v>1.0</v>
      </c>
      <c r="AZ1279" s="1">
        <v>204.99</v>
      </c>
      <c r="BB1279" s="1">
        <v>204.99</v>
      </c>
    </row>
    <row r="1280">
      <c r="A1280" s="1" t="s">
        <v>2217</v>
      </c>
      <c r="C1280" s="1" t="s">
        <v>56</v>
      </c>
      <c r="D1280" s="1" t="s">
        <v>2218</v>
      </c>
      <c r="Y1280" s="2">
        <v>45516.0</v>
      </c>
      <c r="AE1280" s="1">
        <v>45.99</v>
      </c>
      <c r="AG1280" s="3" t="str">
        <f>"2000006165211199"</f>
        <v>2000006165211199</v>
      </c>
      <c r="AH1280" s="1" t="s">
        <v>58</v>
      </c>
      <c r="AI1280" s="1" t="s">
        <v>59</v>
      </c>
      <c r="AJ1280" s="1" t="s">
        <v>59</v>
      </c>
      <c r="AK1280" s="1" t="s">
        <v>60</v>
      </c>
      <c r="AL1280" s="1" t="s">
        <v>60</v>
      </c>
      <c r="AW1280" s="1" t="s">
        <v>2219</v>
      </c>
      <c r="AY1280" s="1">
        <v>1.0</v>
      </c>
      <c r="AZ1280" s="1">
        <v>45.99</v>
      </c>
      <c r="BB1280" s="1">
        <v>45.99</v>
      </c>
    </row>
    <row r="1281">
      <c r="A1281" s="1" t="s">
        <v>1435</v>
      </c>
      <c r="C1281" s="1" t="s">
        <v>56</v>
      </c>
      <c r="D1281" s="1" t="s">
        <v>2220</v>
      </c>
      <c r="Y1281" s="2">
        <v>45516.0</v>
      </c>
      <c r="AE1281" s="1">
        <v>59.99</v>
      </c>
      <c r="AG1281" s="3" t="str">
        <f>"2000006165202791"</f>
        <v>2000006165202791</v>
      </c>
      <c r="AH1281" s="1" t="s">
        <v>58</v>
      </c>
      <c r="AI1281" s="1" t="s">
        <v>59</v>
      </c>
      <c r="AJ1281" s="1" t="s">
        <v>59</v>
      </c>
      <c r="AK1281" s="1" t="s">
        <v>60</v>
      </c>
      <c r="AL1281" s="1" t="s">
        <v>60</v>
      </c>
      <c r="AW1281" s="1" t="s">
        <v>1437</v>
      </c>
      <c r="AY1281" s="1">
        <v>1.0</v>
      </c>
      <c r="AZ1281" s="1">
        <v>59.99</v>
      </c>
      <c r="BB1281" s="1">
        <v>59.99</v>
      </c>
    </row>
    <row r="1282">
      <c r="A1282" s="1" t="s">
        <v>567</v>
      </c>
      <c r="C1282" s="1" t="s">
        <v>56</v>
      </c>
      <c r="D1282" s="1" t="s">
        <v>2221</v>
      </c>
      <c r="Y1282" s="2">
        <v>45516.0</v>
      </c>
      <c r="AE1282" s="1">
        <v>44.99</v>
      </c>
      <c r="AG1282" s="3" t="str">
        <f>"2000006165180503"</f>
        <v>2000006165180503</v>
      </c>
      <c r="AH1282" s="1" t="s">
        <v>58</v>
      </c>
      <c r="AI1282" s="1" t="s">
        <v>59</v>
      </c>
      <c r="AJ1282" s="1" t="s">
        <v>59</v>
      </c>
      <c r="AK1282" s="1" t="s">
        <v>60</v>
      </c>
      <c r="AL1282" s="1" t="s">
        <v>60</v>
      </c>
      <c r="AW1282" s="1" t="s">
        <v>569</v>
      </c>
      <c r="AY1282" s="1">
        <v>1.0</v>
      </c>
      <c r="AZ1282" s="1">
        <v>44.99</v>
      </c>
      <c r="BB1282" s="1">
        <v>44.99</v>
      </c>
    </row>
    <row r="1283">
      <c r="A1283" s="1" t="s">
        <v>567</v>
      </c>
      <c r="C1283" s="1" t="s">
        <v>56</v>
      </c>
      <c r="D1283" s="1" t="s">
        <v>2221</v>
      </c>
      <c r="Y1283" s="2">
        <v>45516.0</v>
      </c>
      <c r="AE1283" s="1">
        <v>404.91</v>
      </c>
      <c r="AG1283" s="3" t="str">
        <f>"2000006165180501"</f>
        <v>2000006165180501</v>
      </c>
      <c r="AH1283" s="1" t="s">
        <v>58</v>
      </c>
      <c r="AI1283" s="1" t="s">
        <v>59</v>
      </c>
      <c r="AJ1283" s="1" t="s">
        <v>59</v>
      </c>
      <c r="AK1283" s="1" t="s">
        <v>60</v>
      </c>
      <c r="AL1283" s="1" t="s">
        <v>60</v>
      </c>
      <c r="AW1283" s="1" t="s">
        <v>569</v>
      </c>
      <c r="AY1283" s="1">
        <v>9.0</v>
      </c>
      <c r="AZ1283" s="1">
        <v>44.99</v>
      </c>
      <c r="BB1283" s="1">
        <v>404.91</v>
      </c>
    </row>
    <row r="1284">
      <c r="A1284" s="1" t="s">
        <v>407</v>
      </c>
      <c r="C1284" s="1" t="s">
        <v>56</v>
      </c>
      <c r="D1284" s="1" t="s">
        <v>2222</v>
      </c>
      <c r="Y1284" s="2">
        <v>45516.0</v>
      </c>
      <c r="AE1284" s="1">
        <v>94.99</v>
      </c>
      <c r="AG1284" s="3" t="str">
        <f>"2000006165012695"</f>
        <v>2000006165012695</v>
      </c>
      <c r="AH1284" s="1" t="s">
        <v>58</v>
      </c>
      <c r="AI1284" s="1" t="s">
        <v>59</v>
      </c>
      <c r="AJ1284" s="1" t="s">
        <v>59</v>
      </c>
      <c r="AK1284" s="1" t="s">
        <v>60</v>
      </c>
      <c r="AL1284" s="1" t="s">
        <v>60</v>
      </c>
      <c r="AW1284" s="1" t="s">
        <v>409</v>
      </c>
      <c r="AY1284" s="1">
        <v>1.0</v>
      </c>
      <c r="AZ1284" s="1">
        <v>94.99</v>
      </c>
      <c r="BB1284" s="1">
        <v>94.99</v>
      </c>
    </row>
    <row r="1285">
      <c r="A1285" s="1" t="s">
        <v>2223</v>
      </c>
      <c r="C1285" s="1" t="s">
        <v>2224</v>
      </c>
      <c r="D1285" s="1" t="s">
        <v>2225</v>
      </c>
      <c r="Y1285" s="2">
        <v>45516.0</v>
      </c>
      <c r="AE1285" s="1">
        <v>349.98</v>
      </c>
      <c r="AG1285" s="3" t="str">
        <f>"2000006165114781"</f>
        <v>2000006165114781</v>
      </c>
      <c r="AH1285" s="1" t="s">
        <v>58</v>
      </c>
      <c r="AI1285" s="1" t="s">
        <v>59</v>
      </c>
      <c r="AJ1285" s="1" t="s">
        <v>59</v>
      </c>
      <c r="AK1285" s="1" t="s">
        <v>60</v>
      </c>
      <c r="AL1285" s="1" t="s">
        <v>60</v>
      </c>
      <c r="AW1285" s="1" t="s">
        <v>1621</v>
      </c>
      <c r="AY1285" s="1">
        <v>2.0</v>
      </c>
      <c r="AZ1285" s="1">
        <v>174.99</v>
      </c>
      <c r="BB1285" s="1">
        <v>349.98</v>
      </c>
    </row>
    <row r="1286">
      <c r="A1286" s="1" t="s">
        <v>536</v>
      </c>
      <c r="C1286" s="1" t="s">
        <v>56</v>
      </c>
      <c r="D1286" s="1" t="s">
        <v>2226</v>
      </c>
      <c r="Y1286" s="2">
        <v>45516.0</v>
      </c>
      <c r="AE1286" s="1">
        <v>179.98</v>
      </c>
      <c r="AG1286" s="3" t="str">
        <f>"2000006164524715"</f>
        <v>2000006164524715</v>
      </c>
      <c r="AH1286" s="1" t="s">
        <v>58</v>
      </c>
      <c r="AI1286" s="1" t="s">
        <v>59</v>
      </c>
      <c r="AJ1286" s="1" t="s">
        <v>59</v>
      </c>
      <c r="AK1286" s="1" t="s">
        <v>60</v>
      </c>
      <c r="AL1286" s="1" t="s">
        <v>60</v>
      </c>
      <c r="AW1286" s="1" t="s">
        <v>538</v>
      </c>
      <c r="AY1286" s="1">
        <v>2.0</v>
      </c>
      <c r="AZ1286" s="1">
        <v>89.99</v>
      </c>
      <c r="BB1286" s="1">
        <v>179.98</v>
      </c>
    </row>
    <row r="1287">
      <c r="A1287" s="1" t="s">
        <v>1324</v>
      </c>
      <c r="C1287" s="1" t="s">
        <v>56</v>
      </c>
      <c r="D1287" s="1" t="s">
        <v>2227</v>
      </c>
      <c r="Y1287" s="2">
        <v>45516.0</v>
      </c>
      <c r="AE1287" s="1">
        <v>36.68</v>
      </c>
      <c r="AG1287" s="3" t="str">
        <f>"2000006164957953"</f>
        <v>2000006164957953</v>
      </c>
      <c r="AH1287" s="1" t="s">
        <v>58</v>
      </c>
      <c r="AI1287" s="1" t="s">
        <v>59</v>
      </c>
      <c r="AJ1287" s="1" t="s">
        <v>59</v>
      </c>
      <c r="AK1287" s="1" t="s">
        <v>60</v>
      </c>
      <c r="AL1287" s="1" t="s">
        <v>60</v>
      </c>
      <c r="AW1287" s="1" t="s">
        <v>923</v>
      </c>
      <c r="AY1287" s="1">
        <v>1.0</v>
      </c>
      <c r="AZ1287" s="1">
        <v>36.68</v>
      </c>
      <c r="BB1287" s="1">
        <v>36.68</v>
      </c>
    </row>
    <row r="1288">
      <c r="A1288" s="1" t="s">
        <v>2228</v>
      </c>
      <c r="C1288" s="1" t="s">
        <v>56</v>
      </c>
      <c r="D1288" s="1" t="s">
        <v>2229</v>
      </c>
      <c r="Y1288" s="2">
        <v>45516.0</v>
      </c>
      <c r="AE1288" s="1">
        <v>99.99</v>
      </c>
      <c r="AG1288" s="3" t="str">
        <f>"2000006165038633"</f>
        <v>2000006165038633</v>
      </c>
      <c r="AH1288" s="1" t="s">
        <v>58</v>
      </c>
      <c r="AI1288" s="1" t="s">
        <v>59</v>
      </c>
      <c r="AJ1288" s="1" t="s">
        <v>59</v>
      </c>
      <c r="AK1288" s="1" t="s">
        <v>60</v>
      </c>
      <c r="AL1288" s="1" t="s">
        <v>60</v>
      </c>
      <c r="AW1288" s="1" t="s">
        <v>2230</v>
      </c>
      <c r="AY1288" s="1">
        <v>1.0</v>
      </c>
      <c r="AZ1288" s="1">
        <v>99.99</v>
      </c>
      <c r="BB1288" s="1">
        <v>99.99</v>
      </c>
    </row>
    <row r="1289">
      <c r="A1289" s="1" t="s">
        <v>2231</v>
      </c>
      <c r="C1289" s="1" t="s">
        <v>56</v>
      </c>
      <c r="D1289" s="1" t="s">
        <v>2232</v>
      </c>
      <c r="Y1289" s="2">
        <v>45516.0</v>
      </c>
      <c r="AE1289" s="1">
        <v>49.99</v>
      </c>
      <c r="AG1289" s="3" t="str">
        <f>"2000006165033557"</f>
        <v>2000006165033557</v>
      </c>
      <c r="AH1289" s="1" t="s">
        <v>58</v>
      </c>
      <c r="AI1289" s="1" t="s">
        <v>59</v>
      </c>
      <c r="AJ1289" s="1" t="s">
        <v>59</v>
      </c>
      <c r="AK1289" s="1" t="s">
        <v>60</v>
      </c>
      <c r="AL1289" s="1" t="s">
        <v>60</v>
      </c>
      <c r="AW1289" s="1" t="s">
        <v>2233</v>
      </c>
      <c r="AY1289" s="1">
        <v>1.0</v>
      </c>
      <c r="AZ1289" s="1">
        <v>49.99</v>
      </c>
      <c r="BB1289" s="1">
        <v>49.99</v>
      </c>
    </row>
    <row r="1290">
      <c r="A1290" s="1" t="s">
        <v>514</v>
      </c>
      <c r="C1290" s="1" t="s">
        <v>56</v>
      </c>
      <c r="D1290" s="1" t="s">
        <v>2234</v>
      </c>
      <c r="Y1290" s="2">
        <v>45516.0</v>
      </c>
      <c r="AE1290" s="1">
        <v>179.97</v>
      </c>
      <c r="AG1290" s="3" t="str">
        <f>"2000006164997491"</f>
        <v>2000006164997491</v>
      </c>
      <c r="AH1290" s="1" t="s">
        <v>58</v>
      </c>
      <c r="AI1290" s="1" t="s">
        <v>59</v>
      </c>
      <c r="AJ1290" s="1" t="s">
        <v>59</v>
      </c>
      <c r="AK1290" s="1" t="s">
        <v>60</v>
      </c>
      <c r="AL1290" s="1" t="s">
        <v>60</v>
      </c>
      <c r="AW1290" s="1" t="s">
        <v>516</v>
      </c>
      <c r="AY1290" s="1">
        <v>3.0</v>
      </c>
      <c r="AZ1290" s="1">
        <v>59.99</v>
      </c>
      <c r="BB1290" s="1">
        <v>179.97</v>
      </c>
    </row>
    <row r="1291">
      <c r="A1291" s="1" t="s">
        <v>135</v>
      </c>
      <c r="C1291" s="1" t="s">
        <v>56</v>
      </c>
      <c r="D1291" s="1" t="s">
        <v>2235</v>
      </c>
      <c r="Y1291" s="2">
        <v>45516.0</v>
      </c>
      <c r="AE1291" s="1">
        <v>179.98</v>
      </c>
      <c r="AG1291" s="3" t="str">
        <f>"2000006164810311"</f>
        <v>2000006164810311</v>
      </c>
      <c r="AH1291" s="1" t="s">
        <v>58</v>
      </c>
      <c r="AI1291" s="1" t="s">
        <v>59</v>
      </c>
      <c r="AJ1291" s="1" t="s">
        <v>59</v>
      </c>
      <c r="AK1291" s="1" t="s">
        <v>60</v>
      </c>
      <c r="AL1291" s="1" t="s">
        <v>60</v>
      </c>
      <c r="AW1291" s="1" t="s">
        <v>137</v>
      </c>
      <c r="AY1291" s="1">
        <v>2.0</v>
      </c>
      <c r="AZ1291" s="1">
        <v>89.99</v>
      </c>
      <c r="BB1291" s="1">
        <v>179.98</v>
      </c>
    </row>
    <row r="1292">
      <c r="A1292" s="1" t="s">
        <v>62</v>
      </c>
      <c r="C1292" s="1" t="s">
        <v>56</v>
      </c>
      <c r="D1292" s="1" t="s">
        <v>2236</v>
      </c>
      <c r="Y1292" s="2">
        <v>45516.0</v>
      </c>
      <c r="AE1292" s="1">
        <v>249.49</v>
      </c>
      <c r="AG1292" s="3" t="str">
        <f>"2000006164936569"</f>
        <v>2000006164936569</v>
      </c>
      <c r="AH1292" s="1" t="s">
        <v>58</v>
      </c>
      <c r="AI1292" s="1" t="s">
        <v>59</v>
      </c>
      <c r="AJ1292" s="1" t="s">
        <v>59</v>
      </c>
      <c r="AK1292" s="1" t="s">
        <v>60</v>
      </c>
      <c r="AL1292" s="1" t="s">
        <v>60</v>
      </c>
      <c r="AW1292" s="1" t="s">
        <v>64</v>
      </c>
      <c r="AY1292" s="1">
        <v>1.0</v>
      </c>
      <c r="AZ1292" s="1">
        <v>249.49</v>
      </c>
      <c r="BB1292" s="1">
        <v>249.49</v>
      </c>
    </row>
    <row r="1293">
      <c r="A1293" s="1" t="s">
        <v>721</v>
      </c>
      <c r="C1293" s="1" t="s">
        <v>56</v>
      </c>
      <c r="D1293" s="1" t="s">
        <v>2237</v>
      </c>
      <c r="Y1293" s="2">
        <v>45516.0</v>
      </c>
      <c r="AE1293" s="1">
        <v>54.99</v>
      </c>
      <c r="AG1293" s="3" t="str">
        <f>"2000006164973967"</f>
        <v>2000006164973967</v>
      </c>
      <c r="AH1293" s="1" t="s">
        <v>58</v>
      </c>
      <c r="AI1293" s="1" t="s">
        <v>59</v>
      </c>
      <c r="AJ1293" s="1" t="s">
        <v>59</v>
      </c>
      <c r="AK1293" s="1" t="s">
        <v>60</v>
      </c>
      <c r="AL1293" s="1" t="s">
        <v>60</v>
      </c>
      <c r="AW1293" s="1" t="s">
        <v>723</v>
      </c>
      <c r="AY1293" s="1">
        <v>1.0</v>
      </c>
      <c r="AZ1293" s="1">
        <v>54.99</v>
      </c>
      <c r="BB1293" s="1">
        <v>54.99</v>
      </c>
    </row>
    <row r="1294">
      <c r="A1294" s="1" t="s">
        <v>1470</v>
      </c>
      <c r="C1294" s="1" t="s">
        <v>56</v>
      </c>
      <c r="D1294" s="1" t="s">
        <v>2238</v>
      </c>
      <c r="Y1294" s="2">
        <v>45516.0</v>
      </c>
      <c r="AE1294" s="1">
        <v>94.99</v>
      </c>
      <c r="AG1294" s="3" t="str">
        <f>"2000006164972695"</f>
        <v>2000006164972695</v>
      </c>
      <c r="AH1294" s="1" t="s">
        <v>58</v>
      </c>
      <c r="AI1294" s="1" t="s">
        <v>59</v>
      </c>
      <c r="AJ1294" s="1" t="s">
        <v>59</v>
      </c>
      <c r="AK1294" s="1" t="s">
        <v>60</v>
      </c>
      <c r="AL1294" s="1" t="s">
        <v>60</v>
      </c>
      <c r="AW1294" s="1" t="s">
        <v>94</v>
      </c>
      <c r="AY1294" s="1">
        <v>1.0</v>
      </c>
      <c r="AZ1294" s="1">
        <v>94.99</v>
      </c>
      <c r="BB1294" s="1">
        <v>94.99</v>
      </c>
    </row>
    <row r="1295">
      <c r="A1295" s="1" t="s">
        <v>2239</v>
      </c>
      <c r="C1295" s="1" t="s">
        <v>56</v>
      </c>
      <c r="D1295" s="1" t="s">
        <v>2240</v>
      </c>
      <c r="Y1295" s="2">
        <v>45516.0</v>
      </c>
      <c r="AE1295" s="1">
        <v>49.99</v>
      </c>
      <c r="AG1295" s="3" t="str">
        <f>"2000006164882879"</f>
        <v>2000006164882879</v>
      </c>
      <c r="AH1295" s="1" t="s">
        <v>58</v>
      </c>
      <c r="AI1295" s="1" t="s">
        <v>59</v>
      </c>
      <c r="AJ1295" s="1" t="s">
        <v>59</v>
      </c>
      <c r="AK1295" s="1" t="s">
        <v>60</v>
      </c>
      <c r="AL1295" s="1" t="s">
        <v>60</v>
      </c>
      <c r="AW1295" s="1" t="s">
        <v>664</v>
      </c>
      <c r="AY1295" s="1">
        <v>1.0</v>
      </c>
      <c r="AZ1295" s="1">
        <v>49.99</v>
      </c>
      <c r="BB1295" s="1">
        <v>49.99</v>
      </c>
    </row>
    <row r="1296">
      <c r="A1296" s="1" t="s">
        <v>953</v>
      </c>
      <c r="C1296" s="1" t="s">
        <v>56</v>
      </c>
      <c r="D1296" s="1" t="s">
        <v>208</v>
      </c>
      <c r="Y1296" s="2">
        <v>45516.0</v>
      </c>
      <c r="AE1296" s="1">
        <v>79.98</v>
      </c>
      <c r="AG1296" s="3" t="str">
        <f>"2000006164860931"</f>
        <v>2000006164860931</v>
      </c>
      <c r="AH1296" s="1" t="s">
        <v>58</v>
      </c>
      <c r="AI1296" s="1" t="s">
        <v>59</v>
      </c>
      <c r="AJ1296" s="1" t="s">
        <v>59</v>
      </c>
      <c r="AK1296" s="1" t="s">
        <v>60</v>
      </c>
      <c r="AL1296" s="1" t="s">
        <v>60</v>
      </c>
      <c r="AW1296" s="1" t="s">
        <v>955</v>
      </c>
      <c r="AY1296" s="1">
        <v>2.0</v>
      </c>
      <c r="AZ1296" s="1">
        <v>39.99</v>
      </c>
      <c r="BB1296" s="1">
        <v>79.98</v>
      </c>
    </row>
    <row r="1297">
      <c r="A1297" s="1" t="s">
        <v>819</v>
      </c>
      <c r="C1297" s="1" t="s">
        <v>56</v>
      </c>
      <c r="D1297" s="1" t="s">
        <v>2241</v>
      </c>
      <c r="Y1297" s="2">
        <v>45516.0</v>
      </c>
      <c r="AE1297" s="1">
        <v>449.99</v>
      </c>
      <c r="AG1297" s="3" t="str">
        <f>"2000009018188640"</f>
        <v>2000009018188640</v>
      </c>
      <c r="AH1297" s="1" t="s">
        <v>58</v>
      </c>
      <c r="AI1297" s="1" t="s">
        <v>59</v>
      </c>
      <c r="AJ1297" s="1" t="s">
        <v>59</v>
      </c>
      <c r="AK1297" s="1" t="s">
        <v>60</v>
      </c>
      <c r="AL1297" s="1" t="s">
        <v>60</v>
      </c>
      <c r="AW1297" s="1" t="s">
        <v>821</v>
      </c>
      <c r="AY1297" s="1">
        <v>1.0</v>
      </c>
      <c r="AZ1297" s="1">
        <v>449.99</v>
      </c>
      <c r="BB1297" s="1">
        <v>449.99</v>
      </c>
    </row>
    <row r="1298">
      <c r="A1298" s="1" t="s">
        <v>1281</v>
      </c>
      <c r="C1298" s="1" t="s">
        <v>235</v>
      </c>
      <c r="D1298" s="1" t="s">
        <v>2242</v>
      </c>
      <c r="Y1298" s="2">
        <v>45516.0</v>
      </c>
      <c r="AE1298" s="1">
        <v>79.99</v>
      </c>
      <c r="AG1298" s="3" t="str">
        <f>"2000006168303027"</f>
        <v>2000006168303027</v>
      </c>
      <c r="AH1298" s="1" t="s">
        <v>58</v>
      </c>
      <c r="AI1298" s="1" t="s">
        <v>59</v>
      </c>
      <c r="AJ1298" s="1" t="s">
        <v>59</v>
      </c>
      <c r="AK1298" s="1" t="s">
        <v>60</v>
      </c>
      <c r="AL1298" s="1" t="s">
        <v>60</v>
      </c>
      <c r="AW1298" s="1" t="s">
        <v>1283</v>
      </c>
      <c r="AY1298" s="1">
        <v>1.0</v>
      </c>
      <c r="AZ1298" s="1">
        <v>79.99</v>
      </c>
      <c r="BB1298" s="1">
        <v>79.99</v>
      </c>
    </row>
    <row r="1299">
      <c r="A1299" s="1" t="s">
        <v>2243</v>
      </c>
      <c r="C1299" s="1" t="s">
        <v>56</v>
      </c>
      <c r="D1299" s="1" t="s">
        <v>2244</v>
      </c>
      <c r="Y1299" s="2">
        <v>45516.0</v>
      </c>
      <c r="AE1299" s="1">
        <v>64.99</v>
      </c>
      <c r="AG1299" s="3" t="str">
        <f>"2000006164793317"</f>
        <v>2000006164793317</v>
      </c>
      <c r="AH1299" s="1" t="s">
        <v>58</v>
      </c>
      <c r="AI1299" s="1" t="s">
        <v>59</v>
      </c>
      <c r="AJ1299" s="1" t="s">
        <v>59</v>
      </c>
      <c r="AK1299" s="1" t="s">
        <v>60</v>
      </c>
      <c r="AL1299" s="1" t="s">
        <v>60</v>
      </c>
      <c r="AW1299" s="1" t="s">
        <v>2245</v>
      </c>
      <c r="AY1299" s="1">
        <v>1.0</v>
      </c>
      <c r="AZ1299" s="1">
        <v>64.99</v>
      </c>
      <c r="BB1299" s="1">
        <v>64.99</v>
      </c>
    </row>
    <row r="1300">
      <c r="A1300" s="1" t="s">
        <v>407</v>
      </c>
      <c r="C1300" s="1" t="s">
        <v>56</v>
      </c>
      <c r="D1300" s="1" t="s">
        <v>2246</v>
      </c>
      <c r="Y1300" s="2">
        <v>45516.0</v>
      </c>
      <c r="AE1300" s="1">
        <v>94.99</v>
      </c>
      <c r="AG1300" s="3" t="str">
        <f>"2000006164439469"</f>
        <v>2000006164439469</v>
      </c>
      <c r="AH1300" s="1" t="s">
        <v>58</v>
      </c>
      <c r="AI1300" s="1" t="s">
        <v>59</v>
      </c>
      <c r="AJ1300" s="1" t="s">
        <v>59</v>
      </c>
      <c r="AK1300" s="1" t="s">
        <v>60</v>
      </c>
      <c r="AL1300" s="1" t="s">
        <v>60</v>
      </c>
      <c r="AW1300" s="1" t="s">
        <v>409</v>
      </c>
      <c r="AY1300" s="1">
        <v>1.0</v>
      </c>
      <c r="AZ1300" s="1">
        <v>94.99</v>
      </c>
      <c r="BB1300" s="1">
        <v>94.99</v>
      </c>
    </row>
    <row r="1301">
      <c r="A1301" s="1" t="s">
        <v>872</v>
      </c>
      <c r="C1301" s="1" t="s">
        <v>56</v>
      </c>
      <c r="D1301" s="1" t="s">
        <v>2247</v>
      </c>
      <c r="Y1301" s="2">
        <v>45516.0</v>
      </c>
      <c r="AE1301" s="1">
        <v>249.99</v>
      </c>
      <c r="AG1301" s="3" t="str">
        <f>"2000009018098402"</f>
        <v>2000009018098402</v>
      </c>
      <c r="AH1301" s="1" t="s">
        <v>58</v>
      </c>
      <c r="AI1301" s="1" t="s">
        <v>59</v>
      </c>
      <c r="AJ1301" s="1" t="s">
        <v>59</v>
      </c>
      <c r="AK1301" s="1" t="s">
        <v>60</v>
      </c>
      <c r="AL1301" s="1" t="s">
        <v>60</v>
      </c>
      <c r="AW1301" s="1" t="s">
        <v>874</v>
      </c>
      <c r="AY1301" s="1">
        <v>1.0</v>
      </c>
      <c r="AZ1301" s="1">
        <v>249.99</v>
      </c>
      <c r="BB1301" s="1">
        <v>249.99</v>
      </c>
    </row>
    <row r="1302">
      <c r="A1302" s="1" t="s">
        <v>2248</v>
      </c>
      <c r="C1302" s="1" t="s">
        <v>235</v>
      </c>
      <c r="D1302" s="1" t="s">
        <v>2249</v>
      </c>
      <c r="Y1302" s="2">
        <v>45516.0</v>
      </c>
      <c r="AE1302" s="1">
        <v>59.99</v>
      </c>
      <c r="AG1302" s="3" t="str">
        <f>"2000009018084420"</f>
        <v>2000009018084420</v>
      </c>
      <c r="AH1302" s="1" t="s">
        <v>58</v>
      </c>
      <c r="AI1302" s="1" t="s">
        <v>59</v>
      </c>
      <c r="AJ1302" s="1" t="s">
        <v>59</v>
      </c>
      <c r="AK1302" s="1" t="s">
        <v>60</v>
      </c>
      <c r="AL1302" s="1" t="s">
        <v>60</v>
      </c>
      <c r="AW1302" s="1" t="s">
        <v>2250</v>
      </c>
      <c r="AY1302" s="1">
        <v>1.0</v>
      </c>
      <c r="AZ1302" s="1">
        <v>59.99</v>
      </c>
      <c r="BB1302" s="1">
        <v>59.99</v>
      </c>
    </row>
    <row r="1303">
      <c r="A1303" s="1" t="s">
        <v>2251</v>
      </c>
      <c r="C1303" s="1" t="s">
        <v>56</v>
      </c>
      <c r="D1303" s="1" t="s">
        <v>2252</v>
      </c>
      <c r="Y1303" s="2">
        <v>45516.0</v>
      </c>
      <c r="AE1303" s="1">
        <v>179.99</v>
      </c>
      <c r="AG1303" s="3" t="str">
        <f>"2000006164755167"</f>
        <v>2000006164755167</v>
      </c>
      <c r="AH1303" s="1" t="s">
        <v>58</v>
      </c>
      <c r="AI1303" s="1" t="s">
        <v>59</v>
      </c>
      <c r="AJ1303" s="1" t="s">
        <v>59</v>
      </c>
      <c r="AK1303" s="1" t="s">
        <v>60</v>
      </c>
      <c r="AL1303" s="1" t="s">
        <v>60</v>
      </c>
      <c r="AW1303" s="1" t="s">
        <v>2253</v>
      </c>
      <c r="AY1303" s="1">
        <v>1.0</v>
      </c>
      <c r="AZ1303" s="1">
        <v>179.99</v>
      </c>
      <c r="BB1303" s="1">
        <v>179.99</v>
      </c>
    </row>
    <row r="1304">
      <c r="A1304" s="1" t="s">
        <v>1679</v>
      </c>
      <c r="C1304" s="1" t="s">
        <v>56</v>
      </c>
      <c r="D1304" s="1" t="s">
        <v>2254</v>
      </c>
      <c r="Y1304" s="2">
        <v>45516.0</v>
      </c>
      <c r="AE1304" s="1">
        <v>229.99</v>
      </c>
      <c r="AG1304" s="3" t="str">
        <f>"2000006164724081"</f>
        <v>2000006164724081</v>
      </c>
      <c r="AH1304" s="1" t="s">
        <v>58</v>
      </c>
      <c r="AI1304" s="1" t="s">
        <v>59</v>
      </c>
      <c r="AJ1304" s="1" t="s">
        <v>59</v>
      </c>
      <c r="AK1304" s="1" t="s">
        <v>60</v>
      </c>
      <c r="AL1304" s="1" t="s">
        <v>60</v>
      </c>
      <c r="AW1304" s="1" t="s">
        <v>1681</v>
      </c>
      <c r="AY1304" s="1">
        <v>1.0</v>
      </c>
      <c r="AZ1304" s="1">
        <v>229.99</v>
      </c>
      <c r="BB1304" s="1">
        <v>229.99</v>
      </c>
    </row>
    <row r="1305">
      <c r="A1305" s="1" t="s">
        <v>120</v>
      </c>
      <c r="C1305" s="1" t="s">
        <v>56</v>
      </c>
      <c r="D1305" s="1" t="s">
        <v>2255</v>
      </c>
      <c r="Y1305" s="2">
        <v>45516.0</v>
      </c>
      <c r="AE1305" s="1">
        <v>109.98</v>
      </c>
      <c r="AG1305" s="3" t="str">
        <f>"2000006164694007"</f>
        <v>2000006164694007</v>
      </c>
      <c r="AH1305" s="1" t="s">
        <v>58</v>
      </c>
      <c r="AI1305" s="1" t="s">
        <v>59</v>
      </c>
      <c r="AJ1305" s="1" t="s">
        <v>59</v>
      </c>
      <c r="AK1305" s="1" t="s">
        <v>60</v>
      </c>
      <c r="AL1305" s="1" t="s">
        <v>60</v>
      </c>
      <c r="AW1305" s="1" t="s">
        <v>110</v>
      </c>
      <c r="AY1305" s="1">
        <v>2.0</v>
      </c>
      <c r="AZ1305" s="1">
        <v>54.99</v>
      </c>
      <c r="BB1305" s="1">
        <v>109.98</v>
      </c>
    </row>
    <row r="1306">
      <c r="A1306" s="1" t="s">
        <v>108</v>
      </c>
      <c r="C1306" s="1" t="s">
        <v>56</v>
      </c>
      <c r="D1306" s="1" t="s">
        <v>2255</v>
      </c>
      <c r="Y1306" s="2">
        <v>45516.0</v>
      </c>
      <c r="AE1306" s="1">
        <v>54.99</v>
      </c>
      <c r="AG1306" s="3" t="str">
        <f t="shared" ref="AG1306:AG1308" si="53">"2000006164694009"</f>
        <v>2000006164694009</v>
      </c>
      <c r="AH1306" s="1" t="s">
        <v>58</v>
      </c>
      <c r="AI1306" s="1" t="s">
        <v>59</v>
      </c>
      <c r="AJ1306" s="1" t="s">
        <v>59</v>
      </c>
      <c r="AK1306" s="1" t="s">
        <v>60</v>
      </c>
      <c r="AL1306" s="1" t="s">
        <v>60</v>
      </c>
      <c r="AW1306" s="1" t="s">
        <v>110</v>
      </c>
      <c r="AY1306" s="1">
        <v>1.0</v>
      </c>
      <c r="AZ1306" s="1">
        <v>54.99</v>
      </c>
      <c r="BB1306" s="1">
        <v>54.99</v>
      </c>
    </row>
    <row r="1307">
      <c r="A1307" s="1" t="s">
        <v>1698</v>
      </c>
      <c r="C1307" s="1" t="s">
        <v>56</v>
      </c>
      <c r="D1307" s="1" t="s">
        <v>2255</v>
      </c>
      <c r="Y1307" s="2">
        <v>45516.0</v>
      </c>
      <c r="AE1307" s="1">
        <v>109.98</v>
      </c>
      <c r="AG1307" s="3" t="str">
        <f t="shared" si="53"/>
        <v>2000006164694009</v>
      </c>
      <c r="AH1307" s="1" t="s">
        <v>58</v>
      </c>
      <c r="AI1307" s="1" t="s">
        <v>59</v>
      </c>
      <c r="AJ1307" s="1" t="s">
        <v>59</v>
      </c>
      <c r="AK1307" s="1" t="s">
        <v>60</v>
      </c>
      <c r="AL1307" s="1" t="s">
        <v>60</v>
      </c>
      <c r="AW1307" s="1" t="s">
        <v>497</v>
      </c>
      <c r="AY1307" s="1">
        <v>2.0</v>
      </c>
      <c r="AZ1307" s="1">
        <v>54.99</v>
      </c>
      <c r="BB1307" s="1">
        <v>109.98</v>
      </c>
    </row>
    <row r="1308">
      <c r="A1308" s="1" t="s">
        <v>525</v>
      </c>
      <c r="C1308" s="1" t="s">
        <v>56</v>
      </c>
      <c r="D1308" s="1" t="s">
        <v>2255</v>
      </c>
      <c r="Y1308" s="2">
        <v>45516.0</v>
      </c>
      <c r="AE1308" s="1">
        <v>54.99</v>
      </c>
      <c r="AG1308" s="3" t="str">
        <f t="shared" si="53"/>
        <v>2000006164694009</v>
      </c>
      <c r="AH1308" s="1" t="s">
        <v>58</v>
      </c>
      <c r="AI1308" s="1" t="s">
        <v>59</v>
      </c>
      <c r="AJ1308" s="1" t="s">
        <v>59</v>
      </c>
      <c r="AK1308" s="1" t="s">
        <v>60</v>
      </c>
      <c r="AL1308" s="1" t="s">
        <v>60</v>
      </c>
      <c r="AW1308" s="1" t="s">
        <v>497</v>
      </c>
      <c r="AY1308" s="1">
        <v>1.0</v>
      </c>
      <c r="AZ1308" s="1">
        <v>54.99</v>
      </c>
      <c r="BB1308" s="1">
        <v>54.99</v>
      </c>
    </row>
    <row r="1309">
      <c r="A1309" s="1" t="s">
        <v>2256</v>
      </c>
      <c r="C1309" s="1" t="s">
        <v>56</v>
      </c>
      <c r="D1309" s="1" t="s">
        <v>1749</v>
      </c>
      <c r="Y1309" s="2">
        <v>45516.0</v>
      </c>
      <c r="AE1309" s="1">
        <v>89.99</v>
      </c>
      <c r="AG1309" s="3" t="str">
        <f>"2000006164686109"</f>
        <v>2000006164686109</v>
      </c>
      <c r="AH1309" s="1" t="s">
        <v>58</v>
      </c>
      <c r="AI1309" s="1" t="s">
        <v>59</v>
      </c>
      <c r="AJ1309" s="1" t="s">
        <v>59</v>
      </c>
      <c r="AK1309" s="1" t="s">
        <v>60</v>
      </c>
      <c r="AL1309" s="1" t="s">
        <v>60</v>
      </c>
      <c r="AW1309" s="1" t="s">
        <v>2257</v>
      </c>
      <c r="AY1309" s="1">
        <v>1.0</v>
      </c>
      <c r="AZ1309" s="1">
        <v>89.99</v>
      </c>
      <c r="BB1309" s="1">
        <v>89.99</v>
      </c>
    </row>
    <row r="1310">
      <c r="A1310" s="1" t="s">
        <v>484</v>
      </c>
      <c r="C1310" s="1" t="s">
        <v>56</v>
      </c>
      <c r="D1310" s="1" t="s">
        <v>2258</v>
      </c>
      <c r="Y1310" s="2">
        <v>45516.0</v>
      </c>
      <c r="AE1310" s="1">
        <v>74.99</v>
      </c>
      <c r="AG1310" s="3" t="str">
        <f>"2000006164646353"</f>
        <v>2000006164646353</v>
      </c>
      <c r="AH1310" s="1" t="s">
        <v>58</v>
      </c>
      <c r="AI1310" s="1" t="s">
        <v>59</v>
      </c>
      <c r="AJ1310" s="1" t="s">
        <v>59</v>
      </c>
      <c r="AK1310" s="1" t="s">
        <v>60</v>
      </c>
      <c r="AL1310" s="1" t="s">
        <v>60</v>
      </c>
      <c r="AW1310" s="1" t="s">
        <v>486</v>
      </c>
      <c r="AY1310" s="1">
        <v>1.0</v>
      </c>
      <c r="AZ1310" s="1">
        <v>74.99</v>
      </c>
      <c r="BB1310" s="1">
        <v>74.99</v>
      </c>
    </row>
    <row r="1311">
      <c r="A1311" s="1" t="s">
        <v>195</v>
      </c>
      <c r="C1311" s="1" t="s">
        <v>56</v>
      </c>
      <c r="D1311" s="1" t="s">
        <v>2259</v>
      </c>
      <c r="Y1311" s="2">
        <v>45516.0</v>
      </c>
      <c r="AE1311" s="1">
        <v>47.99</v>
      </c>
      <c r="AG1311" s="3" t="str">
        <f>"2000006164665479"</f>
        <v>2000006164665479</v>
      </c>
      <c r="AH1311" s="1" t="s">
        <v>58</v>
      </c>
      <c r="AI1311" s="1" t="s">
        <v>59</v>
      </c>
      <c r="AJ1311" s="1" t="s">
        <v>59</v>
      </c>
      <c r="AK1311" s="1" t="s">
        <v>60</v>
      </c>
      <c r="AL1311" s="1" t="s">
        <v>60</v>
      </c>
      <c r="AW1311" s="1" t="s">
        <v>197</v>
      </c>
      <c r="AY1311" s="1">
        <v>1.0</v>
      </c>
      <c r="AZ1311" s="1">
        <v>47.99</v>
      </c>
      <c r="BB1311" s="1">
        <v>47.99</v>
      </c>
    </row>
    <row r="1312">
      <c r="A1312" s="1" t="s">
        <v>390</v>
      </c>
      <c r="C1312" s="1" t="s">
        <v>56</v>
      </c>
      <c r="D1312" s="1" t="s">
        <v>2260</v>
      </c>
      <c r="Y1312" s="2">
        <v>45516.0</v>
      </c>
      <c r="AE1312" s="1">
        <v>79.99</v>
      </c>
      <c r="AG1312" s="3" t="str">
        <f>"2000006164665649"</f>
        <v>2000006164665649</v>
      </c>
      <c r="AH1312" s="1" t="s">
        <v>58</v>
      </c>
      <c r="AI1312" s="1" t="s">
        <v>59</v>
      </c>
      <c r="AJ1312" s="1" t="s">
        <v>59</v>
      </c>
      <c r="AK1312" s="1" t="s">
        <v>60</v>
      </c>
      <c r="AL1312" s="1" t="s">
        <v>60</v>
      </c>
      <c r="AW1312" s="1" t="s">
        <v>392</v>
      </c>
      <c r="AY1312" s="1">
        <v>1.0</v>
      </c>
      <c r="AZ1312" s="1">
        <v>79.99</v>
      </c>
      <c r="BB1312" s="1">
        <v>79.99</v>
      </c>
    </row>
    <row r="1313">
      <c r="A1313" s="1" t="s">
        <v>166</v>
      </c>
      <c r="C1313" s="1" t="s">
        <v>56</v>
      </c>
      <c r="D1313" s="1" t="s">
        <v>2261</v>
      </c>
      <c r="Y1313" s="2">
        <v>45516.0</v>
      </c>
      <c r="AE1313" s="1">
        <v>59.99</v>
      </c>
      <c r="AG1313" s="3" t="str">
        <f>"2000006164663343"</f>
        <v>2000006164663343</v>
      </c>
      <c r="AH1313" s="1" t="s">
        <v>58</v>
      </c>
      <c r="AI1313" s="1" t="s">
        <v>59</v>
      </c>
      <c r="AJ1313" s="1" t="s">
        <v>59</v>
      </c>
      <c r="AK1313" s="1" t="s">
        <v>60</v>
      </c>
      <c r="AL1313" s="1" t="s">
        <v>60</v>
      </c>
      <c r="AW1313" s="1" t="s">
        <v>165</v>
      </c>
      <c r="AY1313" s="1">
        <v>1.0</v>
      </c>
      <c r="AZ1313" s="1">
        <v>59.99</v>
      </c>
      <c r="BB1313" s="1">
        <v>59.99</v>
      </c>
    </row>
    <row r="1314">
      <c r="A1314" s="1" t="s">
        <v>1184</v>
      </c>
      <c r="C1314" s="1" t="s">
        <v>56</v>
      </c>
      <c r="D1314" s="1" t="s">
        <v>2262</v>
      </c>
      <c r="Y1314" s="2">
        <v>45516.0</v>
      </c>
      <c r="AE1314" s="1">
        <v>49.99</v>
      </c>
      <c r="AG1314" s="3" t="str">
        <f>"2000006164645121"</f>
        <v>2000006164645121</v>
      </c>
      <c r="AH1314" s="1" t="s">
        <v>58</v>
      </c>
      <c r="AI1314" s="1" t="s">
        <v>59</v>
      </c>
      <c r="AJ1314" s="1" t="s">
        <v>59</v>
      </c>
      <c r="AK1314" s="1" t="s">
        <v>60</v>
      </c>
      <c r="AL1314" s="1" t="s">
        <v>60</v>
      </c>
      <c r="AW1314" s="1" t="s">
        <v>972</v>
      </c>
      <c r="AY1314" s="1">
        <v>1.0</v>
      </c>
      <c r="AZ1314" s="1">
        <v>49.99</v>
      </c>
      <c r="BB1314" s="1">
        <v>49.99</v>
      </c>
    </row>
    <row r="1315">
      <c r="A1315" s="1" t="s">
        <v>2263</v>
      </c>
      <c r="C1315" s="1" t="s">
        <v>56</v>
      </c>
      <c r="D1315" s="1" t="s">
        <v>2264</v>
      </c>
      <c r="Y1315" s="2">
        <v>45516.0</v>
      </c>
      <c r="AE1315" s="1">
        <v>59.99</v>
      </c>
      <c r="AG1315" s="3" t="str">
        <f>"2000006164606471"</f>
        <v>2000006164606471</v>
      </c>
      <c r="AH1315" s="1" t="s">
        <v>58</v>
      </c>
      <c r="AI1315" s="1" t="s">
        <v>59</v>
      </c>
      <c r="AJ1315" s="1" t="s">
        <v>59</v>
      </c>
      <c r="AK1315" s="1" t="s">
        <v>60</v>
      </c>
      <c r="AL1315" s="1" t="s">
        <v>60</v>
      </c>
      <c r="AW1315" s="1" t="s">
        <v>61</v>
      </c>
      <c r="AY1315" s="1">
        <v>1.0</v>
      </c>
      <c r="AZ1315" s="1">
        <v>59.99</v>
      </c>
      <c r="BB1315" s="1">
        <v>59.99</v>
      </c>
    </row>
    <row r="1316">
      <c r="A1316" s="1" t="s">
        <v>575</v>
      </c>
      <c r="C1316" s="1" t="s">
        <v>56</v>
      </c>
      <c r="D1316" s="1" t="s">
        <v>2265</v>
      </c>
      <c r="Y1316" s="2">
        <v>45516.0</v>
      </c>
      <c r="AE1316" s="1">
        <v>49.99</v>
      </c>
      <c r="AG1316" s="3" t="str">
        <f t="shared" ref="AG1316:AG1317" si="54">"2000006164566619"</f>
        <v>2000006164566619</v>
      </c>
      <c r="AH1316" s="1" t="s">
        <v>58</v>
      </c>
      <c r="AI1316" s="1" t="s">
        <v>59</v>
      </c>
      <c r="AJ1316" s="1" t="s">
        <v>59</v>
      </c>
      <c r="AK1316" s="1" t="s">
        <v>60</v>
      </c>
      <c r="AL1316" s="1" t="s">
        <v>60</v>
      </c>
      <c r="AW1316" s="1" t="s">
        <v>97</v>
      </c>
      <c r="AY1316" s="1">
        <v>1.0</v>
      </c>
      <c r="AZ1316" s="1">
        <v>49.99</v>
      </c>
      <c r="BB1316" s="1">
        <v>49.99</v>
      </c>
    </row>
    <row r="1317">
      <c r="A1317" s="1" t="s">
        <v>2266</v>
      </c>
      <c r="C1317" s="1" t="s">
        <v>56</v>
      </c>
      <c r="D1317" s="1" t="s">
        <v>2265</v>
      </c>
      <c r="Y1317" s="2">
        <v>45516.0</v>
      </c>
      <c r="AE1317" s="1">
        <v>49.99</v>
      </c>
      <c r="AG1317" s="3" t="str">
        <f t="shared" si="54"/>
        <v>2000006164566619</v>
      </c>
      <c r="AH1317" s="1" t="s">
        <v>58</v>
      </c>
      <c r="AI1317" s="1" t="s">
        <v>59</v>
      </c>
      <c r="AJ1317" s="1" t="s">
        <v>59</v>
      </c>
      <c r="AK1317" s="1" t="s">
        <v>60</v>
      </c>
      <c r="AL1317" s="1" t="s">
        <v>60</v>
      </c>
      <c r="AW1317" s="1" t="s">
        <v>97</v>
      </c>
      <c r="AY1317" s="1">
        <v>1.0</v>
      </c>
      <c r="AZ1317" s="1">
        <v>49.99</v>
      </c>
      <c r="BB1317" s="1">
        <v>49.99</v>
      </c>
    </row>
    <row r="1318">
      <c r="A1318" s="1" t="s">
        <v>283</v>
      </c>
      <c r="C1318" s="1" t="s">
        <v>56</v>
      </c>
      <c r="D1318" s="1" t="s">
        <v>2267</v>
      </c>
      <c r="Y1318" s="2">
        <v>45516.0</v>
      </c>
      <c r="AE1318" s="1">
        <v>499.99</v>
      </c>
      <c r="AG1318" s="3" t="str">
        <f>"2000009017673898"</f>
        <v>2000009017673898</v>
      </c>
      <c r="AH1318" s="1" t="s">
        <v>58</v>
      </c>
      <c r="AI1318" s="1" t="s">
        <v>59</v>
      </c>
      <c r="AJ1318" s="1" t="s">
        <v>59</v>
      </c>
      <c r="AK1318" s="1" t="s">
        <v>60</v>
      </c>
      <c r="AL1318" s="1" t="s">
        <v>60</v>
      </c>
      <c r="AW1318" s="1" t="s">
        <v>285</v>
      </c>
      <c r="AY1318" s="1">
        <v>1.0</v>
      </c>
      <c r="AZ1318" s="1">
        <v>499.99</v>
      </c>
      <c r="BB1318" s="1">
        <v>499.99</v>
      </c>
    </row>
    <row r="1319">
      <c r="A1319" s="1" t="s">
        <v>798</v>
      </c>
      <c r="C1319" s="1" t="s">
        <v>56</v>
      </c>
      <c r="D1319" s="1" t="s">
        <v>2268</v>
      </c>
      <c r="Y1319" s="2">
        <v>45516.0</v>
      </c>
      <c r="AE1319" s="1">
        <v>89.99</v>
      </c>
      <c r="AG1319" s="3" t="str">
        <f>"2000006164555259"</f>
        <v>2000006164555259</v>
      </c>
      <c r="AH1319" s="1" t="s">
        <v>58</v>
      </c>
      <c r="AI1319" s="1" t="s">
        <v>59</v>
      </c>
      <c r="AJ1319" s="1" t="s">
        <v>59</v>
      </c>
      <c r="AK1319" s="1" t="s">
        <v>60</v>
      </c>
      <c r="AL1319" s="1" t="s">
        <v>60</v>
      </c>
      <c r="AW1319" s="1" t="s">
        <v>800</v>
      </c>
      <c r="AY1319" s="1">
        <v>1.0</v>
      </c>
      <c r="AZ1319" s="1">
        <v>89.99</v>
      </c>
      <c r="BB1319" s="1">
        <v>89.99</v>
      </c>
    </row>
    <row r="1320">
      <c r="A1320" s="1" t="s">
        <v>2269</v>
      </c>
      <c r="C1320" s="1" t="s">
        <v>56</v>
      </c>
      <c r="D1320" s="1" t="s">
        <v>2270</v>
      </c>
      <c r="Y1320" s="2">
        <v>45516.0</v>
      </c>
      <c r="AE1320" s="1">
        <v>49.99</v>
      </c>
      <c r="AG1320" s="3" t="str">
        <f>"2000006164536391"</f>
        <v>2000006164536391</v>
      </c>
      <c r="AH1320" s="1" t="s">
        <v>58</v>
      </c>
      <c r="AI1320" s="1" t="s">
        <v>59</v>
      </c>
      <c r="AJ1320" s="1" t="s">
        <v>59</v>
      </c>
      <c r="AK1320" s="1" t="s">
        <v>60</v>
      </c>
      <c r="AL1320" s="1" t="s">
        <v>60</v>
      </c>
      <c r="AW1320" s="1" t="s">
        <v>1838</v>
      </c>
      <c r="AY1320" s="1">
        <v>1.0</v>
      </c>
      <c r="AZ1320" s="1">
        <v>49.99</v>
      </c>
      <c r="BB1320" s="1">
        <v>49.99</v>
      </c>
    </row>
    <row r="1321">
      <c r="A1321" s="1" t="s">
        <v>1011</v>
      </c>
      <c r="C1321" s="1" t="s">
        <v>56</v>
      </c>
      <c r="D1321" s="1" t="s">
        <v>2271</v>
      </c>
      <c r="Y1321" s="2">
        <v>45516.0</v>
      </c>
      <c r="AE1321" s="1">
        <v>109.98</v>
      </c>
      <c r="AG1321" s="3" t="str">
        <f>"2000006164421043"</f>
        <v>2000006164421043</v>
      </c>
      <c r="AH1321" s="1" t="s">
        <v>58</v>
      </c>
      <c r="AI1321" s="1" t="s">
        <v>59</v>
      </c>
      <c r="AJ1321" s="1" t="s">
        <v>59</v>
      </c>
      <c r="AK1321" s="1" t="s">
        <v>60</v>
      </c>
      <c r="AL1321" s="1" t="s">
        <v>60</v>
      </c>
      <c r="AW1321" s="1" t="s">
        <v>1013</v>
      </c>
      <c r="AY1321" s="1">
        <v>2.0</v>
      </c>
      <c r="AZ1321" s="1">
        <v>54.99</v>
      </c>
      <c r="BB1321" s="1">
        <v>109.98</v>
      </c>
    </row>
    <row r="1322">
      <c r="A1322" s="1" t="s">
        <v>1521</v>
      </c>
      <c r="C1322" s="1" t="s">
        <v>56</v>
      </c>
      <c r="D1322" s="1" t="s">
        <v>2272</v>
      </c>
      <c r="Y1322" s="2">
        <v>45516.0</v>
      </c>
      <c r="AE1322" s="1">
        <v>49.99</v>
      </c>
      <c r="AG1322" s="3" t="str">
        <f>"2000006164473443"</f>
        <v>2000006164473443</v>
      </c>
      <c r="AH1322" s="1" t="s">
        <v>58</v>
      </c>
      <c r="AI1322" s="1" t="s">
        <v>59</v>
      </c>
      <c r="AJ1322" s="1" t="s">
        <v>59</v>
      </c>
      <c r="AK1322" s="1" t="s">
        <v>60</v>
      </c>
      <c r="AL1322" s="1" t="s">
        <v>60</v>
      </c>
      <c r="AW1322" s="1" t="s">
        <v>1523</v>
      </c>
      <c r="AY1322" s="1">
        <v>1.0</v>
      </c>
      <c r="AZ1322" s="1">
        <v>49.99</v>
      </c>
      <c r="BB1322" s="1">
        <v>49.99</v>
      </c>
    </row>
    <row r="1323">
      <c r="A1323" s="1" t="s">
        <v>1527</v>
      </c>
      <c r="C1323" s="1" t="s">
        <v>56</v>
      </c>
      <c r="D1323" s="1" t="s">
        <v>2273</v>
      </c>
      <c r="Y1323" s="2">
        <v>45516.0</v>
      </c>
      <c r="AE1323" s="1">
        <v>39.99</v>
      </c>
      <c r="AG1323" s="3" t="str">
        <f>"2000006164456197"</f>
        <v>2000006164456197</v>
      </c>
      <c r="AH1323" s="1" t="s">
        <v>58</v>
      </c>
      <c r="AI1323" s="1" t="s">
        <v>59</v>
      </c>
      <c r="AJ1323" s="1" t="s">
        <v>59</v>
      </c>
      <c r="AK1323" s="1" t="s">
        <v>60</v>
      </c>
      <c r="AL1323" s="1" t="s">
        <v>60</v>
      </c>
      <c r="AW1323" s="1" t="s">
        <v>1529</v>
      </c>
      <c r="AY1323" s="1">
        <v>1.0</v>
      </c>
      <c r="AZ1323" s="1">
        <v>39.99</v>
      </c>
      <c r="BB1323" s="1">
        <v>39.99</v>
      </c>
    </row>
    <row r="1324">
      <c r="A1324" s="1" t="s">
        <v>86</v>
      </c>
      <c r="C1324" s="1" t="s">
        <v>56</v>
      </c>
      <c r="D1324" s="1" t="s">
        <v>2274</v>
      </c>
      <c r="Y1324" s="2">
        <v>45516.0</v>
      </c>
      <c r="AE1324" s="1">
        <v>64.99</v>
      </c>
      <c r="AG1324" s="3" t="str">
        <f>"2000006164446709"</f>
        <v>2000006164446709</v>
      </c>
      <c r="AH1324" s="1" t="s">
        <v>58</v>
      </c>
      <c r="AI1324" s="1" t="s">
        <v>59</v>
      </c>
      <c r="AJ1324" s="1" t="s">
        <v>59</v>
      </c>
      <c r="AK1324" s="1" t="s">
        <v>60</v>
      </c>
      <c r="AL1324" s="1" t="s">
        <v>60</v>
      </c>
      <c r="AW1324" s="1" t="s">
        <v>88</v>
      </c>
      <c r="AY1324" s="1">
        <v>1.0</v>
      </c>
      <c r="AZ1324" s="1">
        <v>64.99</v>
      </c>
      <c r="BB1324" s="1">
        <v>64.99</v>
      </c>
    </row>
    <row r="1325">
      <c r="A1325" s="1" t="s">
        <v>426</v>
      </c>
      <c r="C1325" s="1" t="s">
        <v>56</v>
      </c>
      <c r="D1325" s="1" t="s">
        <v>2275</v>
      </c>
      <c r="Y1325" s="2">
        <v>45516.0</v>
      </c>
      <c r="AE1325" s="1">
        <v>54.99</v>
      </c>
      <c r="AG1325" s="3" t="str">
        <f t="shared" ref="AG1325:AG1326" si="55">"2000006164432091"</f>
        <v>2000006164432091</v>
      </c>
      <c r="AH1325" s="1" t="s">
        <v>58</v>
      </c>
      <c r="AI1325" s="1" t="s">
        <v>59</v>
      </c>
      <c r="AJ1325" s="1" t="s">
        <v>59</v>
      </c>
      <c r="AK1325" s="1" t="s">
        <v>60</v>
      </c>
      <c r="AL1325" s="1" t="s">
        <v>60</v>
      </c>
      <c r="AW1325" s="1" t="s">
        <v>1572</v>
      </c>
      <c r="AY1325" s="1">
        <v>1.0</v>
      </c>
      <c r="AZ1325" s="1">
        <v>54.99</v>
      </c>
      <c r="BB1325" s="1">
        <v>54.99</v>
      </c>
    </row>
    <row r="1326">
      <c r="A1326" s="1" t="s">
        <v>83</v>
      </c>
      <c r="C1326" s="1" t="s">
        <v>56</v>
      </c>
      <c r="D1326" s="1" t="s">
        <v>2275</v>
      </c>
      <c r="Y1326" s="2">
        <v>45516.0</v>
      </c>
      <c r="AE1326" s="1">
        <v>54.99</v>
      </c>
      <c r="AG1326" s="3" t="str">
        <f t="shared" si="55"/>
        <v>2000006164432091</v>
      </c>
      <c r="AH1326" s="1" t="s">
        <v>58</v>
      </c>
      <c r="AI1326" s="1" t="s">
        <v>59</v>
      </c>
      <c r="AJ1326" s="1" t="s">
        <v>59</v>
      </c>
      <c r="AK1326" s="1" t="s">
        <v>60</v>
      </c>
      <c r="AL1326" s="1" t="s">
        <v>60</v>
      </c>
      <c r="AW1326" s="1" t="s">
        <v>1572</v>
      </c>
      <c r="AY1326" s="1">
        <v>1.0</v>
      </c>
      <c r="AZ1326" s="1">
        <v>54.99</v>
      </c>
      <c r="BB1326" s="1">
        <v>54.99</v>
      </c>
    </row>
    <row r="1327">
      <c r="A1327" s="1" t="s">
        <v>721</v>
      </c>
      <c r="C1327" s="1" t="s">
        <v>56</v>
      </c>
      <c r="D1327" s="1" t="s">
        <v>2276</v>
      </c>
      <c r="Y1327" s="2">
        <v>45516.0</v>
      </c>
      <c r="AE1327" s="1">
        <v>54.99</v>
      </c>
      <c r="AG1327" s="3" t="str">
        <f>"2000006164390643"</f>
        <v>2000006164390643</v>
      </c>
      <c r="AH1327" s="1" t="s">
        <v>58</v>
      </c>
      <c r="AI1327" s="1" t="s">
        <v>59</v>
      </c>
      <c r="AJ1327" s="1" t="s">
        <v>59</v>
      </c>
      <c r="AK1327" s="1" t="s">
        <v>60</v>
      </c>
      <c r="AL1327" s="1" t="s">
        <v>60</v>
      </c>
      <c r="AW1327" s="1" t="s">
        <v>723</v>
      </c>
      <c r="AY1327" s="1">
        <v>1.0</v>
      </c>
      <c r="AZ1327" s="1">
        <v>54.99</v>
      </c>
      <c r="BB1327" s="1">
        <v>54.99</v>
      </c>
    </row>
    <row r="1328">
      <c r="A1328" s="1" t="s">
        <v>2277</v>
      </c>
      <c r="C1328" s="1" t="s">
        <v>56</v>
      </c>
      <c r="D1328" s="1" t="s">
        <v>2278</v>
      </c>
      <c r="Y1328" s="2">
        <v>45516.0</v>
      </c>
      <c r="AE1328" s="1">
        <v>99.99</v>
      </c>
      <c r="AG1328" s="3" t="str">
        <f>"2000006164320431"</f>
        <v>2000006164320431</v>
      </c>
      <c r="AH1328" s="1" t="s">
        <v>58</v>
      </c>
      <c r="AI1328" s="1" t="s">
        <v>59</v>
      </c>
      <c r="AJ1328" s="1" t="s">
        <v>59</v>
      </c>
      <c r="AK1328" s="1" t="s">
        <v>60</v>
      </c>
      <c r="AL1328" s="1" t="s">
        <v>60</v>
      </c>
      <c r="AW1328" s="1" t="s">
        <v>2279</v>
      </c>
      <c r="AY1328" s="1">
        <v>1.0</v>
      </c>
      <c r="AZ1328" s="1">
        <v>99.99</v>
      </c>
      <c r="BB1328" s="1">
        <v>99.99</v>
      </c>
    </row>
    <row r="1329">
      <c r="A1329" s="1" t="s">
        <v>502</v>
      </c>
      <c r="C1329" s="1" t="s">
        <v>56</v>
      </c>
      <c r="D1329" s="1" t="s">
        <v>2280</v>
      </c>
      <c r="Y1329" s="2">
        <v>45516.0</v>
      </c>
      <c r="AE1329" s="1">
        <v>99.99</v>
      </c>
      <c r="AG1329" s="3" t="str">
        <f>"2000009017123132"</f>
        <v>2000009017123132</v>
      </c>
      <c r="AH1329" s="1" t="s">
        <v>58</v>
      </c>
      <c r="AI1329" s="1" t="s">
        <v>59</v>
      </c>
      <c r="AJ1329" s="1" t="s">
        <v>59</v>
      </c>
      <c r="AK1329" s="1" t="s">
        <v>60</v>
      </c>
      <c r="AL1329" s="1" t="s">
        <v>60</v>
      </c>
      <c r="AW1329" s="1" t="s">
        <v>504</v>
      </c>
      <c r="AY1329" s="1">
        <v>1.0</v>
      </c>
      <c r="AZ1329" s="1">
        <v>99.99</v>
      </c>
      <c r="BB1329" s="1">
        <v>99.99</v>
      </c>
    </row>
    <row r="1330">
      <c r="A1330" s="1" t="s">
        <v>280</v>
      </c>
      <c r="C1330" s="1" t="s">
        <v>56</v>
      </c>
      <c r="D1330" s="1" t="s">
        <v>2281</v>
      </c>
      <c r="Y1330" s="2">
        <v>45516.0</v>
      </c>
      <c r="AE1330" s="1">
        <v>119.99</v>
      </c>
      <c r="AG1330" s="3" t="str">
        <f>"2000006164232781"</f>
        <v>2000006164232781</v>
      </c>
      <c r="AH1330" s="1" t="s">
        <v>58</v>
      </c>
      <c r="AI1330" s="1" t="s">
        <v>59</v>
      </c>
      <c r="AJ1330" s="1" t="s">
        <v>59</v>
      </c>
      <c r="AK1330" s="1" t="s">
        <v>60</v>
      </c>
      <c r="AL1330" s="1" t="s">
        <v>60</v>
      </c>
      <c r="AW1330" s="1" t="s">
        <v>282</v>
      </c>
      <c r="AY1330" s="1">
        <v>1.0</v>
      </c>
      <c r="AZ1330" s="1">
        <v>119.99</v>
      </c>
      <c r="BB1330" s="1">
        <v>119.99</v>
      </c>
    </row>
    <row r="1331">
      <c r="A1331" s="1" t="s">
        <v>505</v>
      </c>
      <c r="C1331" s="1" t="s">
        <v>56</v>
      </c>
      <c r="D1331" s="1" t="s">
        <v>2282</v>
      </c>
      <c r="Y1331" s="2">
        <v>45516.0</v>
      </c>
      <c r="AE1331" s="1">
        <v>294.99</v>
      </c>
      <c r="AG1331" s="3" t="str">
        <f>"2000006164206537"</f>
        <v>2000006164206537</v>
      </c>
      <c r="AH1331" s="1" t="s">
        <v>58</v>
      </c>
      <c r="AI1331" s="1" t="s">
        <v>59</v>
      </c>
      <c r="AJ1331" s="1" t="s">
        <v>59</v>
      </c>
      <c r="AK1331" s="1" t="s">
        <v>60</v>
      </c>
      <c r="AL1331" s="1" t="s">
        <v>60</v>
      </c>
      <c r="AW1331" s="1" t="s">
        <v>507</v>
      </c>
      <c r="AY1331" s="1">
        <v>1.0</v>
      </c>
      <c r="AZ1331" s="1">
        <v>294.99</v>
      </c>
      <c r="BB1331" s="1">
        <v>294.99</v>
      </c>
    </row>
    <row r="1332">
      <c r="A1332" s="1" t="s">
        <v>204</v>
      </c>
      <c r="C1332" s="1" t="s">
        <v>56</v>
      </c>
      <c r="D1332" s="1" t="s">
        <v>2283</v>
      </c>
      <c r="Y1332" s="2">
        <v>45516.0</v>
      </c>
      <c r="AE1332" s="1">
        <v>57.99</v>
      </c>
      <c r="AG1332" s="3" t="str">
        <f>"2000006164217509"</f>
        <v>2000006164217509</v>
      </c>
      <c r="AH1332" s="1" t="s">
        <v>58</v>
      </c>
      <c r="AI1332" s="1" t="s">
        <v>59</v>
      </c>
      <c r="AJ1332" s="1" t="s">
        <v>59</v>
      </c>
      <c r="AK1332" s="1" t="s">
        <v>60</v>
      </c>
      <c r="AL1332" s="1" t="s">
        <v>60</v>
      </c>
      <c r="AW1332" s="1" t="s">
        <v>206</v>
      </c>
      <c r="AY1332" s="1">
        <v>1.0</v>
      </c>
      <c r="AZ1332" s="1">
        <v>57.99</v>
      </c>
      <c r="BB1332" s="1">
        <v>57.99</v>
      </c>
    </row>
    <row r="1333">
      <c r="A1333" s="1" t="s">
        <v>1397</v>
      </c>
      <c r="C1333" s="1" t="s">
        <v>56</v>
      </c>
      <c r="D1333" s="1" t="s">
        <v>2284</v>
      </c>
      <c r="Y1333" s="2">
        <v>45516.0</v>
      </c>
      <c r="AE1333" s="1">
        <v>39.99</v>
      </c>
      <c r="AG1333" s="3" t="str">
        <f>"2000006164151479"</f>
        <v>2000006164151479</v>
      </c>
      <c r="AH1333" s="1" t="s">
        <v>58</v>
      </c>
      <c r="AI1333" s="1" t="s">
        <v>59</v>
      </c>
      <c r="AJ1333" s="1" t="s">
        <v>59</v>
      </c>
      <c r="AK1333" s="1" t="s">
        <v>60</v>
      </c>
      <c r="AL1333" s="1" t="s">
        <v>60</v>
      </c>
      <c r="AW1333" s="1" t="s">
        <v>149</v>
      </c>
      <c r="AY1333" s="1">
        <v>1.0</v>
      </c>
      <c r="AZ1333" s="1">
        <v>39.99</v>
      </c>
      <c r="BB1333" s="1">
        <v>39.99</v>
      </c>
    </row>
    <row r="1334">
      <c r="A1334" s="1" t="s">
        <v>2285</v>
      </c>
      <c r="C1334" s="1" t="s">
        <v>56</v>
      </c>
      <c r="D1334" s="1" t="s">
        <v>2286</v>
      </c>
      <c r="Y1334" s="2">
        <v>45516.0</v>
      </c>
      <c r="AE1334" s="1">
        <v>419.97</v>
      </c>
      <c r="AG1334" s="3" t="str">
        <f>"2000006164128295"</f>
        <v>2000006164128295</v>
      </c>
      <c r="AH1334" s="1" t="s">
        <v>58</v>
      </c>
      <c r="AI1334" s="1" t="s">
        <v>59</v>
      </c>
      <c r="AJ1334" s="1" t="s">
        <v>59</v>
      </c>
      <c r="AK1334" s="1" t="s">
        <v>60</v>
      </c>
      <c r="AL1334" s="1" t="s">
        <v>60</v>
      </c>
      <c r="AW1334" s="1" t="s">
        <v>2287</v>
      </c>
      <c r="AY1334" s="1">
        <v>3.0</v>
      </c>
      <c r="AZ1334" s="1">
        <v>139.99</v>
      </c>
      <c r="BB1334" s="1">
        <v>419.97</v>
      </c>
    </row>
    <row r="1335">
      <c r="A1335" s="1" t="s">
        <v>729</v>
      </c>
      <c r="C1335" s="1" t="s">
        <v>56</v>
      </c>
      <c r="D1335" s="1" t="s">
        <v>2288</v>
      </c>
      <c r="Y1335" s="2">
        <v>45516.0</v>
      </c>
      <c r="AE1335" s="1">
        <v>47.99</v>
      </c>
      <c r="AG1335" s="3" t="str">
        <f>"2000006164116211"</f>
        <v>2000006164116211</v>
      </c>
      <c r="AH1335" s="1" t="s">
        <v>58</v>
      </c>
      <c r="AI1335" s="1" t="s">
        <v>59</v>
      </c>
      <c r="AJ1335" s="1" t="s">
        <v>59</v>
      </c>
      <c r="AK1335" s="1" t="s">
        <v>60</v>
      </c>
      <c r="AL1335" s="1" t="s">
        <v>60</v>
      </c>
      <c r="AW1335" s="1" t="s">
        <v>731</v>
      </c>
      <c r="AY1335" s="1">
        <v>1.0</v>
      </c>
      <c r="AZ1335" s="1">
        <v>47.99</v>
      </c>
      <c r="BB1335" s="1">
        <v>47.99</v>
      </c>
    </row>
    <row r="1336">
      <c r="A1336" s="1" t="s">
        <v>348</v>
      </c>
      <c r="C1336" s="1" t="s">
        <v>56</v>
      </c>
      <c r="D1336" s="1" t="s">
        <v>2289</v>
      </c>
      <c r="Y1336" s="2">
        <v>45516.0</v>
      </c>
      <c r="AE1336" s="1">
        <v>99.99</v>
      </c>
      <c r="AG1336" s="3" t="str">
        <f>"2000009016796552"</f>
        <v>2000009016796552</v>
      </c>
      <c r="AH1336" s="1" t="s">
        <v>58</v>
      </c>
      <c r="AI1336" s="1" t="s">
        <v>59</v>
      </c>
      <c r="AJ1336" s="1" t="s">
        <v>59</v>
      </c>
      <c r="AK1336" s="1" t="s">
        <v>60</v>
      </c>
      <c r="AL1336" s="1" t="s">
        <v>60</v>
      </c>
      <c r="AW1336" s="1" t="s">
        <v>350</v>
      </c>
      <c r="AY1336" s="1">
        <v>1.0</v>
      </c>
      <c r="AZ1336" s="1">
        <v>99.99</v>
      </c>
      <c r="BB1336" s="1">
        <v>99.99</v>
      </c>
    </row>
    <row r="1337">
      <c r="A1337" s="1" t="s">
        <v>420</v>
      </c>
      <c r="C1337" s="1" t="s">
        <v>56</v>
      </c>
      <c r="D1337" s="1" t="s">
        <v>2290</v>
      </c>
      <c r="Y1337" s="2">
        <v>45516.0</v>
      </c>
      <c r="AE1337" s="1">
        <v>579.99</v>
      </c>
      <c r="AG1337" s="3" t="str">
        <f>"2000009016792662"</f>
        <v>2000009016792662</v>
      </c>
      <c r="AH1337" s="1" t="s">
        <v>58</v>
      </c>
      <c r="AI1337" s="1" t="s">
        <v>59</v>
      </c>
      <c r="AJ1337" s="1" t="s">
        <v>59</v>
      </c>
      <c r="AK1337" s="1" t="s">
        <v>60</v>
      </c>
      <c r="AL1337" s="1" t="s">
        <v>60</v>
      </c>
      <c r="AW1337" s="1" t="s">
        <v>422</v>
      </c>
      <c r="AY1337" s="1">
        <v>1.0</v>
      </c>
      <c r="AZ1337" s="1">
        <v>579.99</v>
      </c>
      <c r="BB1337" s="1">
        <v>579.99</v>
      </c>
    </row>
    <row r="1338">
      <c r="A1338" s="1" t="s">
        <v>2014</v>
      </c>
      <c r="C1338" s="1" t="s">
        <v>56</v>
      </c>
      <c r="D1338" s="1" t="s">
        <v>2291</v>
      </c>
      <c r="Y1338" s="2">
        <v>45516.0</v>
      </c>
      <c r="AE1338" s="1">
        <v>99.99</v>
      </c>
      <c r="AG1338" s="3" t="str">
        <f>"2000006164086089"</f>
        <v>2000006164086089</v>
      </c>
      <c r="AH1338" s="1" t="s">
        <v>58</v>
      </c>
      <c r="AI1338" s="1" t="s">
        <v>59</v>
      </c>
      <c r="AJ1338" s="1" t="s">
        <v>59</v>
      </c>
      <c r="AK1338" s="1" t="s">
        <v>60</v>
      </c>
      <c r="AL1338" s="1" t="s">
        <v>60</v>
      </c>
      <c r="AW1338" s="1" t="s">
        <v>2016</v>
      </c>
      <c r="AY1338" s="1">
        <v>1.0</v>
      </c>
      <c r="AZ1338" s="1">
        <v>99.99</v>
      </c>
      <c r="BB1338" s="1">
        <v>99.99</v>
      </c>
    </row>
    <row r="1339">
      <c r="A1339" s="1" t="s">
        <v>2292</v>
      </c>
      <c r="C1339" s="1" t="s">
        <v>56</v>
      </c>
      <c r="D1339" s="1" t="s">
        <v>2293</v>
      </c>
      <c r="Y1339" s="2">
        <v>45516.0</v>
      </c>
      <c r="AE1339" s="1">
        <v>104.99</v>
      </c>
      <c r="AG1339" s="3" t="str">
        <f>"2000006163560485"</f>
        <v>2000006163560485</v>
      </c>
      <c r="AH1339" s="1" t="s">
        <v>58</v>
      </c>
      <c r="AI1339" s="1" t="s">
        <v>59</v>
      </c>
      <c r="AJ1339" s="1" t="s">
        <v>59</v>
      </c>
      <c r="AK1339" s="1" t="s">
        <v>60</v>
      </c>
      <c r="AL1339" s="1" t="s">
        <v>60</v>
      </c>
      <c r="AW1339" s="1" t="s">
        <v>2294</v>
      </c>
      <c r="AY1339" s="1">
        <v>1.0</v>
      </c>
      <c r="AZ1339" s="1">
        <v>104.99</v>
      </c>
      <c r="BB1339" s="1">
        <v>104.99</v>
      </c>
    </row>
    <row r="1340">
      <c r="A1340" s="1" t="s">
        <v>918</v>
      </c>
      <c r="C1340" s="1" t="s">
        <v>56</v>
      </c>
      <c r="D1340" s="1" t="s">
        <v>2295</v>
      </c>
      <c r="Y1340" s="2">
        <v>45516.0</v>
      </c>
      <c r="AE1340" s="1">
        <v>139.99</v>
      </c>
      <c r="AG1340" s="3" t="str">
        <f>"2000006164078019"</f>
        <v>2000006164078019</v>
      </c>
      <c r="AH1340" s="1" t="s">
        <v>58</v>
      </c>
      <c r="AI1340" s="1" t="s">
        <v>59</v>
      </c>
      <c r="AJ1340" s="1" t="s">
        <v>59</v>
      </c>
      <c r="AK1340" s="1" t="s">
        <v>60</v>
      </c>
      <c r="AL1340" s="1" t="s">
        <v>60</v>
      </c>
      <c r="AW1340" s="1" t="s">
        <v>920</v>
      </c>
      <c r="AY1340" s="1">
        <v>1.0</v>
      </c>
      <c r="AZ1340" s="1">
        <v>139.99</v>
      </c>
      <c r="BB1340" s="1">
        <v>139.99</v>
      </c>
    </row>
    <row r="1341">
      <c r="A1341" s="1" t="s">
        <v>2296</v>
      </c>
      <c r="C1341" s="1" t="s">
        <v>56</v>
      </c>
      <c r="D1341" s="1" t="s">
        <v>985</v>
      </c>
      <c r="Y1341" s="2">
        <v>45516.0</v>
      </c>
      <c r="AE1341" s="1">
        <v>99.99</v>
      </c>
      <c r="AG1341" s="3" t="str">
        <f>"2000006164027133"</f>
        <v>2000006164027133</v>
      </c>
      <c r="AH1341" s="1" t="s">
        <v>58</v>
      </c>
      <c r="AI1341" s="1" t="s">
        <v>59</v>
      </c>
      <c r="AJ1341" s="1" t="s">
        <v>59</v>
      </c>
      <c r="AK1341" s="1" t="s">
        <v>60</v>
      </c>
      <c r="AL1341" s="1" t="s">
        <v>60</v>
      </c>
      <c r="AW1341" s="1" t="s">
        <v>2297</v>
      </c>
      <c r="AY1341" s="1">
        <v>1.0</v>
      </c>
      <c r="AZ1341" s="1">
        <v>99.99</v>
      </c>
      <c r="BB1341" s="1">
        <v>99.99</v>
      </c>
    </row>
    <row r="1342">
      <c r="A1342" s="1" t="s">
        <v>2298</v>
      </c>
      <c r="C1342" s="1" t="s">
        <v>56</v>
      </c>
      <c r="D1342" s="1" t="s">
        <v>2299</v>
      </c>
      <c r="Y1342" s="2">
        <v>45516.0</v>
      </c>
      <c r="AE1342" s="1">
        <v>99.99</v>
      </c>
      <c r="AG1342" s="3" t="str">
        <f>"2000006164022983"</f>
        <v>2000006164022983</v>
      </c>
      <c r="AH1342" s="1" t="s">
        <v>58</v>
      </c>
      <c r="AI1342" s="1" t="s">
        <v>59</v>
      </c>
      <c r="AJ1342" s="1" t="s">
        <v>59</v>
      </c>
      <c r="AK1342" s="1" t="s">
        <v>60</v>
      </c>
      <c r="AL1342" s="1" t="s">
        <v>60</v>
      </c>
      <c r="AW1342" s="1" t="s">
        <v>2300</v>
      </c>
      <c r="AY1342" s="1">
        <v>1.0</v>
      </c>
      <c r="AZ1342" s="1">
        <v>99.99</v>
      </c>
      <c r="BB1342" s="1">
        <v>99.99</v>
      </c>
    </row>
    <row r="1343">
      <c r="A1343" s="1" t="s">
        <v>1435</v>
      </c>
      <c r="C1343" s="1" t="s">
        <v>56</v>
      </c>
      <c r="D1343" s="1" t="s">
        <v>2301</v>
      </c>
      <c r="Y1343" s="2">
        <v>45516.0</v>
      </c>
      <c r="AE1343" s="1">
        <v>59.99</v>
      </c>
      <c r="AG1343" s="3" t="str">
        <f>"2000006164015599"</f>
        <v>2000006164015599</v>
      </c>
      <c r="AH1343" s="1" t="s">
        <v>58</v>
      </c>
      <c r="AI1343" s="1" t="s">
        <v>59</v>
      </c>
      <c r="AJ1343" s="1" t="s">
        <v>59</v>
      </c>
      <c r="AK1343" s="1" t="s">
        <v>60</v>
      </c>
      <c r="AL1343" s="1" t="s">
        <v>60</v>
      </c>
      <c r="AW1343" s="1" t="s">
        <v>1437</v>
      </c>
      <c r="AY1343" s="1">
        <v>1.0</v>
      </c>
      <c r="AZ1343" s="1">
        <v>59.99</v>
      </c>
      <c r="BB1343" s="1">
        <v>59.99</v>
      </c>
    </row>
    <row r="1344">
      <c r="A1344" s="1" t="s">
        <v>2153</v>
      </c>
      <c r="C1344" s="1" t="s">
        <v>56</v>
      </c>
      <c r="D1344" s="1" t="s">
        <v>2302</v>
      </c>
      <c r="Y1344" s="2">
        <v>45516.0</v>
      </c>
      <c r="AE1344" s="1">
        <v>59.99</v>
      </c>
      <c r="AG1344" s="3" t="str">
        <f>"2000006164011849"</f>
        <v>2000006164011849</v>
      </c>
      <c r="AH1344" s="1" t="s">
        <v>58</v>
      </c>
      <c r="AI1344" s="1" t="s">
        <v>59</v>
      </c>
      <c r="AJ1344" s="1" t="s">
        <v>59</v>
      </c>
      <c r="AK1344" s="1" t="s">
        <v>60</v>
      </c>
      <c r="AL1344" s="1" t="s">
        <v>60</v>
      </c>
      <c r="AW1344" s="1" t="s">
        <v>2154</v>
      </c>
      <c r="AY1344" s="1">
        <v>1.0</v>
      </c>
      <c r="AZ1344" s="1">
        <v>59.99</v>
      </c>
      <c r="BB1344" s="1">
        <v>59.99</v>
      </c>
    </row>
    <row r="1345">
      <c r="A1345" s="1" t="s">
        <v>2062</v>
      </c>
      <c r="C1345" s="1" t="s">
        <v>56</v>
      </c>
      <c r="D1345" s="1" t="s">
        <v>2303</v>
      </c>
      <c r="Y1345" s="2">
        <v>45516.0</v>
      </c>
      <c r="AE1345" s="1">
        <v>172.99</v>
      </c>
      <c r="AG1345" s="3" t="str">
        <f>"2000006163993845"</f>
        <v>2000006163993845</v>
      </c>
      <c r="AH1345" s="1" t="s">
        <v>58</v>
      </c>
      <c r="AI1345" s="1" t="s">
        <v>59</v>
      </c>
      <c r="AJ1345" s="1" t="s">
        <v>59</v>
      </c>
      <c r="AK1345" s="1" t="s">
        <v>60</v>
      </c>
      <c r="AL1345" s="1" t="s">
        <v>60</v>
      </c>
      <c r="AW1345" s="1" t="s">
        <v>2064</v>
      </c>
      <c r="AY1345" s="1">
        <v>1.0</v>
      </c>
      <c r="AZ1345" s="1">
        <v>172.99</v>
      </c>
      <c r="BB1345" s="1">
        <v>172.99</v>
      </c>
    </row>
    <row r="1346">
      <c r="A1346" s="1" t="s">
        <v>2296</v>
      </c>
      <c r="C1346" s="1" t="s">
        <v>235</v>
      </c>
      <c r="D1346" s="1" t="s">
        <v>985</v>
      </c>
      <c r="Y1346" s="2">
        <v>45516.0</v>
      </c>
      <c r="AE1346" s="1">
        <v>99.99</v>
      </c>
      <c r="AG1346" s="3" t="str">
        <f>"2000009016589854"</f>
        <v>2000009016589854</v>
      </c>
      <c r="AH1346" s="1" t="s">
        <v>58</v>
      </c>
      <c r="AI1346" s="1" t="s">
        <v>59</v>
      </c>
      <c r="AJ1346" s="1" t="s">
        <v>59</v>
      </c>
      <c r="AK1346" s="1" t="s">
        <v>60</v>
      </c>
      <c r="AL1346" s="1" t="s">
        <v>60</v>
      </c>
      <c r="AW1346" s="1" t="s">
        <v>2297</v>
      </c>
      <c r="AY1346" s="1">
        <v>1.0</v>
      </c>
      <c r="AZ1346" s="1">
        <v>99.99</v>
      </c>
      <c r="BB1346" s="1">
        <v>99.99</v>
      </c>
    </row>
    <row r="1347">
      <c r="A1347" s="1" t="s">
        <v>459</v>
      </c>
      <c r="C1347" s="1" t="s">
        <v>56</v>
      </c>
      <c r="D1347" s="1" t="s">
        <v>2304</v>
      </c>
      <c r="Y1347" s="2">
        <v>45516.0</v>
      </c>
      <c r="AE1347" s="1">
        <v>39.99</v>
      </c>
      <c r="AG1347" s="3" t="str">
        <f>"2000006163991045"</f>
        <v>2000006163991045</v>
      </c>
      <c r="AH1347" s="1" t="s">
        <v>58</v>
      </c>
      <c r="AI1347" s="1" t="s">
        <v>59</v>
      </c>
      <c r="AJ1347" s="1" t="s">
        <v>59</v>
      </c>
      <c r="AK1347" s="1" t="s">
        <v>60</v>
      </c>
      <c r="AL1347" s="1" t="s">
        <v>60</v>
      </c>
      <c r="AW1347" s="1" t="s">
        <v>461</v>
      </c>
      <c r="AY1347" s="1">
        <v>1.0</v>
      </c>
      <c r="AZ1347" s="1">
        <v>39.99</v>
      </c>
      <c r="BB1347" s="1">
        <v>39.99</v>
      </c>
    </row>
    <row r="1348">
      <c r="A1348" s="1" t="s">
        <v>86</v>
      </c>
      <c r="C1348" s="1" t="s">
        <v>56</v>
      </c>
      <c r="D1348" s="1" t="s">
        <v>2305</v>
      </c>
      <c r="Y1348" s="2">
        <v>45516.0</v>
      </c>
      <c r="AE1348" s="1">
        <v>64.99</v>
      </c>
      <c r="AG1348" s="3" t="str">
        <f>"2000006163921671"</f>
        <v>2000006163921671</v>
      </c>
      <c r="AH1348" s="1" t="s">
        <v>58</v>
      </c>
      <c r="AI1348" s="1" t="s">
        <v>59</v>
      </c>
      <c r="AJ1348" s="1" t="s">
        <v>59</v>
      </c>
      <c r="AK1348" s="1" t="s">
        <v>60</v>
      </c>
      <c r="AL1348" s="1" t="s">
        <v>60</v>
      </c>
      <c r="AW1348" s="1" t="s">
        <v>88</v>
      </c>
      <c r="AY1348" s="1">
        <v>1.0</v>
      </c>
      <c r="AZ1348" s="1">
        <v>64.99</v>
      </c>
      <c r="BB1348" s="1">
        <v>64.99</v>
      </c>
    </row>
    <row r="1349">
      <c r="A1349" s="1" t="s">
        <v>953</v>
      </c>
      <c r="C1349" s="1" t="s">
        <v>56</v>
      </c>
      <c r="D1349" s="1" t="s">
        <v>2306</v>
      </c>
      <c r="Y1349" s="2">
        <v>45516.0</v>
      </c>
      <c r="AE1349" s="1">
        <v>39.99</v>
      </c>
      <c r="AG1349" s="3" t="str">
        <f>"2000006163872717"</f>
        <v>2000006163872717</v>
      </c>
      <c r="AH1349" s="1" t="s">
        <v>58</v>
      </c>
      <c r="AI1349" s="1" t="s">
        <v>59</v>
      </c>
      <c r="AJ1349" s="1" t="s">
        <v>59</v>
      </c>
      <c r="AK1349" s="1" t="s">
        <v>60</v>
      </c>
      <c r="AL1349" s="1" t="s">
        <v>60</v>
      </c>
      <c r="AW1349" s="1" t="s">
        <v>955</v>
      </c>
      <c r="AY1349" s="1">
        <v>1.0</v>
      </c>
      <c r="AZ1349" s="1">
        <v>39.99</v>
      </c>
      <c r="BB1349" s="1">
        <v>39.99</v>
      </c>
    </row>
    <row r="1350">
      <c r="A1350" s="1" t="s">
        <v>296</v>
      </c>
      <c r="C1350" s="1" t="s">
        <v>56</v>
      </c>
      <c r="D1350" s="1" t="s">
        <v>2307</v>
      </c>
      <c r="Y1350" s="2">
        <v>45516.0</v>
      </c>
      <c r="AE1350" s="1">
        <v>139.99</v>
      </c>
      <c r="AG1350" s="3" t="str">
        <f t="shared" ref="AG1350:AG1351" si="56">"2000006163812933"</f>
        <v>2000006163812933</v>
      </c>
      <c r="AH1350" s="1" t="s">
        <v>58</v>
      </c>
      <c r="AI1350" s="1" t="s">
        <v>59</v>
      </c>
      <c r="AJ1350" s="1" t="s">
        <v>59</v>
      </c>
      <c r="AK1350" s="1" t="s">
        <v>60</v>
      </c>
      <c r="AL1350" s="1" t="s">
        <v>60</v>
      </c>
      <c r="AW1350" s="1" t="s">
        <v>298</v>
      </c>
      <c r="AY1350" s="1">
        <v>1.0</v>
      </c>
      <c r="AZ1350" s="1">
        <v>139.99</v>
      </c>
      <c r="BB1350" s="1">
        <v>139.99</v>
      </c>
    </row>
    <row r="1351">
      <c r="A1351" s="1" t="s">
        <v>390</v>
      </c>
      <c r="C1351" s="1" t="s">
        <v>56</v>
      </c>
      <c r="D1351" s="1" t="s">
        <v>2307</v>
      </c>
      <c r="Y1351" s="2">
        <v>45516.0</v>
      </c>
      <c r="AE1351" s="1">
        <v>79.99</v>
      </c>
      <c r="AG1351" s="3" t="str">
        <f t="shared" si="56"/>
        <v>2000006163812933</v>
      </c>
      <c r="AH1351" s="1" t="s">
        <v>58</v>
      </c>
      <c r="AI1351" s="1" t="s">
        <v>59</v>
      </c>
      <c r="AJ1351" s="1" t="s">
        <v>59</v>
      </c>
      <c r="AK1351" s="1" t="s">
        <v>60</v>
      </c>
      <c r="AL1351" s="1" t="s">
        <v>60</v>
      </c>
      <c r="AW1351" s="1" t="s">
        <v>392</v>
      </c>
      <c r="AY1351" s="1">
        <v>1.0</v>
      </c>
      <c r="AZ1351" s="1">
        <v>79.99</v>
      </c>
      <c r="BB1351" s="1">
        <v>79.99</v>
      </c>
    </row>
    <row r="1352">
      <c r="A1352" s="1" t="s">
        <v>1991</v>
      </c>
      <c r="C1352" s="1" t="s">
        <v>56</v>
      </c>
      <c r="D1352" s="1" t="s">
        <v>2308</v>
      </c>
      <c r="Y1352" s="2">
        <v>45516.0</v>
      </c>
      <c r="AE1352" s="1">
        <v>54.99</v>
      </c>
      <c r="AG1352" s="3" t="str">
        <f>"2000006163838823"</f>
        <v>2000006163838823</v>
      </c>
      <c r="AH1352" s="1" t="s">
        <v>58</v>
      </c>
      <c r="AI1352" s="1" t="s">
        <v>59</v>
      </c>
      <c r="AJ1352" s="1" t="s">
        <v>59</v>
      </c>
      <c r="AK1352" s="1" t="s">
        <v>60</v>
      </c>
      <c r="AL1352" s="1" t="s">
        <v>60</v>
      </c>
      <c r="AW1352" s="1" t="s">
        <v>1993</v>
      </c>
      <c r="AY1352" s="1">
        <v>1.0</v>
      </c>
      <c r="AZ1352" s="1">
        <v>54.99</v>
      </c>
      <c r="BB1352" s="1">
        <v>54.99</v>
      </c>
    </row>
    <row r="1353">
      <c r="A1353" s="1" t="s">
        <v>1521</v>
      </c>
      <c r="C1353" s="1" t="s">
        <v>56</v>
      </c>
      <c r="D1353" s="1" t="s">
        <v>2309</v>
      </c>
      <c r="Y1353" s="2">
        <v>45516.0</v>
      </c>
      <c r="AE1353" s="1">
        <v>49.99</v>
      </c>
      <c r="AG1353" s="3" t="str">
        <f>"2000006163826343"</f>
        <v>2000006163826343</v>
      </c>
      <c r="AH1353" s="1" t="s">
        <v>58</v>
      </c>
      <c r="AI1353" s="1" t="s">
        <v>59</v>
      </c>
      <c r="AJ1353" s="1" t="s">
        <v>59</v>
      </c>
      <c r="AK1353" s="1" t="s">
        <v>60</v>
      </c>
      <c r="AL1353" s="1" t="s">
        <v>60</v>
      </c>
      <c r="AW1353" s="1" t="s">
        <v>1523</v>
      </c>
      <c r="AY1353" s="1">
        <v>1.0</v>
      </c>
      <c r="AZ1353" s="1">
        <v>49.99</v>
      </c>
      <c r="BB1353" s="1">
        <v>49.99</v>
      </c>
    </row>
    <row r="1354">
      <c r="A1354" s="1" t="s">
        <v>705</v>
      </c>
      <c r="C1354" s="1" t="s">
        <v>56</v>
      </c>
      <c r="D1354" s="1" t="s">
        <v>2310</v>
      </c>
      <c r="Y1354" s="2">
        <v>45516.0</v>
      </c>
      <c r="AE1354" s="1">
        <v>42.99</v>
      </c>
      <c r="AG1354" s="3" t="str">
        <f>"2000006163805205"</f>
        <v>2000006163805205</v>
      </c>
      <c r="AH1354" s="1" t="s">
        <v>58</v>
      </c>
      <c r="AI1354" s="1" t="s">
        <v>59</v>
      </c>
      <c r="AJ1354" s="1" t="s">
        <v>59</v>
      </c>
      <c r="AK1354" s="1" t="s">
        <v>60</v>
      </c>
      <c r="AL1354" s="1" t="s">
        <v>60</v>
      </c>
      <c r="AW1354" s="1" t="s">
        <v>707</v>
      </c>
      <c r="AY1354" s="1">
        <v>1.0</v>
      </c>
      <c r="AZ1354" s="1">
        <v>42.99</v>
      </c>
      <c r="BB1354" s="1">
        <v>42.99</v>
      </c>
    </row>
    <row r="1355">
      <c r="A1355" s="1" t="s">
        <v>2311</v>
      </c>
      <c r="C1355" s="1" t="s">
        <v>56</v>
      </c>
      <c r="D1355" s="1" t="s">
        <v>2312</v>
      </c>
      <c r="Y1355" s="2">
        <v>45516.0</v>
      </c>
      <c r="AE1355" s="1">
        <v>79.99</v>
      </c>
      <c r="AG1355" s="3" t="str">
        <f>"2000009016232870"</f>
        <v>2000009016232870</v>
      </c>
      <c r="AH1355" s="1" t="s">
        <v>58</v>
      </c>
      <c r="AI1355" s="1" t="s">
        <v>59</v>
      </c>
      <c r="AJ1355" s="1" t="s">
        <v>59</v>
      </c>
      <c r="AK1355" s="1" t="s">
        <v>60</v>
      </c>
      <c r="AL1355" s="1" t="s">
        <v>60</v>
      </c>
      <c r="AW1355" s="1" t="s">
        <v>2313</v>
      </c>
      <c r="AY1355" s="1">
        <v>1.0</v>
      </c>
      <c r="AZ1355" s="1">
        <v>79.99</v>
      </c>
      <c r="BB1355" s="1">
        <v>79.99</v>
      </c>
    </row>
    <row r="1356">
      <c r="A1356" s="1" t="s">
        <v>1836</v>
      </c>
      <c r="C1356" s="1" t="s">
        <v>56</v>
      </c>
      <c r="D1356" s="1" t="s">
        <v>2314</v>
      </c>
      <c r="Y1356" s="2">
        <v>45516.0</v>
      </c>
      <c r="AE1356" s="1">
        <v>49.99</v>
      </c>
      <c r="AG1356" s="3" t="str">
        <f>"2000006163786227"</f>
        <v>2000006163786227</v>
      </c>
      <c r="AH1356" s="1" t="s">
        <v>58</v>
      </c>
      <c r="AI1356" s="1" t="s">
        <v>59</v>
      </c>
      <c r="AJ1356" s="1" t="s">
        <v>59</v>
      </c>
      <c r="AK1356" s="1" t="s">
        <v>60</v>
      </c>
      <c r="AL1356" s="1" t="s">
        <v>60</v>
      </c>
      <c r="AW1356" s="1" t="s">
        <v>1838</v>
      </c>
      <c r="AY1356" s="1">
        <v>1.0</v>
      </c>
      <c r="AZ1356" s="1">
        <v>49.99</v>
      </c>
      <c r="BB1356" s="1">
        <v>49.99</v>
      </c>
    </row>
    <row r="1357">
      <c r="A1357" s="1" t="s">
        <v>1060</v>
      </c>
      <c r="C1357" s="1" t="s">
        <v>56</v>
      </c>
      <c r="D1357" s="1" t="s">
        <v>2315</v>
      </c>
      <c r="Y1357" s="2">
        <v>45516.0</v>
      </c>
      <c r="AE1357" s="1">
        <v>128.96</v>
      </c>
      <c r="AG1357" s="3" t="str">
        <f>"2000006163734627"</f>
        <v>2000006163734627</v>
      </c>
      <c r="AH1357" s="1" t="s">
        <v>58</v>
      </c>
      <c r="AI1357" s="1" t="s">
        <v>59</v>
      </c>
      <c r="AJ1357" s="1" t="s">
        <v>59</v>
      </c>
      <c r="AK1357" s="1" t="s">
        <v>60</v>
      </c>
      <c r="AL1357" s="1" t="s">
        <v>60</v>
      </c>
      <c r="AW1357" s="1" t="s">
        <v>1062</v>
      </c>
      <c r="AY1357" s="1">
        <v>2.0</v>
      </c>
      <c r="AZ1357" s="1">
        <v>64.48</v>
      </c>
      <c r="BB1357" s="1">
        <v>128.96</v>
      </c>
    </row>
    <row r="1358">
      <c r="A1358" s="1" t="s">
        <v>705</v>
      </c>
      <c r="C1358" s="1" t="s">
        <v>56</v>
      </c>
      <c r="D1358" s="1" t="s">
        <v>2316</v>
      </c>
      <c r="Y1358" s="2">
        <v>45516.0</v>
      </c>
      <c r="AE1358" s="1">
        <v>85.98</v>
      </c>
      <c r="AG1358" s="3" t="str">
        <f>"2000006163769921"</f>
        <v>2000006163769921</v>
      </c>
      <c r="AH1358" s="1" t="s">
        <v>58</v>
      </c>
      <c r="AI1358" s="1" t="s">
        <v>59</v>
      </c>
      <c r="AJ1358" s="1" t="s">
        <v>59</v>
      </c>
      <c r="AK1358" s="1" t="s">
        <v>60</v>
      </c>
      <c r="AL1358" s="1" t="s">
        <v>60</v>
      </c>
      <c r="AW1358" s="1" t="s">
        <v>707</v>
      </c>
      <c r="AY1358" s="1">
        <v>2.0</v>
      </c>
      <c r="AZ1358" s="1">
        <v>42.99</v>
      </c>
      <c r="BB1358" s="1">
        <v>85.98</v>
      </c>
    </row>
    <row r="1359">
      <c r="A1359" s="1" t="s">
        <v>1293</v>
      </c>
      <c r="C1359" s="1" t="s">
        <v>56</v>
      </c>
      <c r="D1359" s="1" t="s">
        <v>2317</v>
      </c>
      <c r="Y1359" s="2">
        <v>45516.0</v>
      </c>
      <c r="AE1359" s="1">
        <v>124.99</v>
      </c>
      <c r="AG1359" s="3" t="str">
        <f>"2000006163591623"</f>
        <v>2000006163591623</v>
      </c>
      <c r="AH1359" s="1" t="s">
        <v>58</v>
      </c>
      <c r="AI1359" s="1" t="s">
        <v>59</v>
      </c>
      <c r="AJ1359" s="1" t="s">
        <v>59</v>
      </c>
      <c r="AK1359" s="1" t="s">
        <v>60</v>
      </c>
      <c r="AL1359" s="1" t="s">
        <v>60</v>
      </c>
      <c r="AW1359" s="1" t="s">
        <v>1295</v>
      </c>
      <c r="AY1359" s="1">
        <v>1.0</v>
      </c>
      <c r="AZ1359" s="1">
        <v>124.99</v>
      </c>
      <c r="BB1359" s="1">
        <v>124.99</v>
      </c>
    </row>
    <row r="1360">
      <c r="A1360" s="1" t="s">
        <v>2318</v>
      </c>
      <c r="C1360" s="1" t="s">
        <v>56</v>
      </c>
      <c r="D1360" s="1" t="s">
        <v>2319</v>
      </c>
      <c r="Y1360" s="2">
        <v>45516.0</v>
      </c>
      <c r="AE1360" s="1">
        <v>89.99</v>
      </c>
      <c r="AG1360" s="3" t="str">
        <f>"2000006163741631"</f>
        <v>2000006163741631</v>
      </c>
      <c r="AH1360" s="1" t="s">
        <v>58</v>
      </c>
      <c r="AI1360" s="1" t="s">
        <v>59</v>
      </c>
      <c r="AJ1360" s="1" t="s">
        <v>59</v>
      </c>
      <c r="AK1360" s="1" t="s">
        <v>60</v>
      </c>
      <c r="AL1360" s="1" t="s">
        <v>60</v>
      </c>
      <c r="AW1360" s="1" t="s">
        <v>2320</v>
      </c>
      <c r="AY1360" s="1">
        <v>1.0</v>
      </c>
      <c r="AZ1360" s="1">
        <v>89.99</v>
      </c>
      <c r="BB1360" s="1">
        <v>89.99</v>
      </c>
    </row>
    <row r="1361">
      <c r="A1361" s="1" t="s">
        <v>2321</v>
      </c>
      <c r="C1361" s="1" t="s">
        <v>56</v>
      </c>
      <c r="D1361" s="1" t="s">
        <v>2322</v>
      </c>
      <c r="Y1361" s="2">
        <v>45516.0</v>
      </c>
      <c r="AE1361" s="1">
        <v>99.99</v>
      </c>
      <c r="AG1361" s="3" t="str">
        <f>"2000009016102556"</f>
        <v>2000009016102556</v>
      </c>
      <c r="AH1361" s="1" t="s">
        <v>58</v>
      </c>
      <c r="AI1361" s="1" t="s">
        <v>59</v>
      </c>
      <c r="AJ1361" s="1" t="s">
        <v>59</v>
      </c>
      <c r="AK1361" s="1" t="s">
        <v>60</v>
      </c>
      <c r="AL1361" s="1" t="s">
        <v>60</v>
      </c>
      <c r="AW1361" s="1" t="s">
        <v>617</v>
      </c>
      <c r="AY1361" s="1">
        <v>1.0</v>
      </c>
      <c r="AZ1361" s="1">
        <v>99.99</v>
      </c>
      <c r="BB1361" s="1">
        <v>99.99</v>
      </c>
    </row>
    <row r="1362">
      <c r="A1362" s="1" t="s">
        <v>2323</v>
      </c>
      <c r="C1362" s="1" t="s">
        <v>56</v>
      </c>
      <c r="D1362" s="1" t="s">
        <v>2324</v>
      </c>
      <c r="Y1362" s="2">
        <v>45516.0</v>
      </c>
      <c r="AE1362" s="1">
        <v>59.99</v>
      </c>
      <c r="AG1362" s="3" t="str">
        <f>"2000006163712903"</f>
        <v>2000006163712903</v>
      </c>
      <c r="AH1362" s="1" t="s">
        <v>58</v>
      </c>
      <c r="AI1362" s="1" t="s">
        <v>59</v>
      </c>
      <c r="AJ1362" s="1" t="s">
        <v>59</v>
      </c>
      <c r="AK1362" s="1" t="s">
        <v>60</v>
      </c>
      <c r="AL1362" s="1" t="s">
        <v>60</v>
      </c>
      <c r="AW1362" s="1" t="s">
        <v>2325</v>
      </c>
      <c r="AY1362" s="1">
        <v>1.0</v>
      </c>
      <c r="AZ1362" s="1">
        <v>59.99</v>
      </c>
      <c r="BB1362" s="1">
        <v>59.99</v>
      </c>
    </row>
    <row r="1363">
      <c r="A1363" s="1" t="s">
        <v>1766</v>
      </c>
      <c r="C1363" s="1" t="s">
        <v>56</v>
      </c>
      <c r="D1363" s="1" t="s">
        <v>2326</v>
      </c>
      <c r="Y1363" s="2">
        <v>45516.0</v>
      </c>
      <c r="AE1363" s="1">
        <v>99.99</v>
      </c>
      <c r="AG1363" s="3" t="str">
        <f>"2000006163704237"</f>
        <v>2000006163704237</v>
      </c>
      <c r="AH1363" s="1" t="s">
        <v>58</v>
      </c>
      <c r="AI1363" s="1" t="s">
        <v>59</v>
      </c>
      <c r="AJ1363" s="1" t="s">
        <v>59</v>
      </c>
      <c r="AK1363" s="1" t="s">
        <v>60</v>
      </c>
      <c r="AL1363" s="1" t="s">
        <v>60</v>
      </c>
      <c r="AW1363" s="1" t="s">
        <v>895</v>
      </c>
      <c r="AY1363" s="1">
        <v>1.0</v>
      </c>
      <c r="AZ1363" s="1">
        <v>99.99</v>
      </c>
      <c r="BB1363" s="1">
        <v>99.99</v>
      </c>
    </row>
    <row r="1364">
      <c r="A1364" s="1" t="s">
        <v>1700</v>
      </c>
      <c r="C1364" s="1" t="s">
        <v>56</v>
      </c>
      <c r="D1364" s="1" t="s">
        <v>2327</v>
      </c>
      <c r="Y1364" s="2">
        <v>45516.0</v>
      </c>
      <c r="AE1364" s="1">
        <v>219.99</v>
      </c>
      <c r="AG1364" s="3" t="str">
        <f>"2000006163669483"</f>
        <v>2000006163669483</v>
      </c>
      <c r="AH1364" s="1" t="s">
        <v>58</v>
      </c>
      <c r="AI1364" s="1" t="s">
        <v>59</v>
      </c>
      <c r="AJ1364" s="1" t="s">
        <v>59</v>
      </c>
      <c r="AK1364" s="1" t="s">
        <v>60</v>
      </c>
      <c r="AL1364" s="1" t="s">
        <v>60</v>
      </c>
      <c r="AW1364" s="1" t="s">
        <v>1702</v>
      </c>
      <c r="AY1364" s="1">
        <v>1.0</v>
      </c>
      <c r="AZ1364" s="1">
        <v>219.99</v>
      </c>
      <c r="BB1364" s="1">
        <v>219.99</v>
      </c>
    </row>
    <row r="1365">
      <c r="A1365" s="1" t="s">
        <v>1700</v>
      </c>
      <c r="C1365" s="1" t="s">
        <v>56</v>
      </c>
      <c r="D1365" s="1" t="s">
        <v>2327</v>
      </c>
      <c r="Y1365" s="2">
        <v>45516.0</v>
      </c>
      <c r="AE1365" s="1">
        <v>219.99</v>
      </c>
      <c r="AG1365" s="3" t="str">
        <f>"2000006163669487"</f>
        <v>2000006163669487</v>
      </c>
      <c r="AH1365" s="1" t="s">
        <v>58</v>
      </c>
      <c r="AI1365" s="1" t="s">
        <v>59</v>
      </c>
      <c r="AJ1365" s="1" t="s">
        <v>59</v>
      </c>
      <c r="AK1365" s="1" t="s">
        <v>60</v>
      </c>
      <c r="AL1365" s="1" t="s">
        <v>60</v>
      </c>
      <c r="AW1365" s="1" t="s">
        <v>1702</v>
      </c>
      <c r="AY1365" s="1">
        <v>1.0</v>
      </c>
      <c r="AZ1365" s="1">
        <v>219.99</v>
      </c>
      <c r="BB1365" s="1">
        <v>219.99</v>
      </c>
    </row>
    <row r="1366">
      <c r="A1366" s="1" t="s">
        <v>1742</v>
      </c>
      <c r="C1366" s="1" t="s">
        <v>56</v>
      </c>
      <c r="D1366" s="1" t="s">
        <v>2328</v>
      </c>
      <c r="Y1366" s="2">
        <v>45516.0</v>
      </c>
      <c r="AE1366" s="1">
        <v>109.99</v>
      </c>
      <c r="AG1366" s="3" t="str">
        <f>"2000006163627127"</f>
        <v>2000006163627127</v>
      </c>
      <c r="AH1366" s="1" t="s">
        <v>58</v>
      </c>
      <c r="AI1366" s="1" t="s">
        <v>59</v>
      </c>
      <c r="AJ1366" s="1" t="s">
        <v>59</v>
      </c>
      <c r="AK1366" s="1" t="s">
        <v>60</v>
      </c>
      <c r="AL1366" s="1" t="s">
        <v>60</v>
      </c>
      <c r="AW1366" s="1" t="s">
        <v>1744</v>
      </c>
      <c r="AY1366" s="1">
        <v>1.0</v>
      </c>
      <c r="AZ1366" s="1">
        <v>109.99</v>
      </c>
      <c r="BB1366" s="1">
        <v>109.99</v>
      </c>
    </row>
    <row r="1367">
      <c r="A1367" s="1" t="s">
        <v>175</v>
      </c>
      <c r="C1367" s="1" t="s">
        <v>56</v>
      </c>
      <c r="D1367" s="1" t="s">
        <v>2329</v>
      </c>
      <c r="Y1367" s="2">
        <v>45516.0</v>
      </c>
      <c r="AE1367" s="1">
        <v>199.99</v>
      </c>
      <c r="AG1367" s="3" t="str">
        <f>"2000006163640511"</f>
        <v>2000006163640511</v>
      </c>
      <c r="AH1367" s="1" t="s">
        <v>58</v>
      </c>
      <c r="AI1367" s="1" t="s">
        <v>59</v>
      </c>
      <c r="AJ1367" s="1" t="s">
        <v>59</v>
      </c>
      <c r="AK1367" s="1" t="s">
        <v>60</v>
      </c>
      <c r="AL1367" s="1" t="s">
        <v>60</v>
      </c>
      <c r="AW1367" s="1" t="s">
        <v>177</v>
      </c>
      <c r="AY1367" s="1">
        <v>1.0</v>
      </c>
      <c r="AZ1367" s="1">
        <v>199.99</v>
      </c>
      <c r="BB1367" s="1">
        <v>199.99</v>
      </c>
    </row>
    <row r="1368">
      <c r="A1368" s="1" t="s">
        <v>2330</v>
      </c>
      <c r="C1368" s="1" t="s">
        <v>235</v>
      </c>
      <c r="D1368" s="1" t="s">
        <v>2331</v>
      </c>
      <c r="Y1368" s="2">
        <v>45516.0</v>
      </c>
      <c r="AE1368" s="1">
        <v>134.99</v>
      </c>
      <c r="AG1368" s="3" t="str">
        <f>"2000006163618375"</f>
        <v>2000006163618375</v>
      </c>
      <c r="AH1368" s="1" t="s">
        <v>58</v>
      </c>
      <c r="AI1368" s="1" t="s">
        <v>59</v>
      </c>
      <c r="AJ1368" s="1" t="s">
        <v>59</v>
      </c>
      <c r="AK1368" s="1" t="s">
        <v>60</v>
      </c>
      <c r="AL1368" s="1" t="s">
        <v>60</v>
      </c>
      <c r="AW1368" s="1" t="s">
        <v>2332</v>
      </c>
      <c r="AY1368" s="1">
        <v>1.0</v>
      </c>
      <c r="AZ1368" s="1">
        <v>134.99</v>
      </c>
      <c r="BB1368" s="1">
        <v>134.99</v>
      </c>
    </row>
    <row r="1369">
      <c r="A1369" s="1" t="s">
        <v>2333</v>
      </c>
      <c r="C1369" s="1" t="s">
        <v>56</v>
      </c>
      <c r="D1369" s="1" t="s">
        <v>2334</v>
      </c>
      <c r="Y1369" s="2">
        <v>45516.0</v>
      </c>
      <c r="AE1369" s="1">
        <v>49.99</v>
      </c>
      <c r="AG1369" s="3" t="str">
        <f>"2000006163530771"</f>
        <v>2000006163530771</v>
      </c>
      <c r="AH1369" s="1" t="s">
        <v>58</v>
      </c>
      <c r="AI1369" s="1" t="s">
        <v>59</v>
      </c>
      <c r="AJ1369" s="1" t="s">
        <v>59</v>
      </c>
      <c r="AK1369" s="1" t="s">
        <v>60</v>
      </c>
      <c r="AL1369" s="1" t="s">
        <v>60</v>
      </c>
      <c r="AW1369" s="1" t="s">
        <v>97</v>
      </c>
      <c r="AY1369" s="1">
        <v>1.0</v>
      </c>
      <c r="AZ1369" s="1">
        <v>49.99</v>
      </c>
      <c r="BB1369" s="1">
        <v>49.99</v>
      </c>
    </row>
    <row r="1370">
      <c r="A1370" s="1" t="s">
        <v>80</v>
      </c>
      <c r="C1370" s="1" t="s">
        <v>56</v>
      </c>
      <c r="D1370" s="1" t="s">
        <v>2335</v>
      </c>
      <c r="Y1370" s="2">
        <v>45516.0</v>
      </c>
      <c r="AE1370" s="1">
        <v>174.99</v>
      </c>
      <c r="AG1370" s="3" t="str">
        <f>"2000006163454089"</f>
        <v>2000006163454089</v>
      </c>
      <c r="AH1370" s="1" t="s">
        <v>58</v>
      </c>
      <c r="AI1370" s="1" t="s">
        <v>59</v>
      </c>
      <c r="AJ1370" s="1" t="s">
        <v>59</v>
      </c>
      <c r="AK1370" s="1" t="s">
        <v>60</v>
      </c>
      <c r="AL1370" s="1" t="s">
        <v>60</v>
      </c>
      <c r="AW1370" s="1" t="s">
        <v>82</v>
      </c>
      <c r="AY1370" s="1">
        <v>1.0</v>
      </c>
      <c r="AZ1370" s="1">
        <v>174.99</v>
      </c>
      <c r="BB1370" s="1">
        <v>174.99</v>
      </c>
    </row>
    <row r="1371">
      <c r="A1371" s="1" t="s">
        <v>2147</v>
      </c>
      <c r="C1371" s="1" t="s">
        <v>56</v>
      </c>
      <c r="D1371" s="1" t="s">
        <v>2336</v>
      </c>
      <c r="Y1371" s="2">
        <v>45516.0</v>
      </c>
      <c r="AE1371" s="1">
        <v>89.99</v>
      </c>
      <c r="AG1371" s="3" t="str">
        <f>"2000006163407933"</f>
        <v>2000006163407933</v>
      </c>
      <c r="AH1371" s="1" t="s">
        <v>58</v>
      </c>
      <c r="AI1371" s="1" t="s">
        <v>59</v>
      </c>
      <c r="AJ1371" s="1" t="s">
        <v>59</v>
      </c>
      <c r="AK1371" s="1" t="s">
        <v>60</v>
      </c>
      <c r="AL1371" s="1" t="s">
        <v>60</v>
      </c>
      <c r="AW1371" s="1" t="s">
        <v>2149</v>
      </c>
      <c r="AY1371" s="1">
        <v>1.0</v>
      </c>
      <c r="AZ1371" s="1">
        <v>89.99</v>
      </c>
      <c r="BB1371" s="1">
        <v>89.99</v>
      </c>
    </row>
    <row r="1372">
      <c r="A1372" s="1" t="s">
        <v>2337</v>
      </c>
      <c r="C1372" s="1" t="s">
        <v>56</v>
      </c>
      <c r="D1372" s="1" t="s">
        <v>2338</v>
      </c>
      <c r="Y1372" s="2">
        <v>45516.0</v>
      </c>
      <c r="AE1372" s="1">
        <v>69.99</v>
      </c>
      <c r="AG1372" s="3" t="str">
        <f>"2000006163120073"</f>
        <v>2000006163120073</v>
      </c>
      <c r="AH1372" s="1" t="s">
        <v>58</v>
      </c>
      <c r="AI1372" s="1" t="s">
        <v>59</v>
      </c>
      <c r="AJ1372" s="1" t="s">
        <v>59</v>
      </c>
      <c r="AK1372" s="1" t="s">
        <v>60</v>
      </c>
      <c r="AL1372" s="1" t="s">
        <v>60</v>
      </c>
      <c r="AW1372" s="1" t="s">
        <v>2339</v>
      </c>
      <c r="AY1372" s="1">
        <v>1.0</v>
      </c>
      <c r="AZ1372" s="1">
        <v>69.99</v>
      </c>
      <c r="BB1372" s="1">
        <v>69.99</v>
      </c>
    </row>
    <row r="1373">
      <c r="A1373" s="1" t="s">
        <v>1689</v>
      </c>
      <c r="C1373" s="1" t="s">
        <v>56</v>
      </c>
      <c r="D1373" s="1" t="s">
        <v>2340</v>
      </c>
      <c r="Y1373" s="2">
        <v>45516.0</v>
      </c>
      <c r="AE1373" s="1">
        <v>79.99</v>
      </c>
      <c r="AG1373" s="3" t="str">
        <f>"2000009015489228"</f>
        <v>2000009015489228</v>
      </c>
      <c r="AH1373" s="1" t="s">
        <v>58</v>
      </c>
      <c r="AI1373" s="1" t="s">
        <v>59</v>
      </c>
      <c r="AJ1373" s="1" t="s">
        <v>59</v>
      </c>
      <c r="AK1373" s="1" t="s">
        <v>60</v>
      </c>
      <c r="AL1373" s="1" t="s">
        <v>60</v>
      </c>
      <c r="AW1373" s="1" t="s">
        <v>856</v>
      </c>
      <c r="AY1373" s="1">
        <v>1.0</v>
      </c>
      <c r="AZ1373" s="1">
        <v>79.99</v>
      </c>
      <c r="BB1373" s="1">
        <v>79.99</v>
      </c>
    </row>
    <row r="1374">
      <c r="A1374" s="1" t="s">
        <v>2341</v>
      </c>
      <c r="C1374" s="1" t="s">
        <v>56</v>
      </c>
      <c r="D1374" s="1" t="s">
        <v>2342</v>
      </c>
      <c r="Y1374" s="2">
        <v>45516.0</v>
      </c>
      <c r="AE1374" s="1">
        <v>79.99</v>
      </c>
      <c r="AG1374" s="3" t="str">
        <f>"2000006163354567"</f>
        <v>2000006163354567</v>
      </c>
      <c r="AH1374" s="1" t="s">
        <v>58</v>
      </c>
      <c r="AI1374" s="1" t="s">
        <v>59</v>
      </c>
      <c r="AJ1374" s="1" t="s">
        <v>59</v>
      </c>
      <c r="AK1374" s="1" t="s">
        <v>60</v>
      </c>
      <c r="AL1374" s="1" t="s">
        <v>60</v>
      </c>
      <c r="AW1374" s="1" t="s">
        <v>2343</v>
      </c>
      <c r="AY1374" s="1">
        <v>1.0</v>
      </c>
      <c r="AZ1374" s="1">
        <v>79.99</v>
      </c>
      <c r="BB1374" s="1">
        <v>79.99</v>
      </c>
    </row>
    <row r="1375">
      <c r="A1375" s="1" t="s">
        <v>2344</v>
      </c>
      <c r="C1375" s="1" t="s">
        <v>56</v>
      </c>
      <c r="D1375" s="1" t="s">
        <v>2345</v>
      </c>
      <c r="Y1375" s="2">
        <v>45516.0</v>
      </c>
      <c r="AE1375" s="1">
        <v>399.99</v>
      </c>
      <c r="AG1375" s="3" t="str">
        <f>"2000009015320224"</f>
        <v>2000009015320224</v>
      </c>
      <c r="AH1375" s="1" t="s">
        <v>58</v>
      </c>
      <c r="AI1375" s="1" t="s">
        <v>59</v>
      </c>
      <c r="AJ1375" s="1" t="s">
        <v>59</v>
      </c>
      <c r="AK1375" s="1" t="s">
        <v>60</v>
      </c>
      <c r="AL1375" s="1" t="s">
        <v>60</v>
      </c>
      <c r="AW1375" s="1" t="s">
        <v>2346</v>
      </c>
      <c r="AY1375" s="1">
        <v>1.0</v>
      </c>
      <c r="AZ1375" s="1">
        <v>399.99</v>
      </c>
      <c r="BB1375" s="1">
        <v>399.99</v>
      </c>
    </row>
    <row r="1376">
      <c r="A1376" s="1" t="s">
        <v>2347</v>
      </c>
      <c r="C1376" s="1" t="s">
        <v>56</v>
      </c>
      <c r="D1376" s="1" t="s">
        <v>2348</v>
      </c>
      <c r="Y1376" s="2">
        <v>45516.0</v>
      </c>
      <c r="AE1376" s="1">
        <v>129.99</v>
      </c>
      <c r="AG1376" s="3" t="str">
        <f>"2000009015299364"</f>
        <v>2000009015299364</v>
      </c>
      <c r="AH1376" s="1" t="s">
        <v>58</v>
      </c>
      <c r="AI1376" s="1" t="s">
        <v>59</v>
      </c>
      <c r="AJ1376" s="1" t="s">
        <v>59</v>
      </c>
      <c r="AK1376" s="1" t="s">
        <v>60</v>
      </c>
      <c r="AL1376" s="1" t="s">
        <v>60</v>
      </c>
      <c r="AW1376" s="1" t="s">
        <v>1332</v>
      </c>
      <c r="AY1376" s="1">
        <v>1.0</v>
      </c>
      <c r="AZ1376" s="1">
        <v>129.99</v>
      </c>
      <c r="BB1376" s="1">
        <v>129.99</v>
      </c>
    </row>
    <row r="1377">
      <c r="A1377" s="1" t="s">
        <v>2349</v>
      </c>
      <c r="C1377" s="1" t="s">
        <v>56</v>
      </c>
      <c r="D1377" s="1" t="s">
        <v>2350</v>
      </c>
      <c r="Y1377" s="2">
        <v>45516.0</v>
      </c>
      <c r="AE1377" s="1">
        <v>99.98</v>
      </c>
      <c r="AG1377" s="3" t="str">
        <f>"2000006163283163"</f>
        <v>2000006163283163</v>
      </c>
      <c r="AH1377" s="1" t="s">
        <v>58</v>
      </c>
      <c r="AI1377" s="1" t="s">
        <v>59</v>
      </c>
      <c r="AJ1377" s="1" t="s">
        <v>59</v>
      </c>
      <c r="AK1377" s="1" t="s">
        <v>60</v>
      </c>
      <c r="AL1377" s="1" t="s">
        <v>60</v>
      </c>
      <c r="AW1377" s="1" t="s">
        <v>1950</v>
      </c>
      <c r="AY1377" s="1">
        <v>2.0</v>
      </c>
      <c r="AZ1377" s="1">
        <v>49.99</v>
      </c>
      <c r="BB1377" s="1">
        <v>99.98</v>
      </c>
    </row>
    <row r="1378">
      <c r="A1378" s="1" t="s">
        <v>1195</v>
      </c>
      <c r="C1378" s="1" t="s">
        <v>56</v>
      </c>
      <c r="D1378" s="1" t="s">
        <v>2351</v>
      </c>
      <c r="Y1378" s="2">
        <v>45516.0</v>
      </c>
      <c r="AE1378" s="1">
        <v>227.94</v>
      </c>
      <c r="AG1378" s="3" t="str">
        <f>"2000006163240169"</f>
        <v>2000006163240169</v>
      </c>
      <c r="AH1378" s="1" t="s">
        <v>58</v>
      </c>
      <c r="AI1378" s="1" t="s">
        <v>59</v>
      </c>
      <c r="AJ1378" s="1" t="s">
        <v>59</v>
      </c>
      <c r="AK1378" s="1" t="s">
        <v>60</v>
      </c>
      <c r="AL1378" s="1" t="s">
        <v>60</v>
      </c>
      <c r="AW1378" s="1" t="s">
        <v>1197</v>
      </c>
      <c r="AY1378" s="1">
        <v>6.0</v>
      </c>
      <c r="AZ1378" s="1">
        <v>37.99</v>
      </c>
      <c r="BB1378" s="1">
        <v>227.94</v>
      </c>
    </row>
    <row r="1379">
      <c r="A1379" s="1" t="s">
        <v>86</v>
      </c>
      <c r="C1379" s="1" t="s">
        <v>56</v>
      </c>
      <c r="D1379" s="1" t="s">
        <v>2352</v>
      </c>
      <c r="Y1379" s="2">
        <v>45516.0</v>
      </c>
      <c r="AE1379" s="1">
        <v>64.99</v>
      </c>
      <c r="AG1379" s="3" t="str">
        <f>"2000006163204417"</f>
        <v>2000006163204417</v>
      </c>
      <c r="AH1379" s="1" t="s">
        <v>58</v>
      </c>
      <c r="AI1379" s="1" t="s">
        <v>59</v>
      </c>
      <c r="AJ1379" s="1" t="s">
        <v>59</v>
      </c>
      <c r="AK1379" s="1" t="s">
        <v>60</v>
      </c>
      <c r="AL1379" s="1" t="s">
        <v>60</v>
      </c>
      <c r="AW1379" s="1" t="s">
        <v>88</v>
      </c>
      <c r="AY1379" s="1">
        <v>1.0</v>
      </c>
      <c r="AZ1379" s="1">
        <v>64.99</v>
      </c>
      <c r="BB1379" s="1">
        <v>64.99</v>
      </c>
    </row>
    <row r="1380">
      <c r="A1380" s="1" t="s">
        <v>1041</v>
      </c>
      <c r="C1380" s="1" t="s">
        <v>56</v>
      </c>
      <c r="D1380" s="1" t="s">
        <v>2353</v>
      </c>
      <c r="Y1380" s="2">
        <v>45516.0</v>
      </c>
      <c r="AE1380" s="1">
        <v>499.99</v>
      </c>
      <c r="AG1380" s="3" t="str">
        <f>"2000009015109020"</f>
        <v>2000009015109020</v>
      </c>
      <c r="AH1380" s="1" t="s">
        <v>58</v>
      </c>
      <c r="AI1380" s="1" t="s">
        <v>59</v>
      </c>
      <c r="AJ1380" s="1" t="s">
        <v>59</v>
      </c>
      <c r="AK1380" s="1" t="s">
        <v>60</v>
      </c>
      <c r="AL1380" s="1" t="s">
        <v>60</v>
      </c>
      <c r="AW1380" s="1" t="s">
        <v>1043</v>
      </c>
      <c r="AY1380" s="1">
        <v>1.0</v>
      </c>
      <c r="AZ1380" s="1">
        <v>499.99</v>
      </c>
      <c r="BB1380" s="1">
        <v>499.99</v>
      </c>
    </row>
    <row r="1381">
      <c r="A1381" s="1" t="s">
        <v>960</v>
      </c>
      <c r="C1381" s="1" t="s">
        <v>56</v>
      </c>
      <c r="D1381" s="1" t="s">
        <v>2354</v>
      </c>
      <c r="Y1381" s="2">
        <v>45516.0</v>
      </c>
      <c r="AE1381" s="1">
        <v>129.99</v>
      </c>
      <c r="AG1381" s="3" t="str">
        <f>"2000006163155519"</f>
        <v>2000006163155519</v>
      </c>
      <c r="AH1381" s="1" t="s">
        <v>58</v>
      </c>
      <c r="AI1381" s="1" t="s">
        <v>59</v>
      </c>
      <c r="AJ1381" s="1" t="s">
        <v>59</v>
      </c>
      <c r="AK1381" s="1" t="s">
        <v>60</v>
      </c>
      <c r="AL1381" s="1" t="s">
        <v>60</v>
      </c>
      <c r="AW1381" s="1" t="s">
        <v>763</v>
      </c>
      <c r="AY1381" s="1">
        <v>1.0</v>
      </c>
      <c r="AZ1381" s="1">
        <v>129.99</v>
      </c>
      <c r="BB1381" s="1">
        <v>129.99</v>
      </c>
    </row>
    <row r="1382">
      <c r="A1382" s="1" t="s">
        <v>62</v>
      </c>
      <c r="C1382" s="1" t="s">
        <v>56</v>
      </c>
      <c r="D1382" s="1" t="s">
        <v>2355</v>
      </c>
      <c r="Y1382" s="2">
        <v>45516.0</v>
      </c>
      <c r="AE1382" s="1">
        <v>249.49</v>
      </c>
      <c r="AG1382" s="3" t="str">
        <f>"2000006163149747"</f>
        <v>2000006163149747</v>
      </c>
      <c r="AH1382" s="1" t="s">
        <v>58</v>
      </c>
      <c r="AI1382" s="1" t="s">
        <v>59</v>
      </c>
      <c r="AJ1382" s="1" t="s">
        <v>59</v>
      </c>
      <c r="AK1382" s="1" t="s">
        <v>60</v>
      </c>
      <c r="AL1382" s="1" t="s">
        <v>60</v>
      </c>
      <c r="AW1382" s="1" t="s">
        <v>64</v>
      </c>
      <c r="AY1382" s="1">
        <v>1.0</v>
      </c>
      <c r="AZ1382" s="1">
        <v>249.49</v>
      </c>
      <c r="BB1382" s="1">
        <v>249.49</v>
      </c>
    </row>
    <row r="1383">
      <c r="A1383" s="1" t="s">
        <v>2186</v>
      </c>
      <c r="C1383" s="1" t="s">
        <v>56</v>
      </c>
      <c r="D1383" s="1" t="s">
        <v>2356</v>
      </c>
      <c r="Y1383" s="2">
        <v>45516.0</v>
      </c>
      <c r="AE1383" s="1">
        <v>69.99</v>
      </c>
      <c r="AG1383" s="3" t="str">
        <f>"2000006163139255"</f>
        <v>2000006163139255</v>
      </c>
      <c r="AH1383" s="1" t="s">
        <v>58</v>
      </c>
      <c r="AI1383" s="1" t="s">
        <v>59</v>
      </c>
      <c r="AJ1383" s="1" t="s">
        <v>59</v>
      </c>
      <c r="AK1383" s="1" t="s">
        <v>60</v>
      </c>
      <c r="AL1383" s="1" t="s">
        <v>60</v>
      </c>
      <c r="AW1383" s="1" t="s">
        <v>2188</v>
      </c>
      <c r="AY1383" s="1">
        <v>1.0</v>
      </c>
      <c r="AZ1383" s="1">
        <v>69.99</v>
      </c>
      <c r="BB1383" s="1">
        <v>69.99</v>
      </c>
    </row>
    <row r="1384">
      <c r="A1384" s="1" t="s">
        <v>819</v>
      </c>
      <c r="C1384" s="1" t="s">
        <v>56</v>
      </c>
      <c r="D1384" s="1" t="s">
        <v>2357</v>
      </c>
      <c r="Y1384" s="2">
        <v>45516.0</v>
      </c>
      <c r="AE1384" s="1">
        <v>449.99</v>
      </c>
      <c r="AG1384" s="3" t="str">
        <f>"2000009015014860"</f>
        <v>2000009015014860</v>
      </c>
      <c r="AH1384" s="1" t="s">
        <v>58</v>
      </c>
      <c r="AI1384" s="1" t="s">
        <v>59</v>
      </c>
      <c r="AJ1384" s="1" t="s">
        <v>59</v>
      </c>
      <c r="AK1384" s="1" t="s">
        <v>60</v>
      </c>
      <c r="AL1384" s="1" t="s">
        <v>60</v>
      </c>
      <c r="AW1384" s="1" t="s">
        <v>821</v>
      </c>
      <c r="AY1384" s="1">
        <v>1.0</v>
      </c>
      <c r="AZ1384" s="1">
        <v>449.99</v>
      </c>
      <c r="BB1384" s="1">
        <v>449.99</v>
      </c>
    </row>
    <row r="1385">
      <c r="A1385" s="1" t="s">
        <v>108</v>
      </c>
      <c r="C1385" s="1" t="s">
        <v>56</v>
      </c>
      <c r="D1385" s="1" t="s">
        <v>2358</v>
      </c>
      <c r="Y1385" s="2">
        <v>45516.0</v>
      </c>
      <c r="AE1385" s="1">
        <v>54.99</v>
      </c>
      <c r="AG1385" s="3" t="str">
        <f>"2000009014875478"</f>
        <v>2000009014875478</v>
      </c>
      <c r="AH1385" s="1" t="s">
        <v>58</v>
      </c>
      <c r="AI1385" s="1" t="s">
        <v>59</v>
      </c>
      <c r="AJ1385" s="1" t="s">
        <v>59</v>
      </c>
      <c r="AK1385" s="1" t="s">
        <v>60</v>
      </c>
      <c r="AL1385" s="1" t="s">
        <v>60</v>
      </c>
      <c r="AW1385" s="1" t="s">
        <v>2359</v>
      </c>
      <c r="AY1385" s="1">
        <v>1.0</v>
      </c>
      <c r="AZ1385" s="1">
        <v>54.99</v>
      </c>
      <c r="BB1385" s="1">
        <v>54.99</v>
      </c>
    </row>
    <row r="1386">
      <c r="A1386" s="1" t="s">
        <v>1281</v>
      </c>
      <c r="C1386" s="1" t="s">
        <v>56</v>
      </c>
      <c r="D1386" s="1" t="s">
        <v>2360</v>
      </c>
      <c r="Y1386" s="2">
        <v>45516.0</v>
      </c>
      <c r="AE1386" s="1">
        <v>79.99</v>
      </c>
      <c r="AG1386" s="3" t="str">
        <f>"2000006162163997"</f>
        <v>2000006162163997</v>
      </c>
      <c r="AH1386" s="1" t="s">
        <v>58</v>
      </c>
      <c r="AI1386" s="1" t="s">
        <v>59</v>
      </c>
      <c r="AJ1386" s="1" t="s">
        <v>59</v>
      </c>
      <c r="AK1386" s="1" t="s">
        <v>60</v>
      </c>
      <c r="AL1386" s="1" t="s">
        <v>60</v>
      </c>
      <c r="AW1386" s="1" t="s">
        <v>1283</v>
      </c>
      <c r="AY1386" s="1">
        <v>1.0</v>
      </c>
      <c r="AZ1386" s="1">
        <v>79.99</v>
      </c>
      <c r="BB1386" s="1">
        <v>79.99</v>
      </c>
    </row>
    <row r="1387">
      <c r="A1387" s="1" t="s">
        <v>1336</v>
      </c>
      <c r="C1387" s="1" t="s">
        <v>56</v>
      </c>
      <c r="D1387" s="1" t="s">
        <v>2361</v>
      </c>
      <c r="Y1387" s="2">
        <v>45516.0</v>
      </c>
      <c r="AE1387" s="1">
        <v>49.99</v>
      </c>
      <c r="AG1387" s="3" t="str">
        <f>"2000006162964185"</f>
        <v>2000006162964185</v>
      </c>
      <c r="AH1387" s="1" t="s">
        <v>58</v>
      </c>
      <c r="AI1387" s="1" t="s">
        <v>59</v>
      </c>
      <c r="AJ1387" s="1" t="s">
        <v>59</v>
      </c>
      <c r="AK1387" s="1" t="s">
        <v>60</v>
      </c>
      <c r="AL1387" s="1" t="s">
        <v>60</v>
      </c>
      <c r="AW1387" s="1" t="s">
        <v>1338</v>
      </c>
      <c r="AY1387" s="1">
        <v>1.0</v>
      </c>
      <c r="AZ1387" s="1">
        <v>49.99</v>
      </c>
      <c r="BB1387" s="1">
        <v>49.99</v>
      </c>
    </row>
    <row r="1388">
      <c r="A1388" s="1" t="s">
        <v>2362</v>
      </c>
      <c r="C1388" s="1" t="s">
        <v>56</v>
      </c>
      <c r="D1388" s="1" t="s">
        <v>2363</v>
      </c>
      <c r="Y1388" s="2">
        <v>45516.0</v>
      </c>
      <c r="AE1388" s="1">
        <v>89.99</v>
      </c>
      <c r="AG1388" s="3" t="str">
        <f>"2000006162921799"</f>
        <v>2000006162921799</v>
      </c>
      <c r="AH1388" s="1" t="s">
        <v>58</v>
      </c>
      <c r="AI1388" s="1" t="s">
        <v>59</v>
      </c>
      <c r="AJ1388" s="1" t="s">
        <v>59</v>
      </c>
      <c r="AK1388" s="1" t="s">
        <v>60</v>
      </c>
      <c r="AL1388" s="1" t="s">
        <v>60</v>
      </c>
      <c r="AW1388" s="1" t="s">
        <v>2364</v>
      </c>
      <c r="AY1388" s="1">
        <v>1.0</v>
      </c>
      <c r="AZ1388" s="1">
        <v>89.99</v>
      </c>
      <c r="BB1388" s="1">
        <v>89.99</v>
      </c>
    </row>
    <row r="1389">
      <c r="A1389" s="1" t="s">
        <v>191</v>
      </c>
      <c r="C1389" s="1" t="s">
        <v>56</v>
      </c>
      <c r="D1389" s="1" t="s">
        <v>1683</v>
      </c>
      <c r="Y1389" s="2">
        <v>45516.0</v>
      </c>
      <c r="AE1389" s="1">
        <v>499.98</v>
      </c>
      <c r="AG1389" s="3" t="str">
        <f>"2000006162928015"</f>
        <v>2000006162928015</v>
      </c>
      <c r="AH1389" s="1" t="s">
        <v>58</v>
      </c>
      <c r="AI1389" s="1" t="s">
        <v>59</v>
      </c>
      <c r="AJ1389" s="1" t="s">
        <v>59</v>
      </c>
      <c r="AK1389" s="1" t="s">
        <v>60</v>
      </c>
      <c r="AL1389" s="1" t="s">
        <v>60</v>
      </c>
      <c r="AW1389" s="1" t="s">
        <v>1206</v>
      </c>
      <c r="AY1389" s="1">
        <v>2.0</v>
      </c>
      <c r="AZ1389" s="1">
        <v>249.99</v>
      </c>
      <c r="BB1389" s="1">
        <v>499.98</v>
      </c>
    </row>
    <row r="1390">
      <c r="A1390" s="1" t="s">
        <v>1806</v>
      </c>
      <c r="C1390" s="1" t="s">
        <v>56</v>
      </c>
      <c r="D1390" s="1" t="s">
        <v>2365</v>
      </c>
      <c r="Y1390" s="2">
        <v>45516.0</v>
      </c>
      <c r="AE1390" s="1">
        <v>39.99</v>
      </c>
      <c r="AG1390" s="3" t="str">
        <f>"2000006162890551"</f>
        <v>2000006162890551</v>
      </c>
      <c r="AH1390" s="1" t="s">
        <v>58</v>
      </c>
      <c r="AI1390" s="1" t="s">
        <v>59</v>
      </c>
      <c r="AJ1390" s="1" t="s">
        <v>59</v>
      </c>
      <c r="AK1390" s="1" t="s">
        <v>60</v>
      </c>
      <c r="AL1390" s="1" t="s">
        <v>60</v>
      </c>
      <c r="AW1390" s="1" t="s">
        <v>1808</v>
      </c>
      <c r="AY1390" s="1">
        <v>1.0</v>
      </c>
      <c r="AZ1390" s="1">
        <v>39.99</v>
      </c>
      <c r="BB1390" s="1">
        <v>39.99</v>
      </c>
    </row>
    <row r="1391">
      <c r="A1391" s="1" t="s">
        <v>232</v>
      </c>
      <c r="C1391" s="1" t="s">
        <v>56</v>
      </c>
      <c r="D1391" s="1" t="s">
        <v>2366</v>
      </c>
      <c r="Y1391" s="2">
        <v>45516.0</v>
      </c>
      <c r="AE1391" s="1">
        <v>79.99</v>
      </c>
      <c r="AG1391" s="3" t="str">
        <f>"2000006162882469"</f>
        <v>2000006162882469</v>
      </c>
      <c r="AH1391" s="1" t="s">
        <v>58</v>
      </c>
      <c r="AI1391" s="1" t="s">
        <v>59</v>
      </c>
      <c r="AJ1391" s="1" t="s">
        <v>59</v>
      </c>
      <c r="AK1391" s="1" t="s">
        <v>60</v>
      </c>
      <c r="AL1391" s="1" t="s">
        <v>60</v>
      </c>
      <c r="AW1391" s="1" t="s">
        <v>234</v>
      </c>
      <c r="AY1391" s="1">
        <v>1.0</v>
      </c>
      <c r="AZ1391" s="1">
        <v>79.99</v>
      </c>
      <c r="BB1391" s="1">
        <v>79.99</v>
      </c>
    </row>
    <row r="1392">
      <c r="A1392" s="1" t="s">
        <v>694</v>
      </c>
      <c r="C1392" s="1" t="s">
        <v>56</v>
      </c>
      <c r="D1392" s="1" t="s">
        <v>2367</v>
      </c>
      <c r="Y1392" s="2">
        <v>45516.0</v>
      </c>
      <c r="AE1392" s="1">
        <v>64.99</v>
      </c>
      <c r="AG1392" s="3" t="str">
        <f>"2000006162858035"</f>
        <v>2000006162858035</v>
      </c>
      <c r="AH1392" s="1" t="s">
        <v>58</v>
      </c>
      <c r="AI1392" s="1" t="s">
        <v>59</v>
      </c>
      <c r="AJ1392" s="1" t="s">
        <v>59</v>
      </c>
      <c r="AK1392" s="1" t="s">
        <v>60</v>
      </c>
      <c r="AL1392" s="1" t="s">
        <v>60</v>
      </c>
      <c r="AW1392" s="1" t="s">
        <v>328</v>
      </c>
      <c r="AY1392" s="1">
        <v>1.0</v>
      </c>
      <c r="AZ1392" s="1">
        <v>64.99</v>
      </c>
      <c r="BB1392" s="1">
        <v>64.99</v>
      </c>
    </row>
    <row r="1393">
      <c r="A1393" s="1" t="s">
        <v>1360</v>
      </c>
      <c r="C1393" s="1" t="s">
        <v>56</v>
      </c>
      <c r="D1393" s="1" t="s">
        <v>2368</v>
      </c>
      <c r="Y1393" s="2">
        <v>45516.0</v>
      </c>
      <c r="AE1393" s="1">
        <v>499.99</v>
      </c>
      <c r="AG1393" s="3" t="str">
        <f>"2000006162846351"</f>
        <v>2000006162846351</v>
      </c>
      <c r="AH1393" s="1" t="s">
        <v>58</v>
      </c>
      <c r="AI1393" s="1" t="s">
        <v>59</v>
      </c>
      <c r="AJ1393" s="1" t="s">
        <v>59</v>
      </c>
      <c r="AK1393" s="1" t="s">
        <v>60</v>
      </c>
      <c r="AL1393" s="1" t="s">
        <v>60</v>
      </c>
      <c r="AW1393" s="1" t="s">
        <v>1362</v>
      </c>
      <c r="AY1393" s="1">
        <v>1.0</v>
      </c>
      <c r="AZ1393" s="1">
        <v>499.99</v>
      </c>
      <c r="BB1393" s="1">
        <v>499.99</v>
      </c>
    </row>
    <row r="1394">
      <c r="A1394" s="1" t="s">
        <v>1045</v>
      </c>
      <c r="C1394" s="1" t="s">
        <v>56</v>
      </c>
      <c r="D1394" s="1" t="s">
        <v>2369</v>
      </c>
      <c r="Y1394" s="2">
        <v>45516.0</v>
      </c>
      <c r="AE1394" s="1">
        <v>89.99</v>
      </c>
      <c r="AG1394" s="3" t="str">
        <f>"2000006162826105"</f>
        <v>2000006162826105</v>
      </c>
      <c r="AH1394" s="1" t="s">
        <v>58</v>
      </c>
      <c r="AI1394" s="1" t="s">
        <v>59</v>
      </c>
      <c r="AJ1394" s="1" t="s">
        <v>59</v>
      </c>
      <c r="AK1394" s="1" t="s">
        <v>60</v>
      </c>
      <c r="AL1394" s="1" t="s">
        <v>60</v>
      </c>
      <c r="AW1394" s="1" t="s">
        <v>1047</v>
      </c>
      <c r="AY1394" s="1">
        <v>1.0</v>
      </c>
      <c r="AZ1394" s="1">
        <v>89.99</v>
      </c>
      <c r="BB1394" s="1">
        <v>89.99</v>
      </c>
    </row>
    <row r="1395">
      <c r="A1395" s="1" t="s">
        <v>400</v>
      </c>
      <c r="C1395" s="1" t="s">
        <v>56</v>
      </c>
      <c r="D1395" s="1" t="s">
        <v>1294</v>
      </c>
      <c r="Y1395" s="2">
        <v>45516.0</v>
      </c>
      <c r="AE1395" s="1">
        <v>109.99</v>
      </c>
      <c r="AG1395" s="3" t="str">
        <f>"2000009014322970"</f>
        <v>2000009014322970</v>
      </c>
      <c r="AH1395" s="1" t="s">
        <v>58</v>
      </c>
      <c r="AI1395" s="1" t="s">
        <v>59</v>
      </c>
      <c r="AJ1395" s="1" t="s">
        <v>59</v>
      </c>
      <c r="AK1395" s="1" t="s">
        <v>60</v>
      </c>
      <c r="AL1395" s="1" t="s">
        <v>60</v>
      </c>
      <c r="AW1395" s="1" t="s">
        <v>402</v>
      </c>
      <c r="AY1395" s="1">
        <v>1.0</v>
      </c>
      <c r="AZ1395" s="1">
        <v>109.99</v>
      </c>
      <c r="BB1395" s="1">
        <v>109.99</v>
      </c>
    </row>
    <row r="1396">
      <c r="A1396" s="1" t="s">
        <v>2370</v>
      </c>
      <c r="C1396" s="1" t="s">
        <v>56</v>
      </c>
      <c r="D1396" s="1" t="s">
        <v>2371</v>
      </c>
      <c r="Y1396" s="2">
        <v>45516.0</v>
      </c>
      <c r="AE1396" s="1">
        <v>114.99</v>
      </c>
      <c r="AG1396" s="3" t="str">
        <f>"2000006162716563"</f>
        <v>2000006162716563</v>
      </c>
      <c r="AH1396" s="1" t="s">
        <v>58</v>
      </c>
      <c r="AI1396" s="1" t="s">
        <v>59</v>
      </c>
      <c r="AJ1396" s="1" t="s">
        <v>59</v>
      </c>
      <c r="AK1396" s="1" t="s">
        <v>60</v>
      </c>
      <c r="AL1396" s="1" t="s">
        <v>60</v>
      </c>
      <c r="AW1396" s="1" t="s">
        <v>2372</v>
      </c>
      <c r="AY1396" s="1">
        <v>1.0</v>
      </c>
      <c r="AZ1396" s="1">
        <v>114.99</v>
      </c>
      <c r="BB1396" s="1">
        <v>114.99</v>
      </c>
    </row>
    <row r="1397">
      <c r="A1397" s="1" t="s">
        <v>195</v>
      </c>
      <c r="C1397" s="1" t="s">
        <v>56</v>
      </c>
      <c r="D1397" s="1" t="s">
        <v>2373</v>
      </c>
      <c r="Y1397" s="2">
        <v>45516.0</v>
      </c>
      <c r="AE1397" s="1">
        <v>47.99</v>
      </c>
      <c r="AG1397" s="3" t="str">
        <f>"2000006162687735"</f>
        <v>2000006162687735</v>
      </c>
      <c r="AH1397" s="1" t="s">
        <v>58</v>
      </c>
      <c r="AI1397" s="1" t="s">
        <v>59</v>
      </c>
      <c r="AJ1397" s="1" t="s">
        <v>59</v>
      </c>
      <c r="AK1397" s="1" t="s">
        <v>60</v>
      </c>
      <c r="AL1397" s="1" t="s">
        <v>60</v>
      </c>
      <c r="AW1397" s="1" t="s">
        <v>197</v>
      </c>
      <c r="AY1397" s="1">
        <v>1.0</v>
      </c>
      <c r="AZ1397" s="1">
        <v>47.99</v>
      </c>
      <c r="BB1397" s="1">
        <v>47.99</v>
      </c>
    </row>
    <row r="1398">
      <c r="A1398" s="1" t="s">
        <v>1060</v>
      </c>
      <c r="C1398" s="1" t="s">
        <v>56</v>
      </c>
      <c r="D1398" s="1" t="s">
        <v>2374</v>
      </c>
      <c r="Y1398" s="2">
        <v>45516.0</v>
      </c>
      <c r="AE1398" s="1">
        <v>64.48</v>
      </c>
      <c r="AG1398" s="3" t="str">
        <f t="shared" ref="AG1398:AG1399" si="57">"2000006162672421"</f>
        <v>2000006162672421</v>
      </c>
      <c r="AH1398" s="1" t="s">
        <v>58</v>
      </c>
      <c r="AI1398" s="1" t="s">
        <v>59</v>
      </c>
      <c r="AJ1398" s="1" t="s">
        <v>59</v>
      </c>
      <c r="AK1398" s="1" t="s">
        <v>60</v>
      </c>
      <c r="AL1398" s="1" t="s">
        <v>60</v>
      </c>
      <c r="AW1398" s="1" t="s">
        <v>1062</v>
      </c>
      <c r="AY1398" s="1">
        <v>1.0</v>
      </c>
      <c r="AZ1398" s="1">
        <v>64.48</v>
      </c>
      <c r="BB1398" s="1">
        <v>64.48</v>
      </c>
    </row>
    <row r="1399">
      <c r="A1399" s="1" t="s">
        <v>2375</v>
      </c>
      <c r="C1399" s="1" t="s">
        <v>56</v>
      </c>
      <c r="D1399" s="1" t="s">
        <v>2374</v>
      </c>
      <c r="Y1399" s="2">
        <v>45516.0</v>
      </c>
      <c r="AE1399" s="1">
        <v>249.99</v>
      </c>
      <c r="AG1399" s="3" t="str">
        <f t="shared" si="57"/>
        <v>2000006162672421</v>
      </c>
      <c r="AH1399" s="1" t="s">
        <v>58</v>
      </c>
      <c r="AI1399" s="1" t="s">
        <v>59</v>
      </c>
      <c r="AJ1399" s="1" t="s">
        <v>59</v>
      </c>
      <c r="AK1399" s="1" t="s">
        <v>60</v>
      </c>
      <c r="AL1399" s="1" t="s">
        <v>60</v>
      </c>
      <c r="AW1399" s="1" t="s">
        <v>2376</v>
      </c>
      <c r="AY1399" s="1">
        <v>1.0</v>
      </c>
      <c r="AZ1399" s="1">
        <v>249.99</v>
      </c>
      <c r="BB1399" s="1">
        <v>249.99</v>
      </c>
    </row>
    <row r="1400">
      <c r="A1400" s="1" t="s">
        <v>2377</v>
      </c>
      <c r="C1400" s="1" t="s">
        <v>56</v>
      </c>
      <c r="D1400" s="1" t="s">
        <v>2378</v>
      </c>
      <c r="Y1400" s="2">
        <v>45516.0</v>
      </c>
      <c r="AE1400" s="1">
        <v>89.99</v>
      </c>
      <c r="AG1400" s="3" t="str">
        <f>"2000006162614475"</f>
        <v>2000006162614475</v>
      </c>
      <c r="AH1400" s="1" t="s">
        <v>58</v>
      </c>
      <c r="AI1400" s="1" t="s">
        <v>59</v>
      </c>
      <c r="AJ1400" s="1" t="s">
        <v>59</v>
      </c>
      <c r="AK1400" s="1" t="s">
        <v>60</v>
      </c>
      <c r="AL1400" s="1" t="s">
        <v>60</v>
      </c>
      <c r="AW1400" s="1" t="s">
        <v>2379</v>
      </c>
      <c r="AY1400" s="1">
        <v>1.0</v>
      </c>
      <c r="AZ1400" s="1">
        <v>89.99</v>
      </c>
      <c r="BB1400" s="1">
        <v>89.99</v>
      </c>
    </row>
    <row r="1401">
      <c r="A1401" s="1" t="s">
        <v>1391</v>
      </c>
      <c r="C1401" s="1" t="s">
        <v>56</v>
      </c>
      <c r="D1401" s="1" t="s">
        <v>2380</v>
      </c>
      <c r="Y1401" s="2">
        <v>45516.0</v>
      </c>
      <c r="AE1401" s="1">
        <v>479.99</v>
      </c>
      <c r="AG1401" s="3" t="str">
        <f>"2000009013979072"</f>
        <v>2000009013979072</v>
      </c>
      <c r="AH1401" s="1" t="s">
        <v>58</v>
      </c>
      <c r="AI1401" s="1" t="s">
        <v>59</v>
      </c>
      <c r="AJ1401" s="1" t="s">
        <v>59</v>
      </c>
      <c r="AK1401" s="1" t="s">
        <v>60</v>
      </c>
      <c r="AL1401" s="1" t="s">
        <v>60</v>
      </c>
      <c r="AW1401" s="1" t="s">
        <v>1393</v>
      </c>
      <c r="AY1401" s="1">
        <v>1.0</v>
      </c>
      <c r="AZ1401" s="1">
        <v>479.99</v>
      </c>
      <c r="BB1401" s="1">
        <v>479.99</v>
      </c>
    </row>
    <row r="1402">
      <c r="A1402" s="1" t="s">
        <v>2381</v>
      </c>
      <c r="C1402" s="1" t="s">
        <v>56</v>
      </c>
      <c r="D1402" s="1" t="s">
        <v>2382</v>
      </c>
      <c r="Y1402" s="2">
        <v>45516.0</v>
      </c>
      <c r="AE1402" s="1">
        <v>189.99</v>
      </c>
      <c r="AG1402" s="3" t="str">
        <f>"2000006162571185"</f>
        <v>2000006162571185</v>
      </c>
      <c r="AH1402" s="1" t="s">
        <v>58</v>
      </c>
      <c r="AI1402" s="1" t="s">
        <v>59</v>
      </c>
      <c r="AJ1402" s="1" t="s">
        <v>59</v>
      </c>
      <c r="AK1402" s="1" t="s">
        <v>60</v>
      </c>
      <c r="AL1402" s="1" t="s">
        <v>60</v>
      </c>
      <c r="AW1402" s="1" t="s">
        <v>2383</v>
      </c>
      <c r="AY1402" s="1">
        <v>1.0</v>
      </c>
      <c r="AZ1402" s="1">
        <v>189.99</v>
      </c>
      <c r="BB1402" s="1">
        <v>189.99</v>
      </c>
    </row>
    <row r="1403">
      <c r="A1403" s="1" t="s">
        <v>2384</v>
      </c>
      <c r="C1403" s="1" t="s">
        <v>56</v>
      </c>
      <c r="D1403" s="1" t="s">
        <v>2385</v>
      </c>
      <c r="Y1403" s="2">
        <v>45516.0</v>
      </c>
      <c r="AE1403" s="1">
        <v>159.99</v>
      </c>
      <c r="AG1403" s="3" t="str">
        <f>"2000006162516509"</f>
        <v>2000006162516509</v>
      </c>
      <c r="AH1403" s="1" t="s">
        <v>58</v>
      </c>
      <c r="AI1403" s="1" t="s">
        <v>59</v>
      </c>
      <c r="AJ1403" s="1" t="s">
        <v>59</v>
      </c>
      <c r="AK1403" s="1" t="s">
        <v>60</v>
      </c>
      <c r="AL1403" s="1" t="s">
        <v>60</v>
      </c>
      <c r="AW1403" s="1" t="s">
        <v>2386</v>
      </c>
      <c r="AY1403" s="1">
        <v>1.0</v>
      </c>
      <c r="AZ1403" s="1">
        <v>159.99</v>
      </c>
      <c r="BB1403" s="1">
        <v>159.99</v>
      </c>
    </row>
    <row r="1404">
      <c r="A1404" s="1" t="s">
        <v>1894</v>
      </c>
      <c r="C1404" s="1" t="s">
        <v>56</v>
      </c>
      <c r="D1404" s="1" t="s">
        <v>2387</v>
      </c>
      <c r="Y1404" s="2">
        <v>45516.0</v>
      </c>
      <c r="AE1404" s="1">
        <v>37.49</v>
      </c>
      <c r="AG1404" s="3" t="str">
        <f>"2000006162472975"</f>
        <v>2000006162472975</v>
      </c>
      <c r="AH1404" s="1" t="s">
        <v>58</v>
      </c>
      <c r="AI1404" s="1" t="s">
        <v>59</v>
      </c>
      <c r="AJ1404" s="1" t="s">
        <v>59</v>
      </c>
      <c r="AK1404" s="1" t="s">
        <v>60</v>
      </c>
      <c r="AL1404" s="1" t="s">
        <v>60</v>
      </c>
      <c r="AW1404" s="1" t="s">
        <v>373</v>
      </c>
      <c r="AY1404" s="1">
        <v>1.0</v>
      </c>
      <c r="AZ1404" s="1">
        <v>37.49</v>
      </c>
      <c r="BB1404" s="1">
        <v>37.49</v>
      </c>
    </row>
    <row r="1405">
      <c r="A1405" s="1" t="s">
        <v>525</v>
      </c>
      <c r="C1405" s="1" t="s">
        <v>56</v>
      </c>
      <c r="D1405" s="1" t="s">
        <v>2388</v>
      </c>
      <c r="Y1405" s="2">
        <v>45516.0</v>
      </c>
      <c r="AE1405" s="1">
        <v>54.99</v>
      </c>
      <c r="AG1405" s="3" t="str">
        <f>"2000006162305057"</f>
        <v>2000006162305057</v>
      </c>
      <c r="AH1405" s="1" t="s">
        <v>58</v>
      </c>
      <c r="AI1405" s="1" t="s">
        <v>59</v>
      </c>
      <c r="AJ1405" s="1" t="s">
        <v>59</v>
      </c>
      <c r="AK1405" s="1" t="s">
        <v>60</v>
      </c>
      <c r="AL1405" s="1" t="s">
        <v>60</v>
      </c>
      <c r="AW1405" s="1" t="s">
        <v>497</v>
      </c>
      <c r="AY1405" s="1">
        <v>1.0</v>
      </c>
      <c r="AZ1405" s="1">
        <v>54.99</v>
      </c>
      <c r="BB1405" s="1">
        <v>54.99</v>
      </c>
    </row>
    <row r="1406">
      <c r="A1406" s="1" t="s">
        <v>2389</v>
      </c>
      <c r="C1406" s="1" t="s">
        <v>56</v>
      </c>
      <c r="D1406" s="1" t="s">
        <v>2390</v>
      </c>
      <c r="Y1406" s="2">
        <v>45516.0</v>
      </c>
      <c r="AE1406" s="1">
        <v>44.99</v>
      </c>
      <c r="AG1406" s="3" t="str">
        <f>"2000006162290261"</f>
        <v>2000006162290261</v>
      </c>
      <c r="AH1406" s="1" t="s">
        <v>58</v>
      </c>
      <c r="AI1406" s="1" t="s">
        <v>59</v>
      </c>
      <c r="AJ1406" s="1" t="s">
        <v>59</v>
      </c>
      <c r="AK1406" s="1" t="s">
        <v>60</v>
      </c>
      <c r="AL1406" s="1" t="s">
        <v>60</v>
      </c>
      <c r="AW1406" s="1" t="s">
        <v>2391</v>
      </c>
      <c r="AY1406" s="1">
        <v>1.0</v>
      </c>
      <c r="AZ1406" s="1">
        <v>44.99</v>
      </c>
      <c r="BB1406" s="1">
        <v>44.99</v>
      </c>
    </row>
    <row r="1407">
      <c r="A1407" s="1" t="s">
        <v>2392</v>
      </c>
      <c r="C1407" s="1" t="s">
        <v>56</v>
      </c>
      <c r="D1407" s="1" t="s">
        <v>2393</v>
      </c>
      <c r="Y1407" s="2">
        <v>45516.0</v>
      </c>
      <c r="AE1407" s="1">
        <v>899.85</v>
      </c>
      <c r="AG1407" s="3" t="str">
        <f>"2000006162279025"</f>
        <v>2000006162279025</v>
      </c>
      <c r="AH1407" s="1" t="s">
        <v>58</v>
      </c>
      <c r="AI1407" s="1" t="s">
        <v>59</v>
      </c>
      <c r="AJ1407" s="1" t="s">
        <v>59</v>
      </c>
      <c r="AK1407" s="1" t="s">
        <v>60</v>
      </c>
      <c r="AL1407" s="1" t="s">
        <v>60</v>
      </c>
      <c r="AW1407" s="1" t="s">
        <v>2394</v>
      </c>
      <c r="AY1407" s="1">
        <v>15.0</v>
      </c>
      <c r="AZ1407" s="1">
        <v>59.99</v>
      </c>
      <c r="BB1407" s="1">
        <v>899.85</v>
      </c>
    </row>
    <row r="1408">
      <c r="A1408" s="1" t="s">
        <v>2057</v>
      </c>
      <c r="C1408" s="1" t="s">
        <v>56</v>
      </c>
      <c r="D1408" s="1" t="s">
        <v>2395</v>
      </c>
      <c r="Y1408" s="2">
        <v>45516.0</v>
      </c>
      <c r="AE1408" s="1">
        <v>89.99</v>
      </c>
      <c r="AG1408" s="3" t="str">
        <f>"2000009013340702"</f>
        <v>2000009013340702</v>
      </c>
      <c r="AH1408" s="1" t="s">
        <v>58</v>
      </c>
      <c r="AI1408" s="1" t="s">
        <v>59</v>
      </c>
      <c r="AJ1408" s="1" t="s">
        <v>59</v>
      </c>
      <c r="AK1408" s="1" t="s">
        <v>60</v>
      </c>
      <c r="AL1408" s="1" t="s">
        <v>60</v>
      </c>
      <c r="AW1408" s="1" t="s">
        <v>2059</v>
      </c>
      <c r="AY1408" s="1">
        <v>1.0</v>
      </c>
      <c r="AZ1408" s="1">
        <v>89.99</v>
      </c>
      <c r="BB1408" s="1">
        <v>89.99</v>
      </c>
    </row>
    <row r="1409">
      <c r="A1409" s="1" t="s">
        <v>1610</v>
      </c>
      <c r="C1409" s="1" t="s">
        <v>235</v>
      </c>
      <c r="D1409" s="1" t="s">
        <v>2396</v>
      </c>
      <c r="Y1409" s="2">
        <v>45515.0</v>
      </c>
      <c r="AE1409" s="1">
        <v>59.99</v>
      </c>
      <c r="AG1409" s="3" t="str">
        <f>"2000009010673006"</f>
        <v>2000009010673006</v>
      </c>
      <c r="AH1409" s="1" t="s">
        <v>58</v>
      </c>
      <c r="AI1409" s="1" t="s">
        <v>59</v>
      </c>
      <c r="AJ1409" s="1" t="s">
        <v>59</v>
      </c>
      <c r="AK1409" s="1" t="s">
        <v>60</v>
      </c>
      <c r="AL1409" s="1" t="s">
        <v>60</v>
      </c>
      <c r="AW1409" s="1" t="s">
        <v>104</v>
      </c>
      <c r="AY1409" s="1">
        <v>1.0</v>
      </c>
      <c r="AZ1409" s="1">
        <v>59.99</v>
      </c>
      <c r="BB1409" s="1">
        <v>59.99</v>
      </c>
    </row>
    <row r="1410">
      <c r="A1410" s="1" t="s">
        <v>845</v>
      </c>
      <c r="C1410" s="1" t="s">
        <v>56</v>
      </c>
      <c r="D1410" s="1" t="s">
        <v>2397</v>
      </c>
      <c r="Y1410" s="2">
        <v>45516.0</v>
      </c>
      <c r="AE1410" s="1">
        <v>69.99</v>
      </c>
      <c r="AG1410" s="3" t="str">
        <f>"2000006162053191"</f>
        <v>2000006162053191</v>
      </c>
      <c r="AH1410" s="1" t="s">
        <v>58</v>
      </c>
      <c r="AI1410" s="1" t="s">
        <v>59</v>
      </c>
      <c r="AJ1410" s="1" t="s">
        <v>59</v>
      </c>
      <c r="AK1410" s="1" t="s">
        <v>60</v>
      </c>
      <c r="AL1410" s="1" t="s">
        <v>60</v>
      </c>
      <c r="AW1410" s="1" t="s">
        <v>847</v>
      </c>
      <c r="AY1410" s="1">
        <v>1.0</v>
      </c>
      <c r="AZ1410" s="1">
        <v>69.99</v>
      </c>
      <c r="BB1410" s="1">
        <v>69.99</v>
      </c>
    </row>
    <row r="1411">
      <c r="A1411" s="1" t="s">
        <v>933</v>
      </c>
      <c r="C1411" s="1" t="s">
        <v>56</v>
      </c>
      <c r="D1411" s="1" t="s">
        <v>2398</v>
      </c>
      <c r="Y1411" s="2">
        <v>45516.0</v>
      </c>
      <c r="AE1411" s="1">
        <v>79.99</v>
      </c>
      <c r="AG1411" s="3" t="str">
        <f>"2000006162049089"</f>
        <v>2000006162049089</v>
      </c>
      <c r="AH1411" s="1" t="s">
        <v>58</v>
      </c>
      <c r="AI1411" s="1" t="s">
        <v>59</v>
      </c>
      <c r="AJ1411" s="1" t="s">
        <v>59</v>
      </c>
      <c r="AK1411" s="1" t="s">
        <v>60</v>
      </c>
      <c r="AL1411" s="1" t="s">
        <v>60</v>
      </c>
      <c r="AW1411" s="1" t="s">
        <v>935</v>
      </c>
      <c r="AY1411" s="1">
        <v>1.0</v>
      </c>
      <c r="AZ1411" s="1">
        <v>79.99</v>
      </c>
      <c r="BB1411" s="1">
        <v>79.99</v>
      </c>
    </row>
    <row r="1412">
      <c r="A1412" s="1" t="s">
        <v>125</v>
      </c>
      <c r="C1412" s="1" t="s">
        <v>56</v>
      </c>
      <c r="D1412" s="1" t="s">
        <v>2399</v>
      </c>
      <c r="Y1412" s="2">
        <v>45516.0</v>
      </c>
      <c r="AE1412" s="1">
        <v>49.99</v>
      </c>
      <c r="AG1412" s="3" t="str">
        <f>"2000006162039507"</f>
        <v>2000006162039507</v>
      </c>
      <c r="AH1412" s="1" t="s">
        <v>58</v>
      </c>
      <c r="AI1412" s="1" t="s">
        <v>59</v>
      </c>
      <c r="AJ1412" s="1" t="s">
        <v>59</v>
      </c>
      <c r="AK1412" s="1" t="s">
        <v>60</v>
      </c>
      <c r="AL1412" s="1" t="s">
        <v>60</v>
      </c>
      <c r="AW1412" s="1" t="s">
        <v>127</v>
      </c>
      <c r="AY1412" s="1">
        <v>1.0</v>
      </c>
      <c r="AZ1412" s="1">
        <v>49.99</v>
      </c>
      <c r="BB1412" s="1">
        <v>49.99</v>
      </c>
    </row>
    <row r="1413">
      <c r="A1413" s="1" t="s">
        <v>845</v>
      </c>
      <c r="C1413" s="1" t="s">
        <v>235</v>
      </c>
      <c r="D1413" s="1" t="s">
        <v>2397</v>
      </c>
      <c r="Y1413" s="2">
        <v>45516.0</v>
      </c>
      <c r="AE1413" s="1">
        <v>69.99</v>
      </c>
      <c r="AG1413" s="3" t="str">
        <f>"2000009012796338"</f>
        <v>2000009012796338</v>
      </c>
      <c r="AH1413" s="1" t="s">
        <v>58</v>
      </c>
      <c r="AI1413" s="1" t="s">
        <v>59</v>
      </c>
      <c r="AJ1413" s="1" t="s">
        <v>59</v>
      </c>
      <c r="AK1413" s="1" t="s">
        <v>60</v>
      </c>
      <c r="AL1413" s="1" t="s">
        <v>60</v>
      </c>
      <c r="AW1413" s="1" t="s">
        <v>847</v>
      </c>
      <c r="AY1413" s="1">
        <v>1.0</v>
      </c>
      <c r="AZ1413" s="1">
        <v>69.99</v>
      </c>
      <c r="BB1413" s="1">
        <v>69.99</v>
      </c>
    </row>
    <row r="1414">
      <c r="A1414" s="1" t="s">
        <v>2400</v>
      </c>
      <c r="C1414" s="1" t="s">
        <v>56</v>
      </c>
      <c r="D1414" s="1" t="s">
        <v>2401</v>
      </c>
      <c r="Y1414" s="2">
        <v>45516.0</v>
      </c>
      <c r="AE1414" s="1">
        <v>99.99</v>
      </c>
      <c r="AG1414" s="3" t="str">
        <f>"2000006161681193"</f>
        <v>2000006161681193</v>
      </c>
      <c r="AH1414" s="1" t="s">
        <v>58</v>
      </c>
      <c r="AI1414" s="1" t="s">
        <v>59</v>
      </c>
      <c r="AJ1414" s="1" t="s">
        <v>59</v>
      </c>
      <c r="AK1414" s="1" t="s">
        <v>60</v>
      </c>
      <c r="AL1414" s="1" t="s">
        <v>60</v>
      </c>
      <c r="AW1414" s="1" t="s">
        <v>2402</v>
      </c>
      <c r="AY1414" s="1">
        <v>1.0</v>
      </c>
      <c r="AZ1414" s="1">
        <v>99.99</v>
      </c>
      <c r="BB1414" s="1">
        <v>99.99</v>
      </c>
    </row>
    <row r="1415">
      <c r="A1415" s="1" t="s">
        <v>2079</v>
      </c>
      <c r="C1415" s="1" t="s">
        <v>56</v>
      </c>
      <c r="D1415" s="1" t="s">
        <v>2403</v>
      </c>
      <c r="Y1415" s="2">
        <v>45516.0</v>
      </c>
      <c r="AE1415" s="1">
        <v>54.99</v>
      </c>
      <c r="AG1415" s="3" t="str">
        <f>"2000006161668253"</f>
        <v>2000006161668253</v>
      </c>
      <c r="AH1415" s="1" t="s">
        <v>58</v>
      </c>
      <c r="AI1415" s="1" t="s">
        <v>59</v>
      </c>
      <c r="AJ1415" s="1" t="s">
        <v>59</v>
      </c>
      <c r="AK1415" s="1" t="s">
        <v>60</v>
      </c>
      <c r="AL1415" s="1" t="s">
        <v>60</v>
      </c>
      <c r="AW1415" s="1" t="s">
        <v>1709</v>
      </c>
      <c r="AY1415" s="1">
        <v>1.0</v>
      </c>
      <c r="AZ1415" s="1">
        <v>54.99</v>
      </c>
      <c r="BB1415" s="1">
        <v>54.99</v>
      </c>
    </row>
    <row r="1416">
      <c r="A1416" s="1" t="s">
        <v>2404</v>
      </c>
      <c r="C1416" s="1" t="s">
        <v>56</v>
      </c>
      <c r="D1416" s="1" t="s">
        <v>2405</v>
      </c>
      <c r="Y1416" s="2">
        <v>45516.0</v>
      </c>
      <c r="AE1416" s="1">
        <v>259.98</v>
      </c>
      <c r="AG1416" s="3" t="str">
        <f t="shared" ref="AG1416:AG1417" si="58">"2000006161419813"</f>
        <v>2000006161419813</v>
      </c>
      <c r="AH1416" s="1" t="s">
        <v>58</v>
      </c>
      <c r="AI1416" s="1" t="s">
        <v>59</v>
      </c>
      <c r="AJ1416" s="1" t="s">
        <v>59</v>
      </c>
      <c r="AK1416" s="1" t="s">
        <v>60</v>
      </c>
      <c r="AL1416" s="1" t="s">
        <v>60</v>
      </c>
      <c r="AW1416" s="1" t="s">
        <v>1332</v>
      </c>
      <c r="AY1416" s="1">
        <v>2.0</v>
      </c>
      <c r="AZ1416" s="1">
        <v>129.99</v>
      </c>
      <c r="BB1416" s="1">
        <v>259.98</v>
      </c>
    </row>
    <row r="1417">
      <c r="A1417" s="1" t="s">
        <v>560</v>
      </c>
      <c r="C1417" s="1" t="s">
        <v>56</v>
      </c>
      <c r="D1417" s="1" t="s">
        <v>2405</v>
      </c>
      <c r="Y1417" s="2">
        <v>45516.0</v>
      </c>
      <c r="AE1417" s="1">
        <v>89.99</v>
      </c>
      <c r="AG1417" s="3" t="str">
        <f t="shared" si="58"/>
        <v>2000006161419813</v>
      </c>
      <c r="AH1417" s="1" t="s">
        <v>58</v>
      </c>
      <c r="AI1417" s="1" t="s">
        <v>59</v>
      </c>
      <c r="AJ1417" s="1" t="s">
        <v>59</v>
      </c>
      <c r="AK1417" s="1" t="s">
        <v>60</v>
      </c>
      <c r="AL1417" s="1" t="s">
        <v>60</v>
      </c>
      <c r="AW1417" s="1" t="s">
        <v>562</v>
      </c>
      <c r="AY1417" s="1">
        <v>1.0</v>
      </c>
      <c r="AZ1417" s="1">
        <v>89.99</v>
      </c>
      <c r="BB1417" s="1">
        <v>89.99</v>
      </c>
    </row>
    <row r="1418">
      <c r="A1418" s="1" t="s">
        <v>960</v>
      </c>
      <c r="C1418" s="1" t="s">
        <v>56</v>
      </c>
      <c r="D1418" s="1" t="s">
        <v>2406</v>
      </c>
      <c r="Y1418" s="2">
        <v>45516.0</v>
      </c>
      <c r="AE1418" s="1">
        <v>129.99</v>
      </c>
      <c r="AG1418" s="3" t="str">
        <f>"2000006161389841"</f>
        <v>2000006161389841</v>
      </c>
      <c r="AH1418" s="1" t="s">
        <v>58</v>
      </c>
      <c r="AI1418" s="1" t="s">
        <v>59</v>
      </c>
      <c r="AJ1418" s="1" t="s">
        <v>59</v>
      </c>
      <c r="AK1418" s="1" t="s">
        <v>60</v>
      </c>
      <c r="AL1418" s="1" t="s">
        <v>60</v>
      </c>
      <c r="AW1418" s="1" t="s">
        <v>763</v>
      </c>
      <c r="AY1418" s="1">
        <v>1.0</v>
      </c>
      <c r="AZ1418" s="1">
        <v>129.99</v>
      </c>
      <c r="BB1418" s="1">
        <v>129.99</v>
      </c>
    </row>
    <row r="1419">
      <c r="A1419" s="1" t="s">
        <v>1002</v>
      </c>
      <c r="C1419" s="1" t="s">
        <v>56</v>
      </c>
      <c r="D1419" s="1" t="s">
        <v>2407</v>
      </c>
      <c r="Y1419" s="2">
        <v>45516.0</v>
      </c>
      <c r="AE1419" s="1">
        <v>99.98</v>
      </c>
      <c r="AG1419" s="3" t="str">
        <f>"2000006161384657"</f>
        <v>2000006161384657</v>
      </c>
      <c r="AH1419" s="1" t="s">
        <v>58</v>
      </c>
      <c r="AI1419" s="1" t="s">
        <v>59</v>
      </c>
      <c r="AJ1419" s="1" t="s">
        <v>59</v>
      </c>
      <c r="AK1419" s="1" t="s">
        <v>60</v>
      </c>
      <c r="AL1419" s="1" t="s">
        <v>60</v>
      </c>
      <c r="AW1419" s="1" t="s">
        <v>1004</v>
      </c>
      <c r="AY1419" s="1">
        <v>2.0</v>
      </c>
      <c r="AZ1419" s="1">
        <v>49.99</v>
      </c>
      <c r="BB1419" s="1">
        <v>99.98</v>
      </c>
    </row>
    <row r="1420">
      <c r="A1420" s="1" t="s">
        <v>111</v>
      </c>
      <c r="C1420" s="1" t="s">
        <v>56</v>
      </c>
      <c r="D1420" s="1" t="s">
        <v>2408</v>
      </c>
      <c r="Y1420" s="2">
        <v>45516.0</v>
      </c>
      <c r="AE1420" s="1">
        <v>159.98</v>
      </c>
      <c r="AG1420" s="3" t="str">
        <f>"2000006161369023"</f>
        <v>2000006161369023</v>
      </c>
      <c r="AH1420" s="1" t="s">
        <v>58</v>
      </c>
      <c r="AI1420" s="1" t="s">
        <v>59</v>
      </c>
      <c r="AJ1420" s="1" t="s">
        <v>59</v>
      </c>
      <c r="AK1420" s="1" t="s">
        <v>60</v>
      </c>
      <c r="AL1420" s="1" t="s">
        <v>60</v>
      </c>
      <c r="AW1420" s="1" t="s">
        <v>113</v>
      </c>
      <c r="AY1420" s="1">
        <v>2.0</v>
      </c>
      <c r="AZ1420" s="1">
        <v>79.99</v>
      </c>
      <c r="BB1420" s="1">
        <v>159.98</v>
      </c>
    </row>
    <row r="1421">
      <c r="A1421" s="1" t="s">
        <v>655</v>
      </c>
      <c r="C1421" s="1" t="s">
        <v>56</v>
      </c>
      <c r="D1421" s="1" t="s">
        <v>2409</v>
      </c>
      <c r="Y1421" s="2">
        <v>45516.0</v>
      </c>
      <c r="AE1421" s="1">
        <v>74.99</v>
      </c>
      <c r="AG1421" s="3" t="str">
        <f>"2000009011506566"</f>
        <v>2000009011506566</v>
      </c>
      <c r="AH1421" s="1" t="s">
        <v>58</v>
      </c>
      <c r="AI1421" s="1" t="s">
        <v>59</v>
      </c>
      <c r="AJ1421" s="1" t="s">
        <v>59</v>
      </c>
      <c r="AK1421" s="1" t="s">
        <v>60</v>
      </c>
      <c r="AL1421" s="1" t="s">
        <v>60</v>
      </c>
      <c r="AW1421" s="1" t="s">
        <v>657</v>
      </c>
      <c r="AY1421" s="1">
        <v>1.0</v>
      </c>
      <c r="AZ1421" s="1">
        <v>74.99</v>
      </c>
      <c r="BB1421" s="1">
        <v>74.99</v>
      </c>
    </row>
    <row r="1422">
      <c r="A1422" s="1" t="s">
        <v>1810</v>
      </c>
      <c r="C1422" s="1" t="s">
        <v>56</v>
      </c>
      <c r="D1422" s="1" t="s">
        <v>2410</v>
      </c>
      <c r="Y1422" s="2">
        <v>45516.0</v>
      </c>
      <c r="AE1422" s="1">
        <v>249.99</v>
      </c>
      <c r="AG1422" s="3" t="str">
        <f>"2000006161329719"</f>
        <v>2000006161329719</v>
      </c>
      <c r="AH1422" s="1" t="s">
        <v>58</v>
      </c>
      <c r="AI1422" s="1" t="s">
        <v>59</v>
      </c>
      <c r="AJ1422" s="1" t="s">
        <v>59</v>
      </c>
      <c r="AK1422" s="1" t="s">
        <v>60</v>
      </c>
      <c r="AL1422" s="1" t="s">
        <v>60</v>
      </c>
      <c r="AW1422" s="1" t="s">
        <v>1812</v>
      </c>
      <c r="AY1422" s="1">
        <v>1.0</v>
      </c>
      <c r="AZ1422" s="1">
        <v>249.99</v>
      </c>
      <c r="BB1422" s="1">
        <v>249.99</v>
      </c>
    </row>
    <row r="1423">
      <c r="A1423" s="1" t="s">
        <v>2411</v>
      </c>
      <c r="C1423" s="1" t="s">
        <v>56</v>
      </c>
      <c r="D1423" s="1" t="s">
        <v>2412</v>
      </c>
      <c r="Y1423" s="2">
        <v>45516.0</v>
      </c>
      <c r="AE1423" s="1">
        <v>64.99</v>
      </c>
      <c r="AG1423" s="3" t="str">
        <f>"2000006161322149"</f>
        <v>2000006161322149</v>
      </c>
      <c r="AH1423" s="1" t="s">
        <v>58</v>
      </c>
      <c r="AI1423" s="1" t="s">
        <v>59</v>
      </c>
      <c r="AJ1423" s="1" t="s">
        <v>59</v>
      </c>
      <c r="AK1423" s="1" t="s">
        <v>60</v>
      </c>
      <c r="AL1423" s="1" t="s">
        <v>60</v>
      </c>
      <c r="AW1423" s="1" t="s">
        <v>2413</v>
      </c>
      <c r="AY1423" s="1">
        <v>1.0</v>
      </c>
      <c r="AZ1423" s="1">
        <v>64.99</v>
      </c>
      <c r="BB1423" s="1">
        <v>64.99</v>
      </c>
    </row>
    <row r="1424">
      <c r="A1424" s="1" t="s">
        <v>834</v>
      </c>
      <c r="C1424" s="1" t="s">
        <v>56</v>
      </c>
      <c r="D1424" s="1" t="s">
        <v>2414</v>
      </c>
      <c r="Y1424" s="2">
        <v>45516.0</v>
      </c>
      <c r="AE1424" s="1">
        <v>107.48</v>
      </c>
      <c r="AG1424" s="3" t="str">
        <f>"2000006161319975"</f>
        <v>2000006161319975</v>
      </c>
      <c r="AH1424" s="1" t="s">
        <v>58</v>
      </c>
      <c r="AI1424" s="1" t="s">
        <v>59</v>
      </c>
      <c r="AJ1424" s="1" t="s">
        <v>59</v>
      </c>
      <c r="AK1424" s="1" t="s">
        <v>60</v>
      </c>
      <c r="AL1424" s="1" t="s">
        <v>60</v>
      </c>
      <c r="AW1424" s="1" t="s">
        <v>836</v>
      </c>
      <c r="AY1424" s="1">
        <v>1.0</v>
      </c>
      <c r="AZ1424" s="1">
        <v>107.48</v>
      </c>
      <c r="BB1424" s="1">
        <v>107.48</v>
      </c>
    </row>
    <row r="1425">
      <c r="A1425" s="1" t="s">
        <v>845</v>
      </c>
      <c r="C1425" s="1" t="s">
        <v>56</v>
      </c>
      <c r="D1425" s="1" t="s">
        <v>2415</v>
      </c>
      <c r="Y1425" s="2">
        <v>45516.0</v>
      </c>
      <c r="AE1425" s="1">
        <v>69.99</v>
      </c>
      <c r="AG1425" s="3" t="str">
        <f>"2000006161314327"</f>
        <v>2000006161314327</v>
      </c>
      <c r="AH1425" s="1" t="s">
        <v>58</v>
      </c>
      <c r="AI1425" s="1" t="s">
        <v>59</v>
      </c>
      <c r="AJ1425" s="1" t="s">
        <v>59</v>
      </c>
      <c r="AK1425" s="1" t="s">
        <v>60</v>
      </c>
      <c r="AL1425" s="1" t="s">
        <v>60</v>
      </c>
      <c r="AW1425" s="1" t="s">
        <v>847</v>
      </c>
      <c r="AY1425" s="1">
        <v>1.0</v>
      </c>
      <c r="AZ1425" s="1">
        <v>69.99</v>
      </c>
      <c r="BB1425" s="1">
        <v>69.99</v>
      </c>
    </row>
    <row r="1426">
      <c r="A1426" s="1" t="s">
        <v>776</v>
      </c>
      <c r="C1426" s="1" t="s">
        <v>56</v>
      </c>
      <c r="D1426" s="1" t="s">
        <v>2416</v>
      </c>
      <c r="Y1426" s="2">
        <v>45516.0</v>
      </c>
      <c r="AE1426" s="1">
        <v>79.99</v>
      </c>
      <c r="AG1426" s="3" t="str">
        <f>"2000006161299497"</f>
        <v>2000006161299497</v>
      </c>
      <c r="AH1426" s="1" t="s">
        <v>58</v>
      </c>
      <c r="AI1426" s="1" t="s">
        <v>59</v>
      </c>
      <c r="AJ1426" s="1" t="s">
        <v>59</v>
      </c>
      <c r="AK1426" s="1" t="s">
        <v>60</v>
      </c>
      <c r="AL1426" s="1" t="s">
        <v>60</v>
      </c>
      <c r="AW1426" s="1" t="s">
        <v>778</v>
      </c>
      <c r="AY1426" s="1">
        <v>1.0</v>
      </c>
      <c r="AZ1426" s="1">
        <v>79.99</v>
      </c>
      <c r="BB1426" s="1">
        <v>79.99</v>
      </c>
    </row>
    <row r="1427">
      <c r="A1427" s="1" t="s">
        <v>625</v>
      </c>
      <c r="C1427" s="1" t="s">
        <v>56</v>
      </c>
      <c r="D1427" s="1" t="s">
        <v>2417</v>
      </c>
      <c r="Y1427" s="2">
        <v>45516.0</v>
      </c>
      <c r="AE1427" s="1">
        <v>89.99</v>
      </c>
      <c r="AG1427" s="3" t="str">
        <f>"2000006161300589"</f>
        <v>2000006161300589</v>
      </c>
      <c r="AH1427" s="1" t="s">
        <v>58</v>
      </c>
      <c r="AI1427" s="1" t="s">
        <v>59</v>
      </c>
      <c r="AJ1427" s="1" t="s">
        <v>59</v>
      </c>
      <c r="AK1427" s="1" t="s">
        <v>60</v>
      </c>
      <c r="AL1427" s="1" t="s">
        <v>60</v>
      </c>
      <c r="AW1427" s="1" t="s">
        <v>627</v>
      </c>
      <c r="AY1427" s="1">
        <v>1.0</v>
      </c>
      <c r="AZ1427" s="1">
        <v>89.99</v>
      </c>
      <c r="BB1427" s="1">
        <v>89.99</v>
      </c>
    </row>
    <row r="1428">
      <c r="A1428" s="1" t="s">
        <v>2418</v>
      </c>
      <c r="C1428" s="1" t="s">
        <v>235</v>
      </c>
      <c r="D1428" s="1" t="s">
        <v>2419</v>
      </c>
      <c r="Y1428" s="2">
        <v>45516.0</v>
      </c>
      <c r="AE1428" s="1">
        <v>99.99</v>
      </c>
      <c r="AG1428" s="3" t="str">
        <f>"2000006161277245"</f>
        <v>2000006161277245</v>
      </c>
      <c r="AH1428" s="1" t="s">
        <v>58</v>
      </c>
      <c r="AI1428" s="1" t="s">
        <v>59</v>
      </c>
      <c r="AJ1428" s="1" t="s">
        <v>59</v>
      </c>
      <c r="AK1428" s="1" t="s">
        <v>60</v>
      </c>
      <c r="AL1428" s="1" t="s">
        <v>60</v>
      </c>
      <c r="AW1428" s="1" t="s">
        <v>2420</v>
      </c>
      <c r="AY1428" s="1">
        <v>1.0</v>
      </c>
      <c r="AZ1428" s="1">
        <v>99.99</v>
      </c>
      <c r="BB1428" s="1">
        <v>99.99</v>
      </c>
    </row>
    <row r="1429">
      <c r="A1429" s="1" t="s">
        <v>536</v>
      </c>
      <c r="C1429" s="1" t="s">
        <v>56</v>
      </c>
      <c r="D1429" s="1" t="s">
        <v>2421</v>
      </c>
      <c r="Y1429" s="2">
        <v>45516.0</v>
      </c>
      <c r="AE1429" s="1">
        <v>89.99</v>
      </c>
      <c r="AG1429" s="3" t="str">
        <f>"2000006161275083"</f>
        <v>2000006161275083</v>
      </c>
      <c r="AH1429" s="1" t="s">
        <v>58</v>
      </c>
      <c r="AI1429" s="1" t="s">
        <v>59</v>
      </c>
      <c r="AJ1429" s="1" t="s">
        <v>59</v>
      </c>
      <c r="AK1429" s="1" t="s">
        <v>60</v>
      </c>
      <c r="AL1429" s="1" t="s">
        <v>60</v>
      </c>
      <c r="AW1429" s="1" t="s">
        <v>538</v>
      </c>
      <c r="AY1429" s="1">
        <v>1.0</v>
      </c>
      <c r="AZ1429" s="1">
        <v>89.99</v>
      </c>
      <c r="BB1429" s="1">
        <v>89.99</v>
      </c>
    </row>
    <row r="1430">
      <c r="A1430" s="1" t="s">
        <v>2422</v>
      </c>
      <c r="C1430" s="1" t="s">
        <v>56</v>
      </c>
      <c r="D1430" s="1" t="s">
        <v>2423</v>
      </c>
      <c r="Y1430" s="2">
        <v>45516.0</v>
      </c>
      <c r="AE1430" s="1">
        <v>79.99</v>
      </c>
      <c r="AG1430" s="3" t="str">
        <f>"2000006161237997"</f>
        <v>2000006161237997</v>
      </c>
      <c r="AH1430" s="1" t="s">
        <v>58</v>
      </c>
      <c r="AI1430" s="1" t="s">
        <v>59</v>
      </c>
      <c r="AJ1430" s="1" t="s">
        <v>59</v>
      </c>
      <c r="AK1430" s="1" t="s">
        <v>60</v>
      </c>
      <c r="AL1430" s="1" t="s">
        <v>60</v>
      </c>
      <c r="AW1430" s="1" t="s">
        <v>2424</v>
      </c>
      <c r="AY1430" s="1">
        <v>1.0</v>
      </c>
      <c r="AZ1430" s="1">
        <v>79.99</v>
      </c>
      <c r="BB1430" s="1">
        <v>79.99</v>
      </c>
    </row>
    <row r="1431">
      <c r="A1431" s="1" t="s">
        <v>1181</v>
      </c>
      <c r="C1431" s="1" t="s">
        <v>56</v>
      </c>
      <c r="D1431" s="1" t="s">
        <v>2425</v>
      </c>
      <c r="Y1431" s="2">
        <v>45516.0</v>
      </c>
      <c r="AE1431" s="1">
        <v>79.99</v>
      </c>
      <c r="AG1431" s="3" t="str">
        <f>"2000006161224423"</f>
        <v>2000006161224423</v>
      </c>
      <c r="AH1431" s="1" t="s">
        <v>58</v>
      </c>
      <c r="AI1431" s="1" t="s">
        <v>59</v>
      </c>
      <c r="AJ1431" s="1" t="s">
        <v>59</v>
      </c>
      <c r="AK1431" s="1" t="s">
        <v>60</v>
      </c>
      <c r="AL1431" s="1" t="s">
        <v>60</v>
      </c>
      <c r="AW1431" s="1" t="s">
        <v>1183</v>
      </c>
      <c r="AY1431" s="1">
        <v>1.0</v>
      </c>
      <c r="AZ1431" s="1">
        <v>79.99</v>
      </c>
      <c r="BB1431" s="1">
        <v>79.99</v>
      </c>
    </row>
    <row r="1432">
      <c r="A1432" s="1" t="s">
        <v>2426</v>
      </c>
      <c r="C1432" s="1" t="s">
        <v>56</v>
      </c>
      <c r="D1432" s="1" t="s">
        <v>2425</v>
      </c>
      <c r="Y1432" s="2">
        <v>45516.0</v>
      </c>
      <c r="AE1432" s="1">
        <v>96.99</v>
      </c>
      <c r="AG1432" s="3" t="str">
        <f>"2000006161224425"</f>
        <v>2000006161224425</v>
      </c>
      <c r="AH1432" s="1" t="s">
        <v>58</v>
      </c>
      <c r="AI1432" s="1" t="s">
        <v>59</v>
      </c>
      <c r="AJ1432" s="1" t="s">
        <v>59</v>
      </c>
      <c r="AK1432" s="1" t="s">
        <v>60</v>
      </c>
      <c r="AL1432" s="1" t="s">
        <v>60</v>
      </c>
      <c r="AW1432" s="1" t="s">
        <v>2427</v>
      </c>
      <c r="AY1432" s="1">
        <v>1.0</v>
      </c>
      <c r="AZ1432" s="1">
        <v>96.99</v>
      </c>
      <c r="BB1432" s="1">
        <v>96.99</v>
      </c>
    </row>
    <row r="1433">
      <c r="A1433" s="1" t="s">
        <v>2428</v>
      </c>
      <c r="C1433" s="1" t="s">
        <v>56</v>
      </c>
      <c r="D1433" s="1" t="s">
        <v>2429</v>
      </c>
      <c r="Y1433" s="2">
        <v>45516.0</v>
      </c>
      <c r="AE1433" s="1">
        <v>79.99</v>
      </c>
      <c r="AG1433" s="3" t="str">
        <f>"2000006161225439"</f>
        <v>2000006161225439</v>
      </c>
      <c r="AH1433" s="1" t="s">
        <v>58</v>
      </c>
      <c r="AI1433" s="1" t="s">
        <v>59</v>
      </c>
      <c r="AJ1433" s="1" t="s">
        <v>59</v>
      </c>
      <c r="AK1433" s="1" t="s">
        <v>60</v>
      </c>
      <c r="AL1433" s="1" t="s">
        <v>60</v>
      </c>
      <c r="AW1433" s="1" t="s">
        <v>2430</v>
      </c>
      <c r="AY1433" s="1">
        <v>1.0</v>
      </c>
      <c r="AZ1433" s="1">
        <v>79.99</v>
      </c>
      <c r="BB1433" s="1">
        <v>79.99</v>
      </c>
    </row>
    <row r="1434">
      <c r="A1434" s="1" t="s">
        <v>862</v>
      </c>
      <c r="C1434" s="1" t="s">
        <v>56</v>
      </c>
      <c r="D1434" s="1" t="s">
        <v>2431</v>
      </c>
      <c r="Y1434" s="2">
        <v>45516.0</v>
      </c>
      <c r="AE1434" s="1">
        <v>94.49</v>
      </c>
      <c r="AG1434" s="3" t="str">
        <f>"2000006161225163"</f>
        <v>2000006161225163</v>
      </c>
      <c r="AH1434" s="1" t="s">
        <v>58</v>
      </c>
      <c r="AI1434" s="1" t="s">
        <v>59</v>
      </c>
      <c r="AJ1434" s="1" t="s">
        <v>59</v>
      </c>
      <c r="AK1434" s="1" t="s">
        <v>60</v>
      </c>
      <c r="AL1434" s="1" t="s">
        <v>60</v>
      </c>
      <c r="AW1434" s="1" t="s">
        <v>864</v>
      </c>
      <c r="AY1434" s="1">
        <v>1.0</v>
      </c>
      <c r="AZ1434" s="1">
        <v>94.49</v>
      </c>
      <c r="BB1434" s="1">
        <v>94.49</v>
      </c>
    </row>
    <row r="1435">
      <c r="A1435" s="1" t="s">
        <v>390</v>
      </c>
      <c r="C1435" s="1" t="s">
        <v>56</v>
      </c>
      <c r="D1435" s="1" t="s">
        <v>2432</v>
      </c>
      <c r="Y1435" s="2">
        <v>45516.0</v>
      </c>
      <c r="AE1435" s="1">
        <v>79.99</v>
      </c>
      <c r="AG1435" s="3" t="str">
        <f>"2000006161163999"</f>
        <v>2000006161163999</v>
      </c>
      <c r="AH1435" s="1" t="s">
        <v>58</v>
      </c>
      <c r="AI1435" s="1" t="s">
        <v>59</v>
      </c>
      <c r="AJ1435" s="1" t="s">
        <v>59</v>
      </c>
      <c r="AK1435" s="1" t="s">
        <v>60</v>
      </c>
      <c r="AL1435" s="1" t="s">
        <v>60</v>
      </c>
      <c r="AW1435" s="1" t="s">
        <v>392</v>
      </c>
      <c r="AY1435" s="1">
        <v>1.0</v>
      </c>
      <c r="AZ1435" s="1">
        <v>79.99</v>
      </c>
      <c r="BB1435" s="1">
        <v>79.99</v>
      </c>
    </row>
    <row r="1436">
      <c r="A1436" s="1" t="s">
        <v>390</v>
      </c>
      <c r="C1436" s="1" t="s">
        <v>56</v>
      </c>
      <c r="D1436" s="1" t="s">
        <v>2432</v>
      </c>
      <c r="Y1436" s="2">
        <v>45516.0</v>
      </c>
      <c r="AE1436" s="1">
        <v>159.98</v>
      </c>
      <c r="AG1436" s="3" t="str">
        <f>"2000006161163997"</f>
        <v>2000006161163997</v>
      </c>
      <c r="AH1436" s="1" t="s">
        <v>58</v>
      </c>
      <c r="AI1436" s="1" t="s">
        <v>59</v>
      </c>
      <c r="AJ1436" s="1" t="s">
        <v>59</v>
      </c>
      <c r="AK1436" s="1" t="s">
        <v>60</v>
      </c>
      <c r="AL1436" s="1" t="s">
        <v>60</v>
      </c>
      <c r="AW1436" s="1" t="s">
        <v>392</v>
      </c>
      <c r="AY1436" s="1">
        <v>2.0</v>
      </c>
      <c r="AZ1436" s="1">
        <v>79.99</v>
      </c>
      <c r="BB1436" s="1">
        <v>159.98</v>
      </c>
    </row>
    <row r="1437">
      <c r="A1437" s="1" t="s">
        <v>933</v>
      </c>
      <c r="C1437" s="1" t="s">
        <v>56</v>
      </c>
      <c r="D1437" s="1" t="s">
        <v>2433</v>
      </c>
      <c r="Y1437" s="2">
        <v>45516.0</v>
      </c>
      <c r="AE1437" s="1">
        <v>79.99</v>
      </c>
      <c r="AG1437" s="3" t="str">
        <f>"2000006161161277"</f>
        <v>2000006161161277</v>
      </c>
      <c r="AH1437" s="1" t="s">
        <v>58</v>
      </c>
      <c r="AI1437" s="1" t="s">
        <v>59</v>
      </c>
      <c r="AJ1437" s="1" t="s">
        <v>59</v>
      </c>
      <c r="AK1437" s="1" t="s">
        <v>60</v>
      </c>
      <c r="AL1437" s="1" t="s">
        <v>60</v>
      </c>
      <c r="AW1437" s="1" t="s">
        <v>935</v>
      </c>
      <c r="AY1437" s="1">
        <v>1.0</v>
      </c>
      <c r="AZ1437" s="1">
        <v>79.99</v>
      </c>
      <c r="BB1437" s="1">
        <v>79.99</v>
      </c>
    </row>
    <row r="1438">
      <c r="A1438" s="1" t="s">
        <v>1946</v>
      </c>
      <c r="C1438" s="1" t="s">
        <v>235</v>
      </c>
      <c r="D1438" s="1" t="s">
        <v>1398</v>
      </c>
      <c r="Y1438" s="2">
        <v>45516.0</v>
      </c>
      <c r="AE1438" s="1">
        <v>39.99</v>
      </c>
      <c r="AG1438" s="3" t="str">
        <f>"2000006161154249"</f>
        <v>2000006161154249</v>
      </c>
      <c r="AH1438" s="1" t="s">
        <v>58</v>
      </c>
      <c r="AI1438" s="1" t="s">
        <v>59</v>
      </c>
      <c r="AJ1438" s="1" t="s">
        <v>59</v>
      </c>
      <c r="AK1438" s="1" t="s">
        <v>60</v>
      </c>
      <c r="AL1438" s="1" t="s">
        <v>60</v>
      </c>
      <c r="AW1438" s="1" t="s">
        <v>1529</v>
      </c>
      <c r="AY1438" s="1">
        <v>1.0</v>
      </c>
      <c r="AZ1438" s="1">
        <v>39.99</v>
      </c>
      <c r="BB1438" s="1">
        <v>39.99</v>
      </c>
    </row>
    <row r="1439">
      <c r="A1439" s="1" t="s">
        <v>1318</v>
      </c>
      <c r="C1439" s="1" t="s">
        <v>56</v>
      </c>
      <c r="D1439" s="1" t="s">
        <v>2434</v>
      </c>
      <c r="Y1439" s="2">
        <v>45516.0</v>
      </c>
      <c r="AE1439" s="1">
        <v>64.99</v>
      </c>
      <c r="AG1439" s="3" t="str">
        <f>"2000006161125811"</f>
        <v>2000006161125811</v>
      </c>
      <c r="AH1439" s="1" t="s">
        <v>58</v>
      </c>
      <c r="AI1439" s="1" t="s">
        <v>59</v>
      </c>
      <c r="AJ1439" s="1" t="s">
        <v>59</v>
      </c>
      <c r="AK1439" s="1" t="s">
        <v>60</v>
      </c>
      <c r="AL1439" s="1" t="s">
        <v>60</v>
      </c>
      <c r="AW1439" s="1" t="s">
        <v>1320</v>
      </c>
      <c r="AY1439" s="1">
        <v>1.0</v>
      </c>
      <c r="AZ1439" s="1">
        <v>64.99</v>
      </c>
      <c r="BB1439" s="1">
        <v>64.99</v>
      </c>
    </row>
    <row r="1440">
      <c r="A1440" s="1" t="s">
        <v>390</v>
      </c>
      <c r="C1440" s="1" t="s">
        <v>56</v>
      </c>
      <c r="D1440" s="1" t="s">
        <v>2435</v>
      </c>
      <c r="Y1440" s="2">
        <v>45516.0</v>
      </c>
      <c r="AE1440" s="1">
        <v>79.99</v>
      </c>
      <c r="AG1440" s="3" t="str">
        <f>"2000006161120863"</f>
        <v>2000006161120863</v>
      </c>
      <c r="AH1440" s="1" t="s">
        <v>58</v>
      </c>
      <c r="AI1440" s="1" t="s">
        <v>59</v>
      </c>
      <c r="AJ1440" s="1" t="s">
        <v>59</v>
      </c>
      <c r="AK1440" s="1" t="s">
        <v>60</v>
      </c>
      <c r="AL1440" s="1" t="s">
        <v>60</v>
      </c>
      <c r="AW1440" s="1" t="s">
        <v>392</v>
      </c>
      <c r="AY1440" s="1">
        <v>1.0</v>
      </c>
      <c r="AZ1440" s="1">
        <v>79.99</v>
      </c>
      <c r="BB1440" s="1">
        <v>79.99</v>
      </c>
    </row>
    <row r="1441">
      <c r="A1441" s="1" t="s">
        <v>2436</v>
      </c>
      <c r="C1441" s="1" t="s">
        <v>56</v>
      </c>
      <c r="D1441" s="1" t="s">
        <v>2437</v>
      </c>
      <c r="Y1441" s="2">
        <v>45516.0</v>
      </c>
      <c r="AE1441" s="1">
        <v>59.99</v>
      </c>
      <c r="AG1441" s="3" t="str">
        <f>"2000006161108283"</f>
        <v>2000006161108283</v>
      </c>
      <c r="AH1441" s="1" t="s">
        <v>58</v>
      </c>
      <c r="AI1441" s="1" t="s">
        <v>59</v>
      </c>
      <c r="AJ1441" s="1" t="s">
        <v>59</v>
      </c>
      <c r="AK1441" s="1" t="s">
        <v>60</v>
      </c>
      <c r="AL1441" s="1" t="s">
        <v>60</v>
      </c>
      <c r="AW1441" s="1" t="s">
        <v>2438</v>
      </c>
      <c r="AY1441" s="1">
        <v>1.0</v>
      </c>
      <c r="AZ1441" s="1">
        <v>59.99</v>
      </c>
      <c r="BB1441" s="1">
        <v>59.99</v>
      </c>
    </row>
    <row r="1442">
      <c r="A1442" s="1" t="s">
        <v>68</v>
      </c>
      <c r="C1442" s="1" t="s">
        <v>56</v>
      </c>
      <c r="D1442" s="1" t="s">
        <v>2439</v>
      </c>
      <c r="Y1442" s="2">
        <v>45516.0</v>
      </c>
      <c r="AE1442" s="1">
        <v>49.99</v>
      </c>
      <c r="AG1442" s="3" t="str">
        <f>"2000009011148084"</f>
        <v>2000009011148084</v>
      </c>
      <c r="AH1442" s="1" t="s">
        <v>58</v>
      </c>
      <c r="AI1442" s="1" t="s">
        <v>59</v>
      </c>
      <c r="AJ1442" s="1" t="s">
        <v>59</v>
      </c>
      <c r="AK1442" s="1" t="s">
        <v>60</v>
      </c>
      <c r="AL1442" s="1" t="s">
        <v>60</v>
      </c>
      <c r="AW1442" s="1" t="s">
        <v>2440</v>
      </c>
      <c r="AY1442" s="1">
        <v>1.0</v>
      </c>
      <c r="AZ1442" s="1">
        <v>49.99</v>
      </c>
      <c r="BB1442" s="1">
        <v>49.99</v>
      </c>
    </row>
    <row r="1443">
      <c r="A1443" s="1" t="s">
        <v>2441</v>
      </c>
      <c r="C1443" s="1" t="s">
        <v>56</v>
      </c>
      <c r="D1443" s="1" t="s">
        <v>2442</v>
      </c>
      <c r="Y1443" s="2">
        <v>45516.0</v>
      </c>
      <c r="AE1443" s="1">
        <v>89.99</v>
      </c>
      <c r="AG1443" s="3" t="str">
        <f>"2000006161080023"</f>
        <v>2000006161080023</v>
      </c>
      <c r="AH1443" s="1" t="s">
        <v>58</v>
      </c>
      <c r="AI1443" s="1" t="s">
        <v>59</v>
      </c>
      <c r="AJ1443" s="1" t="s">
        <v>59</v>
      </c>
      <c r="AK1443" s="1" t="s">
        <v>60</v>
      </c>
      <c r="AL1443" s="1" t="s">
        <v>60</v>
      </c>
      <c r="AW1443" s="1" t="s">
        <v>2443</v>
      </c>
      <c r="AY1443" s="1">
        <v>1.0</v>
      </c>
      <c r="AZ1443" s="1">
        <v>89.99</v>
      </c>
      <c r="BB1443" s="1">
        <v>89.99</v>
      </c>
    </row>
    <row r="1444">
      <c r="A1444" s="1" t="s">
        <v>2444</v>
      </c>
      <c r="C1444" s="1" t="s">
        <v>56</v>
      </c>
      <c r="D1444" s="1" t="s">
        <v>2445</v>
      </c>
      <c r="Y1444" s="2">
        <v>45515.0</v>
      </c>
      <c r="AE1444" s="1">
        <v>89.99</v>
      </c>
      <c r="AG1444" s="3" t="str">
        <f>"2000009011046498"</f>
        <v>2000009011046498</v>
      </c>
      <c r="AH1444" s="1" t="s">
        <v>58</v>
      </c>
      <c r="AI1444" s="1" t="s">
        <v>59</v>
      </c>
      <c r="AJ1444" s="1" t="s">
        <v>59</v>
      </c>
      <c r="AK1444" s="1" t="s">
        <v>60</v>
      </c>
      <c r="AL1444" s="1" t="s">
        <v>60</v>
      </c>
      <c r="AW1444" s="1" t="s">
        <v>2446</v>
      </c>
      <c r="AY1444" s="1">
        <v>1.0</v>
      </c>
      <c r="AZ1444" s="1">
        <v>89.99</v>
      </c>
      <c r="BB1444" s="1">
        <v>89.99</v>
      </c>
    </row>
    <row r="1445">
      <c r="A1445" s="1" t="s">
        <v>178</v>
      </c>
      <c r="C1445" s="1" t="s">
        <v>56</v>
      </c>
      <c r="D1445" s="1" t="s">
        <v>2447</v>
      </c>
      <c r="Y1445" s="2">
        <v>45515.0</v>
      </c>
      <c r="AE1445" s="1">
        <v>134.99</v>
      </c>
      <c r="AG1445" s="3" t="str">
        <f>"2000006160975749"</f>
        <v>2000006160975749</v>
      </c>
      <c r="AH1445" s="1" t="s">
        <v>58</v>
      </c>
      <c r="AI1445" s="1" t="s">
        <v>59</v>
      </c>
      <c r="AJ1445" s="1" t="s">
        <v>59</v>
      </c>
      <c r="AK1445" s="1" t="s">
        <v>60</v>
      </c>
      <c r="AL1445" s="1" t="s">
        <v>60</v>
      </c>
      <c r="AW1445" s="1" t="s">
        <v>180</v>
      </c>
      <c r="AY1445" s="1">
        <v>1.0</v>
      </c>
      <c r="AZ1445" s="1">
        <v>134.99</v>
      </c>
      <c r="BB1445" s="1">
        <v>134.99</v>
      </c>
    </row>
    <row r="1446">
      <c r="A1446" s="1" t="s">
        <v>83</v>
      </c>
      <c r="C1446" s="1" t="s">
        <v>56</v>
      </c>
      <c r="D1446" s="1" t="s">
        <v>2448</v>
      </c>
      <c r="Y1446" s="2">
        <v>45515.0</v>
      </c>
      <c r="AE1446" s="1">
        <v>54.99</v>
      </c>
      <c r="AG1446" s="3" t="str">
        <f>"2000006160998879"</f>
        <v>2000006160998879</v>
      </c>
      <c r="AH1446" s="1" t="s">
        <v>58</v>
      </c>
      <c r="AI1446" s="1" t="s">
        <v>59</v>
      </c>
      <c r="AJ1446" s="1" t="s">
        <v>59</v>
      </c>
      <c r="AK1446" s="1" t="s">
        <v>60</v>
      </c>
      <c r="AL1446" s="1" t="s">
        <v>60</v>
      </c>
      <c r="AW1446" s="1" t="s">
        <v>85</v>
      </c>
      <c r="AY1446" s="1">
        <v>1.0</v>
      </c>
      <c r="AZ1446" s="1">
        <v>54.99</v>
      </c>
      <c r="BB1446" s="1">
        <v>54.99</v>
      </c>
    </row>
    <row r="1447">
      <c r="A1447" s="1" t="s">
        <v>135</v>
      </c>
      <c r="C1447" s="1" t="s">
        <v>56</v>
      </c>
      <c r="D1447" s="1" t="s">
        <v>2449</v>
      </c>
      <c r="Y1447" s="2">
        <v>45515.0</v>
      </c>
      <c r="AE1447" s="1">
        <v>89.99</v>
      </c>
      <c r="AG1447" s="3" t="str">
        <f>"2000006160963571"</f>
        <v>2000006160963571</v>
      </c>
      <c r="AH1447" s="1" t="s">
        <v>58</v>
      </c>
      <c r="AI1447" s="1" t="s">
        <v>59</v>
      </c>
      <c r="AJ1447" s="1" t="s">
        <v>59</v>
      </c>
      <c r="AK1447" s="1" t="s">
        <v>60</v>
      </c>
      <c r="AL1447" s="1" t="s">
        <v>60</v>
      </c>
      <c r="AW1447" s="1" t="s">
        <v>137</v>
      </c>
      <c r="AY1447" s="1">
        <v>1.0</v>
      </c>
      <c r="AZ1447" s="1">
        <v>89.99</v>
      </c>
      <c r="BB1447" s="1">
        <v>89.99</v>
      </c>
    </row>
    <row r="1448">
      <c r="A1448" s="1" t="s">
        <v>2269</v>
      </c>
      <c r="C1448" s="1" t="s">
        <v>56</v>
      </c>
      <c r="D1448" s="1" t="s">
        <v>2450</v>
      </c>
      <c r="Y1448" s="2">
        <v>45515.0</v>
      </c>
      <c r="AE1448" s="1">
        <v>49.99</v>
      </c>
      <c r="AG1448" s="3" t="str">
        <f>"2000006160957887"</f>
        <v>2000006160957887</v>
      </c>
      <c r="AH1448" s="1" t="s">
        <v>58</v>
      </c>
      <c r="AI1448" s="1" t="s">
        <v>59</v>
      </c>
      <c r="AJ1448" s="1" t="s">
        <v>59</v>
      </c>
      <c r="AK1448" s="1" t="s">
        <v>60</v>
      </c>
      <c r="AL1448" s="1" t="s">
        <v>60</v>
      </c>
      <c r="AW1448" s="1" t="s">
        <v>1838</v>
      </c>
      <c r="AY1448" s="1">
        <v>1.0</v>
      </c>
      <c r="AZ1448" s="1">
        <v>49.99</v>
      </c>
      <c r="BB1448" s="1">
        <v>49.99</v>
      </c>
    </row>
    <row r="1449">
      <c r="A1449" s="1" t="s">
        <v>2115</v>
      </c>
      <c r="C1449" s="1" t="s">
        <v>56</v>
      </c>
      <c r="D1449" s="1" t="s">
        <v>2451</v>
      </c>
      <c r="Y1449" s="2">
        <v>45515.0</v>
      </c>
      <c r="AE1449" s="1">
        <v>69.99</v>
      </c>
      <c r="AG1449" s="3" t="str">
        <f>"2000006160929501"</f>
        <v>2000006160929501</v>
      </c>
      <c r="AH1449" s="1" t="s">
        <v>58</v>
      </c>
      <c r="AI1449" s="1" t="s">
        <v>59</v>
      </c>
      <c r="AJ1449" s="1" t="s">
        <v>59</v>
      </c>
      <c r="AK1449" s="1" t="s">
        <v>60</v>
      </c>
      <c r="AL1449" s="1" t="s">
        <v>60</v>
      </c>
      <c r="AW1449" s="1" t="s">
        <v>2117</v>
      </c>
      <c r="AY1449" s="1">
        <v>1.0</v>
      </c>
      <c r="AZ1449" s="1">
        <v>69.99</v>
      </c>
      <c r="BB1449" s="1">
        <v>69.99</v>
      </c>
    </row>
    <row r="1450">
      <c r="A1450" s="1" t="s">
        <v>2452</v>
      </c>
      <c r="C1450" s="1" t="s">
        <v>56</v>
      </c>
      <c r="D1450" s="1" t="s">
        <v>2453</v>
      </c>
      <c r="Y1450" s="2">
        <v>45515.0</v>
      </c>
      <c r="AE1450" s="1">
        <v>399.99</v>
      </c>
      <c r="AG1450" s="3" t="str">
        <f>"2000009010803896"</f>
        <v>2000009010803896</v>
      </c>
      <c r="AH1450" s="1" t="s">
        <v>58</v>
      </c>
      <c r="AI1450" s="1" t="s">
        <v>59</v>
      </c>
      <c r="AJ1450" s="1" t="s">
        <v>59</v>
      </c>
      <c r="AK1450" s="1" t="s">
        <v>60</v>
      </c>
      <c r="AL1450" s="1" t="s">
        <v>60</v>
      </c>
      <c r="AW1450" s="1" t="s">
        <v>2454</v>
      </c>
      <c r="AY1450" s="1">
        <v>1.0</v>
      </c>
      <c r="AZ1450" s="1">
        <v>399.99</v>
      </c>
      <c r="BB1450" s="1">
        <v>399.99</v>
      </c>
    </row>
    <row r="1451">
      <c r="A1451" s="1" t="s">
        <v>2455</v>
      </c>
      <c r="C1451" s="1" t="s">
        <v>56</v>
      </c>
      <c r="D1451" s="1" t="s">
        <v>2456</v>
      </c>
      <c r="Y1451" s="2">
        <v>45515.0</v>
      </c>
      <c r="AE1451" s="1">
        <v>54.99</v>
      </c>
      <c r="AG1451" s="3" t="str">
        <f>"2000006160900077"</f>
        <v>2000006160900077</v>
      </c>
      <c r="AH1451" s="1" t="s">
        <v>58</v>
      </c>
      <c r="AI1451" s="1" t="s">
        <v>59</v>
      </c>
      <c r="AJ1451" s="1" t="s">
        <v>59</v>
      </c>
      <c r="AK1451" s="1" t="s">
        <v>60</v>
      </c>
      <c r="AL1451" s="1" t="s">
        <v>60</v>
      </c>
      <c r="AW1451" s="1" t="s">
        <v>1709</v>
      </c>
      <c r="AY1451" s="1">
        <v>1.0</v>
      </c>
      <c r="AZ1451" s="1">
        <v>54.99</v>
      </c>
      <c r="BB1451" s="1">
        <v>54.99</v>
      </c>
    </row>
    <row r="1452">
      <c r="A1452" s="1" t="s">
        <v>383</v>
      </c>
      <c r="C1452" s="1" t="s">
        <v>56</v>
      </c>
      <c r="D1452" s="1" t="s">
        <v>2457</v>
      </c>
      <c r="Y1452" s="2">
        <v>45515.0</v>
      </c>
      <c r="AE1452" s="1">
        <v>159.99</v>
      </c>
      <c r="AG1452" s="3" t="str">
        <f>"2000009010802552"</f>
        <v>2000009010802552</v>
      </c>
      <c r="AH1452" s="1" t="s">
        <v>58</v>
      </c>
      <c r="AI1452" s="1" t="s">
        <v>59</v>
      </c>
      <c r="AJ1452" s="1" t="s">
        <v>59</v>
      </c>
      <c r="AK1452" s="1" t="s">
        <v>60</v>
      </c>
      <c r="AL1452" s="1" t="s">
        <v>60</v>
      </c>
      <c r="AW1452" s="1" t="s">
        <v>385</v>
      </c>
      <c r="AY1452" s="1">
        <v>1.0</v>
      </c>
      <c r="AZ1452" s="1">
        <v>159.99</v>
      </c>
      <c r="BB1452" s="1">
        <v>159.99</v>
      </c>
    </row>
    <row r="1453">
      <c r="A1453" s="1" t="s">
        <v>108</v>
      </c>
      <c r="C1453" s="1" t="s">
        <v>56</v>
      </c>
      <c r="D1453" s="1" t="s">
        <v>2458</v>
      </c>
      <c r="Y1453" s="2">
        <v>45515.0</v>
      </c>
      <c r="AE1453" s="1">
        <v>54.99</v>
      </c>
      <c r="AG1453" s="3" t="str">
        <f>"2000009010780240"</f>
        <v>2000009010780240</v>
      </c>
      <c r="AH1453" s="1" t="s">
        <v>58</v>
      </c>
      <c r="AI1453" s="1" t="s">
        <v>59</v>
      </c>
      <c r="AJ1453" s="1" t="s">
        <v>59</v>
      </c>
      <c r="AK1453" s="1" t="s">
        <v>60</v>
      </c>
      <c r="AL1453" s="1" t="s">
        <v>60</v>
      </c>
      <c r="AW1453" s="1" t="s">
        <v>110</v>
      </c>
      <c r="AY1453" s="1">
        <v>1.0</v>
      </c>
      <c r="AZ1453" s="1">
        <v>54.99</v>
      </c>
      <c r="BB1453" s="1">
        <v>54.99</v>
      </c>
    </row>
    <row r="1454">
      <c r="A1454" s="1" t="s">
        <v>108</v>
      </c>
      <c r="C1454" s="1" t="s">
        <v>235</v>
      </c>
      <c r="D1454" s="1" t="s">
        <v>2458</v>
      </c>
      <c r="Y1454" s="2">
        <v>45515.0</v>
      </c>
      <c r="AE1454" s="1">
        <v>54.99</v>
      </c>
      <c r="AG1454" s="3" t="str">
        <f>"2000006160862965"</f>
        <v>2000006160862965</v>
      </c>
      <c r="AH1454" s="1" t="s">
        <v>58</v>
      </c>
      <c r="AI1454" s="1" t="s">
        <v>59</v>
      </c>
      <c r="AJ1454" s="1" t="s">
        <v>59</v>
      </c>
      <c r="AK1454" s="1" t="s">
        <v>60</v>
      </c>
      <c r="AL1454" s="1" t="s">
        <v>60</v>
      </c>
      <c r="AW1454" s="1" t="s">
        <v>110</v>
      </c>
      <c r="AY1454" s="1">
        <v>1.0</v>
      </c>
      <c r="AZ1454" s="1">
        <v>54.99</v>
      </c>
      <c r="BB1454" s="1">
        <v>54.99</v>
      </c>
    </row>
    <row r="1455">
      <c r="A1455" s="1" t="s">
        <v>1195</v>
      </c>
      <c r="C1455" s="1" t="s">
        <v>56</v>
      </c>
      <c r="D1455" s="1" t="s">
        <v>2459</v>
      </c>
      <c r="Y1455" s="2">
        <v>45515.0</v>
      </c>
      <c r="AE1455" s="1">
        <v>75.98</v>
      </c>
      <c r="AG1455" s="3" t="str">
        <f>"2000006160818861"</f>
        <v>2000006160818861</v>
      </c>
      <c r="AH1455" s="1" t="s">
        <v>58</v>
      </c>
      <c r="AI1455" s="1" t="s">
        <v>59</v>
      </c>
      <c r="AJ1455" s="1" t="s">
        <v>59</v>
      </c>
      <c r="AK1455" s="1" t="s">
        <v>60</v>
      </c>
      <c r="AL1455" s="1" t="s">
        <v>60</v>
      </c>
      <c r="AW1455" s="1" t="s">
        <v>1197</v>
      </c>
      <c r="AY1455" s="1">
        <v>2.0</v>
      </c>
      <c r="AZ1455" s="1">
        <v>37.99</v>
      </c>
      <c r="BB1455" s="1">
        <v>75.98</v>
      </c>
    </row>
    <row r="1456">
      <c r="A1456" s="1" t="s">
        <v>1908</v>
      </c>
      <c r="C1456" s="1" t="s">
        <v>56</v>
      </c>
      <c r="D1456" s="1" t="s">
        <v>2460</v>
      </c>
      <c r="Y1456" s="2">
        <v>45515.0</v>
      </c>
      <c r="AE1456" s="1">
        <v>54.99</v>
      </c>
      <c r="AG1456" s="3" t="str">
        <f>"2000006160811197"</f>
        <v>2000006160811197</v>
      </c>
      <c r="AH1456" s="1" t="s">
        <v>58</v>
      </c>
      <c r="AI1456" s="1" t="s">
        <v>59</v>
      </c>
      <c r="AJ1456" s="1" t="s">
        <v>59</v>
      </c>
      <c r="AK1456" s="1" t="s">
        <v>60</v>
      </c>
      <c r="AL1456" s="1" t="s">
        <v>60</v>
      </c>
      <c r="AW1456" s="1" t="s">
        <v>1265</v>
      </c>
      <c r="AY1456" s="1">
        <v>1.0</v>
      </c>
      <c r="AZ1456" s="1">
        <v>54.99</v>
      </c>
      <c r="BB1456" s="1">
        <v>54.99</v>
      </c>
    </row>
    <row r="1457">
      <c r="A1457" s="1" t="s">
        <v>2461</v>
      </c>
      <c r="C1457" s="1" t="s">
        <v>56</v>
      </c>
      <c r="D1457" s="1" t="s">
        <v>2462</v>
      </c>
      <c r="Y1457" s="2">
        <v>45515.0</v>
      </c>
      <c r="AE1457" s="1">
        <v>79.99</v>
      </c>
      <c r="AG1457" s="3" t="str">
        <f>"2000006160795845"</f>
        <v>2000006160795845</v>
      </c>
      <c r="AH1457" s="1" t="s">
        <v>58</v>
      </c>
      <c r="AI1457" s="1" t="s">
        <v>59</v>
      </c>
      <c r="AJ1457" s="1" t="s">
        <v>59</v>
      </c>
      <c r="AK1457" s="1" t="s">
        <v>60</v>
      </c>
      <c r="AL1457" s="1" t="s">
        <v>60</v>
      </c>
      <c r="AW1457" s="1" t="s">
        <v>124</v>
      </c>
      <c r="AY1457" s="1">
        <v>1.0</v>
      </c>
      <c r="AZ1457" s="1">
        <v>79.99</v>
      </c>
      <c r="BB1457" s="1">
        <v>79.99</v>
      </c>
    </row>
    <row r="1458">
      <c r="A1458" s="1" t="s">
        <v>275</v>
      </c>
      <c r="C1458" s="1" t="s">
        <v>56</v>
      </c>
      <c r="D1458" s="1" t="s">
        <v>2463</v>
      </c>
      <c r="Y1458" s="2">
        <v>45515.0</v>
      </c>
      <c r="AE1458" s="1">
        <v>54.99</v>
      </c>
      <c r="AG1458" s="3" t="str">
        <f>"2000006160795261"</f>
        <v>2000006160795261</v>
      </c>
      <c r="AH1458" s="1" t="s">
        <v>58</v>
      </c>
      <c r="AI1458" s="1" t="s">
        <v>59</v>
      </c>
      <c r="AJ1458" s="1" t="s">
        <v>59</v>
      </c>
      <c r="AK1458" s="1" t="s">
        <v>60</v>
      </c>
      <c r="AL1458" s="1" t="s">
        <v>60</v>
      </c>
      <c r="AW1458" s="1" t="s">
        <v>110</v>
      </c>
      <c r="AY1458" s="1">
        <v>1.0</v>
      </c>
      <c r="AZ1458" s="1">
        <v>54.99</v>
      </c>
      <c r="BB1458" s="1">
        <v>54.99</v>
      </c>
    </row>
    <row r="1459">
      <c r="A1459" s="1" t="s">
        <v>153</v>
      </c>
      <c r="C1459" s="1" t="s">
        <v>235</v>
      </c>
      <c r="D1459" s="1" t="s">
        <v>1893</v>
      </c>
      <c r="Y1459" s="2">
        <v>45515.0</v>
      </c>
      <c r="AE1459" s="1">
        <v>47.18</v>
      </c>
      <c r="AG1459" s="3" t="str">
        <f>"2000006160754115"</f>
        <v>2000006160754115</v>
      </c>
      <c r="AH1459" s="1" t="s">
        <v>58</v>
      </c>
      <c r="AI1459" s="1" t="s">
        <v>59</v>
      </c>
      <c r="AJ1459" s="1" t="s">
        <v>59</v>
      </c>
      <c r="AK1459" s="1" t="s">
        <v>60</v>
      </c>
      <c r="AL1459" s="1" t="s">
        <v>60</v>
      </c>
      <c r="AW1459" s="1" t="s">
        <v>155</v>
      </c>
      <c r="AY1459" s="1">
        <v>1.0</v>
      </c>
      <c r="AZ1459" s="1">
        <v>47.18</v>
      </c>
      <c r="BB1459" s="1">
        <v>47.18</v>
      </c>
    </row>
    <row r="1460">
      <c r="A1460" s="1" t="s">
        <v>1034</v>
      </c>
      <c r="C1460" s="1" t="s">
        <v>235</v>
      </c>
      <c r="D1460" s="1" t="s">
        <v>2464</v>
      </c>
      <c r="Y1460" s="2">
        <v>45515.0</v>
      </c>
      <c r="AE1460" s="1">
        <v>69.99</v>
      </c>
      <c r="AG1460" s="3" t="str">
        <f>"2000006161919249"</f>
        <v>2000006161919249</v>
      </c>
      <c r="AH1460" s="1" t="s">
        <v>58</v>
      </c>
      <c r="AI1460" s="1" t="s">
        <v>59</v>
      </c>
      <c r="AJ1460" s="1" t="s">
        <v>59</v>
      </c>
      <c r="AK1460" s="1" t="s">
        <v>60</v>
      </c>
      <c r="AL1460" s="1" t="s">
        <v>60</v>
      </c>
      <c r="AW1460" s="1" t="s">
        <v>2465</v>
      </c>
      <c r="AY1460" s="1">
        <v>1.0</v>
      </c>
      <c r="AZ1460" s="1">
        <v>69.99</v>
      </c>
      <c r="BB1460" s="1">
        <v>69.99</v>
      </c>
    </row>
    <row r="1461">
      <c r="A1461" s="1" t="s">
        <v>1946</v>
      </c>
      <c r="C1461" s="1" t="s">
        <v>56</v>
      </c>
      <c r="D1461" s="1" t="s">
        <v>2466</v>
      </c>
      <c r="Y1461" s="2">
        <v>45515.0</v>
      </c>
      <c r="AE1461" s="1">
        <v>39.99</v>
      </c>
      <c r="AG1461" s="3" t="str">
        <f>"2000006160763819"</f>
        <v>2000006160763819</v>
      </c>
      <c r="AH1461" s="1" t="s">
        <v>58</v>
      </c>
      <c r="AI1461" s="1" t="s">
        <v>59</v>
      </c>
      <c r="AJ1461" s="1" t="s">
        <v>59</v>
      </c>
      <c r="AK1461" s="1" t="s">
        <v>60</v>
      </c>
      <c r="AL1461" s="1" t="s">
        <v>60</v>
      </c>
      <c r="AW1461" s="1" t="s">
        <v>1529</v>
      </c>
      <c r="AY1461" s="1">
        <v>1.0</v>
      </c>
      <c r="AZ1461" s="1">
        <v>39.99</v>
      </c>
      <c r="BB1461" s="1">
        <v>39.99</v>
      </c>
    </row>
    <row r="1462">
      <c r="A1462" s="1" t="s">
        <v>77</v>
      </c>
      <c r="C1462" s="1" t="s">
        <v>56</v>
      </c>
      <c r="D1462" s="1" t="s">
        <v>2467</v>
      </c>
      <c r="Y1462" s="2">
        <v>45515.0</v>
      </c>
      <c r="AE1462" s="1">
        <v>64.99</v>
      </c>
      <c r="AG1462" s="3" t="str">
        <f>"2000006160746997"</f>
        <v>2000006160746997</v>
      </c>
      <c r="AH1462" s="1" t="s">
        <v>58</v>
      </c>
      <c r="AI1462" s="1" t="s">
        <v>59</v>
      </c>
      <c r="AJ1462" s="1" t="s">
        <v>59</v>
      </c>
      <c r="AK1462" s="1" t="s">
        <v>60</v>
      </c>
      <c r="AL1462" s="1" t="s">
        <v>60</v>
      </c>
      <c r="AW1462" s="1" t="s">
        <v>79</v>
      </c>
      <c r="AY1462" s="1">
        <v>1.0</v>
      </c>
      <c r="AZ1462" s="1">
        <v>64.99</v>
      </c>
      <c r="BB1462" s="1">
        <v>64.99</v>
      </c>
    </row>
    <row r="1463">
      <c r="A1463" s="1" t="s">
        <v>764</v>
      </c>
      <c r="C1463" s="1" t="s">
        <v>56</v>
      </c>
      <c r="D1463" s="1" t="s">
        <v>2468</v>
      </c>
      <c r="Y1463" s="2">
        <v>45515.0</v>
      </c>
      <c r="AE1463" s="1">
        <v>66.99</v>
      </c>
      <c r="AG1463" s="3" t="str">
        <f>"2000009010493598"</f>
        <v>2000009010493598</v>
      </c>
      <c r="AH1463" s="1" t="s">
        <v>58</v>
      </c>
      <c r="AI1463" s="1" t="s">
        <v>59</v>
      </c>
      <c r="AJ1463" s="1" t="s">
        <v>59</v>
      </c>
      <c r="AK1463" s="1" t="s">
        <v>60</v>
      </c>
      <c r="AL1463" s="1" t="s">
        <v>60</v>
      </c>
      <c r="AW1463" s="1" t="s">
        <v>766</v>
      </c>
      <c r="AY1463" s="1">
        <v>1.0</v>
      </c>
      <c r="AZ1463" s="1">
        <v>66.99</v>
      </c>
      <c r="BB1463" s="1">
        <v>66.99</v>
      </c>
    </row>
    <row r="1464">
      <c r="A1464" s="1" t="s">
        <v>768</v>
      </c>
      <c r="C1464" s="1" t="s">
        <v>56</v>
      </c>
      <c r="D1464" s="1" t="s">
        <v>2469</v>
      </c>
      <c r="Y1464" s="2">
        <v>45515.0</v>
      </c>
      <c r="AE1464" s="1">
        <v>159.99</v>
      </c>
      <c r="AG1464" s="3" t="str">
        <f>"2000006160701421"</f>
        <v>2000006160701421</v>
      </c>
      <c r="AH1464" s="1" t="s">
        <v>58</v>
      </c>
      <c r="AI1464" s="1" t="s">
        <v>59</v>
      </c>
      <c r="AJ1464" s="1" t="s">
        <v>59</v>
      </c>
      <c r="AK1464" s="1" t="s">
        <v>60</v>
      </c>
      <c r="AL1464" s="1" t="s">
        <v>60</v>
      </c>
      <c r="AW1464" s="1" t="s">
        <v>770</v>
      </c>
      <c r="AY1464" s="1">
        <v>1.0</v>
      </c>
      <c r="AZ1464" s="1">
        <v>159.99</v>
      </c>
      <c r="BB1464" s="1">
        <v>159.99</v>
      </c>
    </row>
    <row r="1465">
      <c r="A1465" s="1" t="s">
        <v>377</v>
      </c>
      <c r="C1465" s="1" t="s">
        <v>56</v>
      </c>
      <c r="D1465" s="1" t="s">
        <v>2470</v>
      </c>
      <c r="Y1465" s="2">
        <v>45515.0</v>
      </c>
      <c r="AE1465" s="1">
        <v>64.99</v>
      </c>
      <c r="AG1465" s="3" t="str">
        <f>"2000006160695563"</f>
        <v>2000006160695563</v>
      </c>
      <c r="AH1465" s="1" t="s">
        <v>58</v>
      </c>
      <c r="AI1465" s="1" t="s">
        <v>59</v>
      </c>
      <c r="AJ1465" s="1" t="s">
        <v>59</v>
      </c>
      <c r="AK1465" s="1" t="s">
        <v>60</v>
      </c>
      <c r="AL1465" s="1" t="s">
        <v>60</v>
      </c>
      <c r="AW1465" s="1" t="s">
        <v>79</v>
      </c>
      <c r="AY1465" s="1">
        <v>1.0</v>
      </c>
      <c r="AZ1465" s="1">
        <v>64.99</v>
      </c>
      <c r="BB1465" s="1">
        <v>64.99</v>
      </c>
    </row>
    <row r="1466">
      <c r="A1466" s="1" t="s">
        <v>1054</v>
      </c>
      <c r="C1466" s="1" t="s">
        <v>56</v>
      </c>
      <c r="D1466" s="1" t="s">
        <v>1115</v>
      </c>
      <c r="Y1466" s="2">
        <v>45515.0</v>
      </c>
      <c r="AE1466" s="1">
        <v>54.99</v>
      </c>
      <c r="AG1466" s="3" t="str">
        <f>"2000006160664265"</f>
        <v>2000006160664265</v>
      </c>
      <c r="AH1466" s="1" t="s">
        <v>58</v>
      </c>
      <c r="AI1466" s="1" t="s">
        <v>59</v>
      </c>
      <c r="AJ1466" s="1" t="s">
        <v>59</v>
      </c>
      <c r="AK1466" s="1" t="s">
        <v>60</v>
      </c>
      <c r="AL1466" s="1" t="s">
        <v>60</v>
      </c>
      <c r="AW1466" s="1" t="s">
        <v>1056</v>
      </c>
      <c r="AY1466" s="1">
        <v>1.0</v>
      </c>
      <c r="AZ1466" s="1">
        <v>54.99</v>
      </c>
      <c r="BB1466" s="1">
        <v>54.99</v>
      </c>
    </row>
    <row r="1467">
      <c r="A1467" s="1" t="s">
        <v>449</v>
      </c>
      <c r="C1467" s="1" t="s">
        <v>56</v>
      </c>
      <c r="D1467" s="1" t="s">
        <v>2471</v>
      </c>
      <c r="Y1467" s="2">
        <v>45515.0</v>
      </c>
      <c r="AE1467" s="1">
        <v>69.99</v>
      </c>
      <c r="AG1467" s="3" t="str">
        <f>"2000006160620335"</f>
        <v>2000006160620335</v>
      </c>
      <c r="AH1467" s="1" t="s">
        <v>58</v>
      </c>
      <c r="AI1467" s="1" t="s">
        <v>59</v>
      </c>
      <c r="AJ1467" s="1" t="s">
        <v>59</v>
      </c>
      <c r="AK1467" s="1" t="s">
        <v>60</v>
      </c>
      <c r="AL1467" s="1" t="s">
        <v>60</v>
      </c>
      <c r="AW1467" s="1" t="s">
        <v>451</v>
      </c>
      <c r="AY1467" s="1">
        <v>1.0</v>
      </c>
      <c r="AZ1467" s="1">
        <v>69.99</v>
      </c>
      <c r="BB1467" s="1">
        <v>69.99</v>
      </c>
    </row>
    <row r="1468">
      <c r="A1468" s="1" t="s">
        <v>68</v>
      </c>
      <c r="C1468" s="1" t="s">
        <v>56</v>
      </c>
      <c r="D1468" s="1" t="s">
        <v>2472</v>
      </c>
      <c r="Y1468" s="2">
        <v>45515.0</v>
      </c>
      <c r="AE1468" s="1">
        <v>49.99</v>
      </c>
      <c r="AG1468" s="3" t="str">
        <f>"2000009010270336"</f>
        <v>2000009010270336</v>
      </c>
      <c r="AH1468" s="1" t="s">
        <v>58</v>
      </c>
      <c r="AI1468" s="1" t="s">
        <v>59</v>
      </c>
      <c r="AJ1468" s="1" t="s">
        <v>59</v>
      </c>
      <c r="AK1468" s="1" t="s">
        <v>60</v>
      </c>
      <c r="AL1468" s="1" t="s">
        <v>60</v>
      </c>
      <c r="AW1468" s="1" t="s">
        <v>70</v>
      </c>
      <c r="AY1468" s="1">
        <v>1.0</v>
      </c>
      <c r="AZ1468" s="1">
        <v>49.99</v>
      </c>
      <c r="BB1468" s="1">
        <v>49.99</v>
      </c>
    </row>
    <row r="1469">
      <c r="A1469" s="1" t="s">
        <v>2473</v>
      </c>
      <c r="C1469" s="1" t="s">
        <v>56</v>
      </c>
      <c r="D1469" s="1" t="s">
        <v>2474</v>
      </c>
      <c r="Y1469" s="2">
        <v>45515.0</v>
      </c>
      <c r="AE1469" s="1">
        <v>57.99</v>
      </c>
      <c r="AG1469" s="3" t="str">
        <f>"2000006160538995"</f>
        <v>2000006160538995</v>
      </c>
      <c r="AH1469" s="1" t="s">
        <v>58</v>
      </c>
      <c r="AI1469" s="1" t="s">
        <v>59</v>
      </c>
      <c r="AJ1469" s="1" t="s">
        <v>59</v>
      </c>
      <c r="AK1469" s="1" t="s">
        <v>60</v>
      </c>
      <c r="AL1469" s="1" t="s">
        <v>60</v>
      </c>
      <c r="AW1469" s="1" t="s">
        <v>2475</v>
      </c>
      <c r="AY1469" s="1">
        <v>1.0</v>
      </c>
      <c r="AZ1469" s="1">
        <v>57.99</v>
      </c>
      <c r="BB1469" s="1">
        <v>57.99</v>
      </c>
    </row>
    <row r="1470">
      <c r="A1470" s="1" t="s">
        <v>2476</v>
      </c>
      <c r="C1470" s="1" t="s">
        <v>56</v>
      </c>
      <c r="D1470" s="1" t="s">
        <v>2477</v>
      </c>
      <c r="Y1470" s="2">
        <v>45515.0</v>
      </c>
      <c r="AE1470" s="1">
        <v>53.99</v>
      </c>
      <c r="AG1470" s="3" t="str">
        <f>"2000009010182050"</f>
        <v>2000009010182050</v>
      </c>
      <c r="AH1470" s="1" t="s">
        <v>58</v>
      </c>
      <c r="AI1470" s="1" t="s">
        <v>59</v>
      </c>
      <c r="AJ1470" s="1" t="s">
        <v>59</v>
      </c>
      <c r="AK1470" s="1" t="s">
        <v>60</v>
      </c>
      <c r="AL1470" s="1" t="s">
        <v>60</v>
      </c>
      <c r="AW1470" s="1" t="s">
        <v>2478</v>
      </c>
      <c r="AY1470" s="1">
        <v>1.0</v>
      </c>
      <c r="AZ1470" s="1">
        <v>53.99</v>
      </c>
      <c r="BB1470" s="1">
        <v>53.99</v>
      </c>
    </row>
    <row r="1471">
      <c r="A1471" s="1" t="s">
        <v>2479</v>
      </c>
      <c r="C1471" s="1" t="s">
        <v>56</v>
      </c>
      <c r="D1471" s="1" t="s">
        <v>2480</v>
      </c>
      <c r="Y1471" s="2">
        <v>45515.0</v>
      </c>
      <c r="AE1471" s="1">
        <v>119.99</v>
      </c>
      <c r="AG1471" s="3" t="str">
        <f>"2000006160540457"</f>
        <v>2000006160540457</v>
      </c>
      <c r="AH1471" s="1" t="s">
        <v>58</v>
      </c>
      <c r="AI1471" s="1" t="s">
        <v>59</v>
      </c>
      <c r="AJ1471" s="1" t="s">
        <v>59</v>
      </c>
      <c r="AK1471" s="1" t="s">
        <v>60</v>
      </c>
      <c r="AL1471" s="1" t="s">
        <v>60</v>
      </c>
      <c r="AW1471" s="1" t="s">
        <v>2481</v>
      </c>
      <c r="AY1471" s="1">
        <v>1.0</v>
      </c>
      <c r="AZ1471" s="1">
        <v>119.99</v>
      </c>
      <c r="BB1471" s="1">
        <v>119.99</v>
      </c>
    </row>
    <row r="1472">
      <c r="A1472" s="1" t="s">
        <v>2482</v>
      </c>
      <c r="C1472" s="1" t="s">
        <v>56</v>
      </c>
      <c r="D1472" s="1" t="s">
        <v>2483</v>
      </c>
      <c r="Y1472" s="2">
        <v>45515.0</v>
      </c>
      <c r="AE1472" s="1">
        <v>84.99</v>
      </c>
      <c r="AG1472" s="3" t="str">
        <f t="shared" ref="AG1472:AG1473" si="59">"2000006160486905"</f>
        <v>2000006160486905</v>
      </c>
      <c r="AH1472" s="1" t="s">
        <v>58</v>
      </c>
      <c r="AI1472" s="1" t="s">
        <v>59</v>
      </c>
      <c r="AJ1472" s="1" t="s">
        <v>59</v>
      </c>
      <c r="AK1472" s="1" t="s">
        <v>60</v>
      </c>
      <c r="AL1472" s="1" t="s">
        <v>60</v>
      </c>
      <c r="AW1472" s="1" t="s">
        <v>2484</v>
      </c>
      <c r="AY1472" s="1">
        <v>1.0</v>
      </c>
      <c r="AZ1472" s="1">
        <v>84.99</v>
      </c>
      <c r="BB1472" s="1">
        <v>84.99</v>
      </c>
    </row>
    <row r="1473">
      <c r="A1473" s="1" t="s">
        <v>319</v>
      </c>
      <c r="C1473" s="1" t="s">
        <v>56</v>
      </c>
      <c r="D1473" s="1" t="s">
        <v>2483</v>
      </c>
      <c r="Y1473" s="2">
        <v>45515.0</v>
      </c>
      <c r="AE1473" s="1">
        <v>74.99</v>
      </c>
      <c r="AG1473" s="3" t="str">
        <f t="shared" si="59"/>
        <v>2000006160486905</v>
      </c>
      <c r="AH1473" s="1" t="s">
        <v>58</v>
      </c>
      <c r="AI1473" s="1" t="s">
        <v>59</v>
      </c>
      <c r="AJ1473" s="1" t="s">
        <v>59</v>
      </c>
      <c r="AK1473" s="1" t="s">
        <v>60</v>
      </c>
      <c r="AL1473" s="1" t="s">
        <v>60</v>
      </c>
      <c r="AW1473" s="1" t="s">
        <v>321</v>
      </c>
      <c r="AY1473" s="1">
        <v>1.0</v>
      </c>
      <c r="AZ1473" s="1">
        <v>74.99</v>
      </c>
      <c r="BB1473" s="1">
        <v>74.99</v>
      </c>
    </row>
    <row r="1474">
      <c r="A1474" s="1" t="s">
        <v>2485</v>
      </c>
      <c r="C1474" s="1" t="s">
        <v>56</v>
      </c>
      <c r="D1474" s="1" t="s">
        <v>2486</v>
      </c>
      <c r="Y1474" s="2">
        <v>45515.0</v>
      </c>
      <c r="AE1474" s="1">
        <v>59.99</v>
      </c>
      <c r="AG1474" s="3" t="str">
        <f>"2000006160315445"</f>
        <v>2000006160315445</v>
      </c>
      <c r="AH1474" s="1" t="s">
        <v>58</v>
      </c>
      <c r="AI1474" s="1" t="s">
        <v>59</v>
      </c>
      <c r="AJ1474" s="1" t="s">
        <v>59</v>
      </c>
      <c r="AK1474" s="1" t="s">
        <v>60</v>
      </c>
      <c r="AL1474" s="1" t="s">
        <v>60</v>
      </c>
      <c r="AW1474" s="1" t="s">
        <v>2487</v>
      </c>
      <c r="AY1474" s="1">
        <v>1.0</v>
      </c>
      <c r="AZ1474" s="1">
        <v>59.99</v>
      </c>
      <c r="BB1474" s="1">
        <v>59.99</v>
      </c>
    </row>
    <row r="1475">
      <c r="A1475" s="1" t="s">
        <v>1946</v>
      </c>
      <c r="C1475" s="1" t="s">
        <v>56</v>
      </c>
      <c r="D1475" s="1" t="s">
        <v>2488</v>
      </c>
      <c r="Y1475" s="2">
        <v>45515.0</v>
      </c>
      <c r="AE1475" s="1">
        <v>79.98</v>
      </c>
      <c r="AG1475" s="3" t="str">
        <f>"2000006160409209"</f>
        <v>2000006160409209</v>
      </c>
      <c r="AH1475" s="1" t="s">
        <v>58</v>
      </c>
      <c r="AI1475" s="1" t="s">
        <v>59</v>
      </c>
      <c r="AJ1475" s="1" t="s">
        <v>59</v>
      </c>
      <c r="AK1475" s="1" t="s">
        <v>60</v>
      </c>
      <c r="AL1475" s="1" t="s">
        <v>60</v>
      </c>
      <c r="AW1475" s="1" t="s">
        <v>1529</v>
      </c>
      <c r="AY1475" s="1">
        <v>2.0</v>
      </c>
      <c r="AZ1475" s="1">
        <v>39.99</v>
      </c>
      <c r="BB1475" s="1">
        <v>79.98</v>
      </c>
    </row>
    <row r="1476">
      <c r="A1476" s="1" t="s">
        <v>633</v>
      </c>
      <c r="C1476" s="1" t="s">
        <v>56</v>
      </c>
      <c r="D1476" s="1" t="s">
        <v>2489</v>
      </c>
      <c r="Y1476" s="2">
        <v>45515.0</v>
      </c>
      <c r="AE1476" s="1">
        <v>69.99</v>
      </c>
      <c r="AG1476" s="3" t="str">
        <f>"2000009009843562"</f>
        <v>2000009009843562</v>
      </c>
      <c r="AH1476" s="1" t="s">
        <v>58</v>
      </c>
      <c r="AI1476" s="1" t="s">
        <v>59</v>
      </c>
      <c r="AJ1476" s="1" t="s">
        <v>59</v>
      </c>
      <c r="AK1476" s="1" t="s">
        <v>60</v>
      </c>
      <c r="AL1476" s="1" t="s">
        <v>60</v>
      </c>
      <c r="AW1476" s="1" t="s">
        <v>635</v>
      </c>
      <c r="AY1476" s="1">
        <v>1.0</v>
      </c>
      <c r="AZ1476" s="1">
        <v>69.99</v>
      </c>
      <c r="BB1476" s="1">
        <v>69.99</v>
      </c>
    </row>
    <row r="1477">
      <c r="A1477" s="1" t="s">
        <v>2490</v>
      </c>
      <c r="C1477" s="1" t="s">
        <v>56</v>
      </c>
      <c r="D1477" s="1" t="s">
        <v>2491</v>
      </c>
      <c r="Y1477" s="2">
        <v>45515.0</v>
      </c>
      <c r="AE1477" s="1">
        <v>64.99</v>
      </c>
      <c r="AG1477" s="3" t="str">
        <f>"2000006160196657"</f>
        <v>2000006160196657</v>
      </c>
      <c r="AH1477" s="1" t="s">
        <v>58</v>
      </c>
      <c r="AI1477" s="1" t="s">
        <v>59</v>
      </c>
      <c r="AJ1477" s="1" t="s">
        <v>59</v>
      </c>
      <c r="AK1477" s="1" t="s">
        <v>60</v>
      </c>
      <c r="AL1477" s="1" t="s">
        <v>60</v>
      </c>
      <c r="AW1477" s="1" t="s">
        <v>2492</v>
      </c>
      <c r="AY1477" s="1">
        <v>1.0</v>
      </c>
      <c r="AZ1477" s="1">
        <v>64.99</v>
      </c>
      <c r="BB1477" s="1">
        <v>64.99</v>
      </c>
    </row>
    <row r="1478">
      <c r="A1478" s="1" t="s">
        <v>2493</v>
      </c>
      <c r="C1478" s="1" t="s">
        <v>56</v>
      </c>
      <c r="D1478" s="1" t="s">
        <v>2494</v>
      </c>
      <c r="Y1478" s="2">
        <v>45515.0</v>
      </c>
      <c r="AE1478" s="1">
        <v>109.98</v>
      </c>
      <c r="AG1478" s="3" t="str">
        <f>"2000006160346543"</f>
        <v>2000006160346543</v>
      </c>
      <c r="AH1478" s="1" t="s">
        <v>58</v>
      </c>
      <c r="AI1478" s="1" t="s">
        <v>59</v>
      </c>
      <c r="AJ1478" s="1" t="s">
        <v>59</v>
      </c>
      <c r="AK1478" s="1" t="s">
        <v>60</v>
      </c>
      <c r="AL1478" s="1" t="s">
        <v>60</v>
      </c>
      <c r="AW1478" s="1" t="s">
        <v>2495</v>
      </c>
      <c r="AY1478" s="1">
        <v>2.0</v>
      </c>
      <c r="AZ1478" s="1">
        <v>54.99</v>
      </c>
      <c r="BB1478" s="1">
        <v>109.98</v>
      </c>
    </row>
    <row r="1479">
      <c r="A1479" s="1" t="s">
        <v>191</v>
      </c>
      <c r="C1479" s="1" t="s">
        <v>56</v>
      </c>
      <c r="D1479" s="1" t="s">
        <v>2496</v>
      </c>
      <c r="Y1479" s="2">
        <v>45515.0</v>
      </c>
      <c r="AE1479" s="1">
        <v>249.99</v>
      </c>
      <c r="AG1479" s="3" t="str">
        <f>"2000009006679312"</f>
        <v>2000009006679312</v>
      </c>
      <c r="AH1479" s="1" t="s">
        <v>58</v>
      </c>
      <c r="AI1479" s="1" t="s">
        <v>59</v>
      </c>
      <c r="AJ1479" s="1" t="s">
        <v>59</v>
      </c>
      <c r="AK1479" s="1" t="s">
        <v>60</v>
      </c>
      <c r="AL1479" s="1" t="s">
        <v>60</v>
      </c>
      <c r="AW1479" s="1" t="s">
        <v>1206</v>
      </c>
      <c r="AY1479" s="1">
        <v>1.0</v>
      </c>
      <c r="AZ1479" s="1">
        <v>249.99</v>
      </c>
      <c r="BB1479" s="1">
        <v>249.99</v>
      </c>
    </row>
    <row r="1480">
      <c r="A1480" s="1" t="s">
        <v>2048</v>
      </c>
      <c r="C1480" s="1" t="s">
        <v>56</v>
      </c>
      <c r="D1480" s="1" t="s">
        <v>2497</v>
      </c>
      <c r="Y1480" s="2">
        <v>45515.0</v>
      </c>
      <c r="AE1480" s="1">
        <v>89.99</v>
      </c>
      <c r="AG1480" s="3" t="str">
        <f>"2000006160285143"</f>
        <v>2000006160285143</v>
      </c>
      <c r="AH1480" s="1" t="s">
        <v>58</v>
      </c>
      <c r="AI1480" s="1" t="s">
        <v>59</v>
      </c>
      <c r="AJ1480" s="1" t="s">
        <v>59</v>
      </c>
      <c r="AK1480" s="1" t="s">
        <v>60</v>
      </c>
      <c r="AL1480" s="1" t="s">
        <v>60</v>
      </c>
      <c r="AW1480" s="1" t="s">
        <v>2498</v>
      </c>
      <c r="AY1480" s="1">
        <v>1.0</v>
      </c>
      <c r="AZ1480" s="1">
        <v>89.99</v>
      </c>
      <c r="BB1480" s="1">
        <v>89.99</v>
      </c>
    </row>
    <row r="1481">
      <c r="A1481" s="1" t="s">
        <v>655</v>
      </c>
      <c r="C1481" s="1" t="s">
        <v>56</v>
      </c>
      <c r="D1481" s="1" t="s">
        <v>2499</v>
      </c>
      <c r="Y1481" s="2">
        <v>45515.0</v>
      </c>
      <c r="AE1481" s="1">
        <v>74.99</v>
      </c>
      <c r="AG1481" s="3" t="str">
        <f>"2000006160273711"</f>
        <v>2000006160273711</v>
      </c>
      <c r="AH1481" s="1" t="s">
        <v>58</v>
      </c>
      <c r="AI1481" s="1" t="s">
        <v>59</v>
      </c>
      <c r="AJ1481" s="1" t="s">
        <v>59</v>
      </c>
      <c r="AK1481" s="1" t="s">
        <v>60</v>
      </c>
      <c r="AL1481" s="1" t="s">
        <v>60</v>
      </c>
      <c r="AW1481" s="1" t="s">
        <v>657</v>
      </c>
      <c r="AY1481" s="1">
        <v>1.0</v>
      </c>
      <c r="AZ1481" s="1">
        <v>74.99</v>
      </c>
      <c r="BB1481" s="1">
        <v>74.99</v>
      </c>
    </row>
    <row r="1482">
      <c r="A1482" s="1" t="s">
        <v>283</v>
      </c>
      <c r="C1482" s="1" t="s">
        <v>56</v>
      </c>
      <c r="D1482" s="1" t="s">
        <v>2500</v>
      </c>
      <c r="Y1482" s="2">
        <v>45515.0</v>
      </c>
      <c r="AE1482" s="1">
        <v>499.99</v>
      </c>
      <c r="AG1482" s="3" t="str">
        <f>"2000006160250001"</f>
        <v>2000006160250001</v>
      </c>
      <c r="AH1482" s="1" t="s">
        <v>58</v>
      </c>
      <c r="AI1482" s="1" t="s">
        <v>59</v>
      </c>
      <c r="AJ1482" s="1" t="s">
        <v>59</v>
      </c>
      <c r="AK1482" s="1" t="s">
        <v>60</v>
      </c>
      <c r="AL1482" s="1" t="s">
        <v>60</v>
      </c>
      <c r="AW1482" s="1" t="s">
        <v>285</v>
      </c>
      <c r="AY1482" s="1">
        <v>1.0</v>
      </c>
      <c r="AZ1482" s="1">
        <v>499.99</v>
      </c>
      <c r="BB1482" s="1">
        <v>499.99</v>
      </c>
    </row>
    <row r="1483">
      <c r="A1483" s="1" t="s">
        <v>83</v>
      </c>
      <c r="C1483" s="1" t="s">
        <v>56</v>
      </c>
      <c r="D1483" s="1" t="s">
        <v>2501</v>
      </c>
      <c r="Y1483" s="2">
        <v>45515.0</v>
      </c>
      <c r="AE1483" s="1">
        <v>54.99</v>
      </c>
      <c r="AG1483" s="3" t="str">
        <f>"2000006160221859"</f>
        <v>2000006160221859</v>
      </c>
      <c r="AH1483" s="1" t="s">
        <v>58</v>
      </c>
      <c r="AI1483" s="1" t="s">
        <v>59</v>
      </c>
      <c r="AJ1483" s="1" t="s">
        <v>59</v>
      </c>
      <c r="AK1483" s="1" t="s">
        <v>60</v>
      </c>
      <c r="AL1483" s="1" t="s">
        <v>60</v>
      </c>
      <c r="AW1483" s="1" t="s">
        <v>85</v>
      </c>
      <c r="AY1483" s="1">
        <v>1.0</v>
      </c>
      <c r="AZ1483" s="1">
        <v>54.99</v>
      </c>
      <c r="BB1483" s="1">
        <v>54.99</v>
      </c>
    </row>
    <row r="1484">
      <c r="A1484" s="1" t="s">
        <v>457</v>
      </c>
      <c r="C1484" s="1" t="s">
        <v>56</v>
      </c>
      <c r="D1484" s="1" t="s">
        <v>2502</v>
      </c>
      <c r="Y1484" s="2">
        <v>45515.0</v>
      </c>
      <c r="AE1484" s="1">
        <v>139.99</v>
      </c>
      <c r="AG1484" s="3" t="str">
        <f>"2000006160217433"</f>
        <v>2000006160217433</v>
      </c>
      <c r="AH1484" s="1" t="s">
        <v>58</v>
      </c>
      <c r="AI1484" s="1" t="s">
        <v>59</v>
      </c>
      <c r="AJ1484" s="1" t="s">
        <v>59</v>
      </c>
      <c r="AK1484" s="1" t="s">
        <v>60</v>
      </c>
      <c r="AL1484" s="1" t="s">
        <v>60</v>
      </c>
      <c r="AW1484" s="1" t="s">
        <v>279</v>
      </c>
      <c r="AY1484" s="1">
        <v>1.0</v>
      </c>
      <c r="AZ1484" s="1">
        <v>139.99</v>
      </c>
      <c r="BB1484" s="1">
        <v>139.99</v>
      </c>
    </row>
    <row r="1485">
      <c r="A1485" s="1" t="s">
        <v>933</v>
      </c>
      <c r="C1485" s="1" t="s">
        <v>56</v>
      </c>
      <c r="D1485" s="1" t="s">
        <v>2503</v>
      </c>
      <c r="Y1485" s="2">
        <v>45515.0</v>
      </c>
      <c r="AE1485" s="1">
        <v>79.99</v>
      </c>
      <c r="AG1485" s="3" t="str">
        <f>"2000009009484944"</f>
        <v>2000009009484944</v>
      </c>
      <c r="AH1485" s="1" t="s">
        <v>58</v>
      </c>
      <c r="AI1485" s="1" t="s">
        <v>59</v>
      </c>
      <c r="AJ1485" s="1" t="s">
        <v>59</v>
      </c>
      <c r="AK1485" s="1" t="s">
        <v>60</v>
      </c>
      <c r="AL1485" s="1" t="s">
        <v>60</v>
      </c>
      <c r="AW1485" s="1" t="s">
        <v>935</v>
      </c>
      <c r="AY1485" s="1">
        <v>1.0</v>
      </c>
      <c r="AZ1485" s="1">
        <v>79.99</v>
      </c>
      <c r="BB1485" s="1">
        <v>79.99</v>
      </c>
    </row>
    <row r="1486">
      <c r="A1486" s="1" t="s">
        <v>655</v>
      </c>
      <c r="C1486" s="1" t="s">
        <v>56</v>
      </c>
      <c r="D1486" s="1" t="s">
        <v>2504</v>
      </c>
      <c r="Y1486" s="2">
        <v>45515.0</v>
      </c>
      <c r="AE1486" s="1">
        <v>74.99</v>
      </c>
      <c r="AG1486" s="3" t="str">
        <f>"2000006160133717"</f>
        <v>2000006160133717</v>
      </c>
      <c r="AH1486" s="1" t="s">
        <v>58</v>
      </c>
      <c r="AI1486" s="1" t="s">
        <v>59</v>
      </c>
      <c r="AJ1486" s="1" t="s">
        <v>59</v>
      </c>
      <c r="AK1486" s="1" t="s">
        <v>60</v>
      </c>
      <c r="AL1486" s="1" t="s">
        <v>60</v>
      </c>
      <c r="AW1486" s="1" t="s">
        <v>657</v>
      </c>
      <c r="AY1486" s="1">
        <v>1.0</v>
      </c>
      <c r="AZ1486" s="1">
        <v>74.99</v>
      </c>
      <c r="BB1486" s="1">
        <v>74.99</v>
      </c>
    </row>
    <row r="1487">
      <c r="A1487" s="1" t="s">
        <v>517</v>
      </c>
      <c r="C1487" s="1" t="s">
        <v>56</v>
      </c>
      <c r="D1487" s="1" t="s">
        <v>2505</v>
      </c>
      <c r="Y1487" s="2">
        <v>45515.0</v>
      </c>
      <c r="AE1487" s="1">
        <v>49.99</v>
      </c>
      <c r="AG1487" s="3" t="str">
        <f>"2000006160150177"</f>
        <v>2000006160150177</v>
      </c>
      <c r="AH1487" s="1" t="s">
        <v>58</v>
      </c>
      <c r="AI1487" s="1" t="s">
        <v>59</v>
      </c>
      <c r="AJ1487" s="1" t="s">
        <v>59</v>
      </c>
      <c r="AK1487" s="1" t="s">
        <v>60</v>
      </c>
      <c r="AL1487" s="1" t="s">
        <v>60</v>
      </c>
      <c r="AW1487" s="1" t="s">
        <v>70</v>
      </c>
      <c r="AY1487" s="1">
        <v>1.0</v>
      </c>
      <c r="AZ1487" s="1">
        <v>49.99</v>
      </c>
      <c r="BB1487" s="1">
        <v>49.99</v>
      </c>
    </row>
    <row r="1488">
      <c r="A1488" s="1" t="s">
        <v>502</v>
      </c>
      <c r="C1488" s="1" t="s">
        <v>56</v>
      </c>
      <c r="D1488" s="1" t="s">
        <v>2506</v>
      </c>
      <c r="Y1488" s="2">
        <v>45515.0</v>
      </c>
      <c r="AE1488" s="1">
        <v>99.99</v>
      </c>
      <c r="AG1488" s="3" t="str">
        <f>"2000006160145169"</f>
        <v>2000006160145169</v>
      </c>
      <c r="AH1488" s="1" t="s">
        <v>58</v>
      </c>
      <c r="AI1488" s="1" t="s">
        <v>59</v>
      </c>
      <c r="AJ1488" s="1" t="s">
        <v>59</v>
      </c>
      <c r="AK1488" s="1" t="s">
        <v>60</v>
      </c>
      <c r="AL1488" s="1" t="s">
        <v>60</v>
      </c>
      <c r="AW1488" s="1" t="s">
        <v>504</v>
      </c>
      <c r="AY1488" s="1">
        <v>1.0</v>
      </c>
      <c r="AZ1488" s="1">
        <v>99.99</v>
      </c>
      <c r="BB1488" s="1">
        <v>99.99</v>
      </c>
    </row>
    <row r="1489">
      <c r="A1489" s="1" t="s">
        <v>2507</v>
      </c>
      <c r="C1489" s="1" t="s">
        <v>235</v>
      </c>
      <c r="D1489" s="1" t="s">
        <v>2508</v>
      </c>
      <c r="Y1489" s="2">
        <v>45515.0</v>
      </c>
      <c r="AE1489" s="1">
        <v>99.99</v>
      </c>
      <c r="AG1489" s="3" t="str">
        <f>"2000006160032433"</f>
        <v>2000006160032433</v>
      </c>
      <c r="AH1489" s="1" t="s">
        <v>58</v>
      </c>
      <c r="AI1489" s="1" t="s">
        <v>59</v>
      </c>
      <c r="AJ1489" s="1" t="s">
        <v>59</v>
      </c>
      <c r="AK1489" s="1" t="s">
        <v>60</v>
      </c>
      <c r="AL1489" s="1" t="s">
        <v>60</v>
      </c>
      <c r="AW1489" s="1" t="s">
        <v>2509</v>
      </c>
      <c r="AY1489" s="1">
        <v>1.0</v>
      </c>
      <c r="AZ1489" s="1">
        <v>99.99</v>
      </c>
      <c r="BB1489" s="1">
        <v>99.99</v>
      </c>
    </row>
    <row r="1490">
      <c r="A1490" s="1" t="s">
        <v>539</v>
      </c>
      <c r="C1490" s="1" t="s">
        <v>56</v>
      </c>
      <c r="D1490" s="1" t="s">
        <v>2510</v>
      </c>
      <c r="Y1490" s="2">
        <v>45515.0</v>
      </c>
      <c r="AE1490" s="1">
        <v>73.99</v>
      </c>
      <c r="AG1490" s="3" t="str">
        <f>"2000006160006905"</f>
        <v>2000006160006905</v>
      </c>
      <c r="AH1490" s="1" t="s">
        <v>58</v>
      </c>
      <c r="AI1490" s="1" t="s">
        <v>59</v>
      </c>
      <c r="AJ1490" s="1" t="s">
        <v>59</v>
      </c>
      <c r="AK1490" s="1" t="s">
        <v>60</v>
      </c>
      <c r="AL1490" s="1" t="s">
        <v>60</v>
      </c>
      <c r="AW1490" s="1" t="s">
        <v>541</v>
      </c>
      <c r="AY1490" s="1">
        <v>1.0</v>
      </c>
      <c r="AZ1490" s="1">
        <v>73.99</v>
      </c>
      <c r="BB1490" s="1">
        <v>73.99</v>
      </c>
    </row>
    <row r="1491">
      <c r="A1491" s="1" t="s">
        <v>625</v>
      </c>
      <c r="C1491" s="1" t="s">
        <v>56</v>
      </c>
      <c r="D1491" s="1" t="s">
        <v>2511</v>
      </c>
      <c r="Y1491" s="2">
        <v>45515.0</v>
      </c>
      <c r="AE1491" s="1">
        <v>89.99</v>
      </c>
      <c r="AG1491" s="3" t="str">
        <f>"2000006159980491"</f>
        <v>2000006159980491</v>
      </c>
      <c r="AH1491" s="1" t="s">
        <v>58</v>
      </c>
      <c r="AI1491" s="1" t="s">
        <v>59</v>
      </c>
      <c r="AJ1491" s="1" t="s">
        <v>59</v>
      </c>
      <c r="AK1491" s="1" t="s">
        <v>60</v>
      </c>
      <c r="AL1491" s="1" t="s">
        <v>60</v>
      </c>
      <c r="AW1491" s="1" t="s">
        <v>627</v>
      </c>
      <c r="AY1491" s="1">
        <v>1.0</v>
      </c>
      <c r="AZ1491" s="1">
        <v>89.99</v>
      </c>
      <c r="BB1491" s="1">
        <v>89.99</v>
      </c>
    </row>
    <row r="1492">
      <c r="A1492" s="1" t="s">
        <v>2512</v>
      </c>
      <c r="C1492" s="1" t="s">
        <v>56</v>
      </c>
      <c r="D1492" s="1" t="s">
        <v>2513</v>
      </c>
      <c r="Y1492" s="2">
        <v>45515.0</v>
      </c>
      <c r="AE1492" s="1">
        <v>89.99</v>
      </c>
      <c r="AG1492" s="3" t="str">
        <f>"2000006159953385"</f>
        <v>2000006159953385</v>
      </c>
      <c r="AH1492" s="1" t="s">
        <v>58</v>
      </c>
      <c r="AI1492" s="1" t="s">
        <v>59</v>
      </c>
      <c r="AJ1492" s="1" t="s">
        <v>59</v>
      </c>
      <c r="AK1492" s="1" t="s">
        <v>60</v>
      </c>
      <c r="AL1492" s="1" t="s">
        <v>60</v>
      </c>
      <c r="AW1492" s="1" t="s">
        <v>2514</v>
      </c>
      <c r="AY1492" s="1">
        <v>1.0</v>
      </c>
      <c r="AZ1492" s="1">
        <v>89.99</v>
      </c>
      <c r="BB1492" s="1">
        <v>89.99</v>
      </c>
    </row>
    <row r="1493">
      <c r="A1493" s="1" t="s">
        <v>120</v>
      </c>
      <c r="C1493" s="1" t="s">
        <v>56</v>
      </c>
      <c r="D1493" s="1" t="s">
        <v>2515</v>
      </c>
      <c r="Y1493" s="2">
        <v>45515.0</v>
      </c>
      <c r="AE1493" s="1">
        <v>54.99</v>
      </c>
      <c r="AG1493" s="3" t="str">
        <f>"2000006159947963"</f>
        <v>2000006159947963</v>
      </c>
      <c r="AH1493" s="1" t="s">
        <v>58</v>
      </c>
      <c r="AI1493" s="1" t="s">
        <v>59</v>
      </c>
      <c r="AJ1493" s="1" t="s">
        <v>59</v>
      </c>
      <c r="AK1493" s="1" t="s">
        <v>60</v>
      </c>
      <c r="AL1493" s="1" t="s">
        <v>60</v>
      </c>
      <c r="AW1493" s="1" t="s">
        <v>110</v>
      </c>
      <c r="AY1493" s="1">
        <v>1.0</v>
      </c>
      <c r="AZ1493" s="1">
        <v>54.99</v>
      </c>
      <c r="BB1493" s="1">
        <v>54.99</v>
      </c>
    </row>
    <row r="1494">
      <c r="A1494" s="1" t="s">
        <v>2516</v>
      </c>
      <c r="C1494" s="1" t="s">
        <v>56</v>
      </c>
      <c r="D1494" s="1" t="s">
        <v>2517</v>
      </c>
      <c r="Y1494" s="2">
        <v>45515.0</v>
      </c>
      <c r="AE1494" s="1">
        <v>69.99</v>
      </c>
      <c r="AG1494" s="3" t="str">
        <f>"2000009009045676"</f>
        <v>2000009009045676</v>
      </c>
      <c r="AH1494" s="1" t="s">
        <v>58</v>
      </c>
      <c r="AI1494" s="1" t="s">
        <v>59</v>
      </c>
      <c r="AJ1494" s="1" t="s">
        <v>59</v>
      </c>
      <c r="AK1494" s="1" t="s">
        <v>60</v>
      </c>
      <c r="AL1494" s="1" t="s">
        <v>60</v>
      </c>
      <c r="AW1494" s="1" t="s">
        <v>2518</v>
      </c>
      <c r="AY1494" s="1">
        <v>1.0</v>
      </c>
      <c r="AZ1494" s="1">
        <v>69.99</v>
      </c>
      <c r="BB1494" s="1">
        <v>69.99</v>
      </c>
    </row>
    <row r="1495">
      <c r="A1495" s="1" t="s">
        <v>2519</v>
      </c>
      <c r="C1495" s="1" t="s">
        <v>56</v>
      </c>
      <c r="D1495" s="1" t="s">
        <v>2520</v>
      </c>
      <c r="Y1495" s="2">
        <v>45515.0</v>
      </c>
      <c r="AE1495" s="1">
        <v>119.98</v>
      </c>
      <c r="AG1495" s="3" t="str">
        <f>"2000006159855111"</f>
        <v>2000006159855111</v>
      </c>
      <c r="AH1495" s="1" t="s">
        <v>58</v>
      </c>
      <c r="AI1495" s="1" t="s">
        <v>59</v>
      </c>
      <c r="AJ1495" s="1" t="s">
        <v>59</v>
      </c>
      <c r="AK1495" s="1" t="s">
        <v>60</v>
      </c>
      <c r="AL1495" s="1" t="s">
        <v>60</v>
      </c>
      <c r="AW1495" s="1" t="s">
        <v>2325</v>
      </c>
      <c r="AY1495" s="1">
        <v>2.0</v>
      </c>
      <c r="AZ1495" s="1">
        <v>59.99</v>
      </c>
      <c r="BB1495" s="1">
        <v>119.98</v>
      </c>
    </row>
    <row r="1496">
      <c r="A1496" s="1" t="s">
        <v>2521</v>
      </c>
      <c r="C1496" s="1" t="s">
        <v>56</v>
      </c>
      <c r="D1496" s="1" t="s">
        <v>2522</v>
      </c>
      <c r="Y1496" s="2">
        <v>45515.0</v>
      </c>
      <c r="AE1496" s="1">
        <v>69.99</v>
      </c>
      <c r="AG1496" s="3" t="str">
        <f>"2000006159887787"</f>
        <v>2000006159887787</v>
      </c>
      <c r="AH1496" s="1" t="s">
        <v>58</v>
      </c>
      <c r="AI1496" s="1" t="s">
        <v>59</v>
      </c>
      <c r="AJ1496" s="1" t="s">
        <v>59</v>
      </c>
      <c r="AK1496" s="1" t="s">
        <v>60</v>
      </c>
      <c r="AL1496" s="1" t="s">
        <v>60</v>
      </c>
      <c r="AW1496" s="1" t="s">
        <v>2523</v>
      </c>
      <c r="AY1496" s="1">
        <v>1.0</v>
      </c>
      <c r="AZ1496" s="1">
        <v>69.99</v>
      </c>
      <c r="BB1496" s="1">
        <v>69.99</v>
      </c>
    </row>
    <row r="1497">
      <c r="A1497" s="1" t="s">
        <v>1336</v>
      </c>
      <c r="C1497" s="1" t="s">
        <v>56</v>
      </c>
      <c r="D1497" s="1" t="s">
        <v>2524</v>
      </c>
      <c r="Y1497" s="2">
        <v>45515.0</v>
      </c>
      <c r="AE1497" s="1">
        <v>49.99</v>
      </c>
      <c r="AG1497" s="3" t="str">
        <f>"2000006159873939"</f>
        <v>2000006159873939</v>
      </c>
      <c r="AH1497" s="1" t="s">
        <v>58</v>
      </c>
      <c r="AI1497" s="1" t="s">
        <v>59</v>
      </c>
      <c r="AJ1497" s="1" t="s">
        <v>59</v>
      </c>
      <c r="AK1497" s="1" t="s">
        <v>60</v>
      </c>
      <c r="AL1497" s="1" t="s">
        <v>60</v>
      </c>
      <c r="AW1497" s="1" t="s">
        <v>1338</v>
      </c>
      <c r="AY1497" s="1">
        <v>1.0</v>
      </c>
      <c r="AZ1497" s="1">
        <v>49.99</v>
      </c>
      <c r="BB1497" s="1">
        <v>49.99</v>
      </c>
    </row>
    <row r="1498">
      <c r="A1498" s="1" t="s">
        <v>577</v>
      </c>
      <c r="C1498" s="1" t="s">
        <v>56</v>
      </c>
      <c r="D1498" s="1" t="s">
        <v>2525</v>
      </c>
      <c r="Y1498" s="2">
        <v>45515.0</v>
      </c>
      <c r="AE1498" s="1">
        <v>52.99</v>
      </c>
      <c r="AG1498" s="3" t="str">
        <f t="shared" ref="AG1498:AG1499" si="60">"2000006159821341"</f>
        <v>2000006159821341</v>
      </c>
      <c r="AH1498" s="1" t="s">
        <v>58</v>
      </c>
      <c r="AI1498" s="1" t="s">
        <v>59</v>
      </c>
      <c r="AJ1498" s="1" t="s">
        <v>59</v>
      </c>
      <c r="AK1498" s="1" t="s">
        <v>60</v>
      </c>
      <c r="AL1498" s="1" t="s">
        <v>60</v>
      </c>
      <c r="AW1498" s="1" t="s">
        <v>579</v>
      </c>
      <c r="AY1498" s="1">
        <v>1.0</v>
      </c>
      <c r="AZ1498" s="1">
        <v>52.99</v>
      </c>
      <c r="BB1498" s="1">
        <v>52.99</v>
      </c>
    </row>
    <row r="1499">
      <c r="A1499" s="1" t="s">
        <v>1748</v>
      </c>
      <c r="C1499" s="1" t="s">
        <v>56</v>
      </c>
      <c r="D1499" s="1" t="s">
        <v>2525</v>
      </c>
      <c r="Y1499" s="2">
        <v>45515.0</v>
      </c>
      <c r="AE1499" s="1">
        <v>69.99</v>
      </c>
      <c r="AG1499" s="3" t="str">
        <f t="shared" si="60"/>
        <v>2000006159821341</v>
      </c>
      <c r="AH1499" s="1" t="s">
        <v>58</v>
      </c>
      <c r="AI1499" s="1" t="s">
        <v>59</v>
      </c>
      <c r="AJ1499" s="1" t="s">
        <v>59</v>
      </c>
      <c r="AK1499" s="1" t="s">
        <v>60</v>
      </c>
      <c r="AL1499" s="1" t="s">
        <v>60</v>
      </c>
      <c r="AW1499" s="1" t="s">
        <v>1750</v>
      </c>
      <c r="AY1499" s="1">
        <v>1.0</v>
      </c>
      <c r="AZ1499" s="1">
        <v>69.99</v>
      </c>
      <c r="BB1499" s="1">
        <v>69.99</v>
      </c>
    </row>
    <row r="1500">
      <c r="A1500" s="1" t="s">
        <v>2526</v>
      </c>
      <c r="C1500" s="1" t="s">
        <v>56</v>
      </c>
      <c r="D1500" s="1" t="s">
        <v>2527</v>
      </c>
      <c r="Y1500" s="2">
        <v>45515.0</v>
      </c>
      <c r="AE1500" s="1">
        <v>109.99</v>
      </c>
      <c r="AG1500" s="3" t="str">
        <f>"2000009008831132"</f>
        <v>2000009008831132</v>
      </c>
      <c r="AH1500" s="1" t="s">
        <v>58</v>
      </c>
      <c r="AI1500" s="1" t="s">
        <v>59</v>
      </c>
      <c r="AJ1500" s="1" t="s">
        <v>59</v>
      </c>
      <c r="AK1500" s="1" t="s">
        <v>60</v>
      </c>
      <c r="AL1500" s="1" t="s">
        <v>60</v>
      </c>
      <c r="AW1500" s="1" t="s">
        <v>76</v>
      </c>
      <c r="AY1500" s="1">
        <v>1.0</v>
      </c>
      <c r="AZ1500" s="1">
        <v>109.99</v>
      </c>
      <c r="BB1500" s="1">
        <v>109.99</v>
      </c>
    </row>
    <row r="1501">
      <c r="A1501" s="1" t="s">
        <v>62</v>
      </c>
      <c r="C1501" s="1" t="s">
        <v>235</v>
      </c>
      <c r="D1501" s="1" t="s">
        <v>2528</v>
      </c>
      <c r="Y1501" s="2">
        <v>45515.0</v>
      </c>
      <c r="AE1501" s="1">
        <v>249.99</v>
      </c>
      <c r="AG1501" s="3" t="str">
        <f>"2000009007923476"</f>
        <v>2000009007923476</v>
      </c>
      <c r="AH1501" s="1" t="s">
        <v>58</v>
      </c>
      <c r="AI1501" s="1" t="s">
        <v>59</v>
      </c>
      <c r="AJ1501" s="1" t="s">
        <v>59</v>
      </c>
      <c r="AK1501" s="1" t="s">
        <v>60</v>
      </c>
      <c r="AL1501" s="1" t="s">
        <v>60</v>
      </c>
      <c r="AW1501" s="1" t="s">
        <v>2529</v>
      </c>
      <c r="AY1501" s="1">
        <v>1.0</v>
      </c>
      <c r="AZ1501" s="1">
        <v>249.99</v>
      </c>
      <c r="BB1501" s="1">
        <v>249.99</v>
      </c>
    </row>
    <row r="1502">
      <c r="A1502" s="1" t="s">
        <v>2530</v>
      </c>
      <c r="C1502" s="1" t="s">
        <v>235</v>
      </c>
      <c r="D1502" s="1" t="s">
        <v>2531</v>
      </c>
      <c r="Y1502" s="2">
        <v>45515.0</v>
      </c>
      <c r="AE1502" s="1">
        <v>49.99</v>
      </c>
      <c r="AG1502" s="3" t="str">
        <f>"2000006159784485"</f>
        <v>2000006159784485</v>
      </c>
      <c r="AH1502" s="1" t="s">
        <v>58</v>
      </c>
      <c r="AI1502" s="1" t="s">
        <v>59</v>
      </c>
      <c r="AJ1502" s="1" t="s">
        <v>59</v>
      </c>
      <c r="AK1502" s="1" t="s">
        <v>60</v>
      </c>
      <c r="AL1502" s="1" t="s">
        <v>60</v>
      </c>
      <c r="AW1502" s="1" t="s">
        <v>1950</v>
      </c>
      <c r="AY1502" s="1">
        <v>1.0</v>
      </c>
      <c r="AZ1502" s="1">
        <v>49.99</v>
      </c>
      <c r="BB1502" s="1">
        <v>49.99</v>
      </c>
    </row>
    <row r="1503">
      <c r="A1503" s="1" t="s">
        <v>994</v>
      </c>
      <c r="C1503" s="1" t="s">
        <v>56</v>
      </c>
      <c r="D1503" s="1" t="s">
        <v>2532</v>
      </c>
      <c r="Y1503" s="2">
        <v>45515.0</v>
      </c>
      <c r="AE1503" s="1">
        <v>64.99</v>
      </c>
      <c r="AG1503" s="3" t="str">
        <f>"2000006159773037"</f>
        <v>2000006159773037</v>
      </c>
      <c r="AH1503" s="1" t="s">
        <v>58</v>
      </c>
      <c r="AI1503" s="1" t="s">
        <v>59</v>
      </c>
      <c r="AJ1503" s="1" t="s">
        <v>59</v>
      </c>
      <c r="AK1503" s="1" t="s">
        <v>60</v>
      </c>
      <c r="AL1503" s="1" t="s">
        <v>60</v>
      </c>
      <c r="AW1503" s="1" t="s">
        <v>313</v>
      </c>
      <c r="AY1503" s="1">
        <v>1.0</v>
      </c>
      <c r="AZ1503" s="1">
        <v>64.99</v>
      </c>
      <c r="BB1503" s="1">
        <v>64.99</v>
      </c>
    </row>
    <row r="1504">
      <c r="A1504" s="1" t="s">
        <v>86</v>
      </c>
      <c r="C1504" s="1" t="s">
        <v>56</v>
      </c>
      <c r="D1504" s="1" t="s">
        <v>2533</v>
      </c>
      <c r="Y1504" s="2">
        <v>45515.0</v>
      </c>
      <c r="AE1504" s="1">
        <v>64.99</v>
      </c>
      <c r="AG1504" s="3" t="str">
        <f>"2000006159736749"</f>
        <v>2000006159736749</v>
      </c>
      <c r="AH1504" s="1" t="s">
        <v>58</v>
      </c>
      <c r="AI1504" s="1" t="s">
        <v>59</v>
      </c>
      <c r="AJ1504" s="1" t="s">
        <v>59</v>
      </c>
      <c r="AK1504" s="1" t="s">
        <v>60</v>
      </c>
      <c r="AL1504" s="1" t="s">
        <v>60</v>
      </c>
      <c r="AW1504" s="1" t="s">
        <v>88</v>
      </c>
      <c r="AY1504" s="1">
        <v>1.0</v>
      </c>
      <c r="AZ1504" s="1">
        <v>64.99</v>
      </c>
      <c r="BB1504" s="1">
        <v>64.99</v>
      </c>
    </row>
    <row r="1505">
      <c r="A1505" s="1" t="s">
        <v>108</v>
      </c>
      <c r="C1505" s="1" t="s">
        <v>56</v>
      </c>
      <c r="D1505" s="1" t="s">
        <v>2534</v>
      </c>
      <c r="Y1505" s="2">
        <v>45515.0</v>
      </c>
      <c r="AE1505" s="1">
        <v>54.99</v>
      </c>
      <c r="AG1505" s="3" t="str">
        <f t="shared" ref="AG1505:AG1506" si="61">"2000006159741715"</f>
        <v>2000006159741715</v>
      </c>
      <c r="AH1505" s="1" t="s">
        <v>58</v>
      </c>
      <c r="AI1505" s="1" t="s">
        <v>59</v>
      </c>
      <c r="AJ1505" s="1" t="s">
        <v>59</v>
      </c>
      <c r="AK1505" s="1" t="s">
        <v>60</v>
      </c>
      <c r="AL1505" s="1" t="s">
        <v>60</v>
      </c>
      <c r="AW1505" s="1" t="s">
        <v>110</v>
      </c>
      <c r="AY1505" s="1">
        <v>1.0</v>
      </c>
      <c r="AZ1505" s="1">
        <v>54.99</v>
      </c>
      <c r="BB1505" s="1">
        <v>54.99</v>
      </c>
    </row>
    <row r="1506">
      <c r="A1506" s="1" t="s">
        <v>120</v>
      </c>
      <c r="C1506" s="1" t="s">
        <v>56</v>
      </c>
      <c r="D1506" s="1" t="s">
        <v>2534</v>
      </c>
      <c r="Y1506" s="2">
        <v>45515.0</v>
      </c>
      <c r="AE1506" s="1">
        <v>54.99</v>
      </c>
      <c r="AG1506" s="3" t="str">
        <f t="shared" si="61"/>
        <v>2000006159741715</v>
      </c>
      <c r="AH1506" s="1" t="s">
        <v>58</v>
      </c>
      <c r="AI1506" s="1" t="s">
        <v>59</v>
      </c>
      <c r="AJ1506" s="1" t="s">
        <v>59</v>
      </c>
      <c r="AK1506" s="1" t="s">
        <v>60</v>
      </c>
      <c r="AL1506" s="1" t="s">
        <v>60</v>
      </c>
      <c r="AW1506" s="1" t="s">
        <v>110</v>
      </c>
      <c r="AY1506" s="1">
        <v>1.0</v>
      </c>
      <c r="AZ1506" s="1">
        <v>54.99</v>
      </c>
      <c r="BB1506" s="1">
        <v>54.99</v>
      </c>
    </row>
    <row r="1507">
      <c r="A1507" s="1" t="s">
        <v>2535</v>
      </c>
      <c r="C1507" s="1" t="s">
        <v>56</v>
      </c>
      <c r="D1507" s="1" t="s">
        <v>2536</v>
      </c>
      <c r="Y1507" s="2">
        <v>45515.0</v>
      </c>
      <c r="AE1507" s="1">
        <v>289.99</v>
      </c>
      <c r="AG1507" s="3" t="str">
        <f>"2000009008688644"</f>
        <v>2000009008688644</v>
      </c>
      <c r="AH1507" s="1" t="s">
        <v>58</v>
      </c>
      <c r="AI1507" s="1" t="s">
        <v>59</v>
      </c>
      <c r="AJ1507" s="1" t="s">
        <v>59</v>
      </c>
      <c r="AK1507" s="1" t="s">
        <v>60</v>
      </c>
      <c r="AL1507" s="1" t="s">
        <v>60</v>
      </c>
      <c r="AW1507" s="1" t="s">
        <v>2537</v>
      </c>
      <c r="AY1507" s="1">
        <v>1.0</v>
      </c>
      <c r="AZ1507" s="1">
        <v>289.99</v>
      </c>
      <c r="BB1507" s="1">
        <v>289.99</v>
      </c>
    </row>
    <row r="1508">
      <c r="A1508" s="1" t="s">
        <v>2538</v>
      </c>
      <c r="C1508" s="1" t="s">
        <v>56</v>
      </c>
      <c r="D1508" s="1" t="s">
        <v>2539</v>
      </c>
      <c r="Y1508" s="2">
        <v>45515.0</v>
      </c>
      <c r="AE1508" s="1">
        <v>67.99</v>
      </c>
      <c r="AG1508" s="3" t="str">
        <f>"2000006159716429"</f>
        <v>2000006159716429</v>
      </c>
      <c r="AH1508" s="1" t="s">
        <v>58</v>
      </c>
      <c r="AI1508" s="1" t="s">
        <v>59</v>
      </c>
      <c r="AJ1508" s="1" t="s">
        <v>59</v>
      </c>
      <c r="AK1508" s="1" t="s">
        <v>60</v>
      </c>
      <c r="AL1508" s="1" t="s">
        <v>60</v>
      </c>
      <c r="AW1508" s="1" t="s">
        <v>2540</v>
      </c>
      <c r="AY1508" s="1">
        <v>1.0</v>
      </c>
      <c r="AZ1508" s="1">
        <v>67.99</v>
      </c>
      <c r="BB1508" s="1">
        <v>67.99</v>
      </c>
    </row>
    <row r="1509">
      <c r="A1509" s="1" t="s">
        <v>153</v>
      </c>
      <c r="C1509" s="1" t="s">
        <v>56</v>
      </c>
      <c r="D1509" s="1" t="s">
        <v>2541</v>
      </c>
      <c r="Y1509" s="2">
        <v>45515.0</v>
      </c>
      <c r="AE1509" s="1">
        <v>47.18</v>
      </c>
      <c r="AG1509" s="3" t="str">
        <f t="shared" ref="AG1509:AG1510" si="62">"2000006159709637"</f>
        <v>2000006159709637</v>
      </c>
      <c r="AH1509" s="1" t="s">
        <v>58</v>
      </c>
      <c r="AI1509" s="1" t="s">
        <v>59</v>
      </c>
      <c r="AJ1509" s="1" t="s">
        <v>59</v>
      </c>
      <c r="AK1509" s="1" t="s">
        <v>60</v>
      </c>
      <c r="AL1509" s="1" t="s">
        <v>60</v>
      </c>
      <c r="AW1509" s="1" t="s">
        <v>155</v>
      </c>
      <c r="AY1509" s="1">
        <v>1.0</v>
      </c>
      <c r="AZ1509" s="1">
        <v>47.18</v>
      </c>
      <c r="BB1509" s="1">
        <v>47.18</v>
      </c>
    </row>
    <row r="1510">
      <c r="A1510" s="1" t="s">
        <v>360</v>
      </c>
      <c r="C1510" s="1" t="s">
        <v>56</v>
      </c>
      <c r="D1510" s="1" t="s">
        <v>2541</v>
      </c>
      <c r="Y1510" s="2">
        <v>45515.0</v>
      </c>
      <c r="AE1510" s="1">
        <v>47.18</v>
      </c>
      <c r="AG1510" s="3" t="str">
        <f t="shared" si="62"/>
        <v>2000006159709637</v>
      </c>
      <c r="AH1510" s="1" t="s">
        <v>58</v>
      </c>
      <c r="AI1510" s="1" t="s">
        <v>59</v>
      </c>
      <c r="AJ1510" s="1" t="s">
        <v>59</v>
      </c>
      <c r="AK1510" s="1" t="s">
        <v>60</v>
      </c>
      <c r="AL1510" s="1" t="s">
        <v>60</v>
      </c>
      <c r="AW1510" s="1" t="s">
        <v>155</v>
      </c>
      <c r="AY1510" s="1">
        <v>1.0</v>
      </c>
      <c r="AZ1510" s="1">
        <v>47.18</v>
      </c>
      <c r="BB1510" s="1">
        <v>47.18</v>
      </c>
    </row>
    <row r="1511">
      <c r="A1511" s="1" t="s">
        <v>2542</v>
      </c>
      <c r="C1511" s="1" t="s">
        <v>235</v>
      </c>
      <c r="D1511" s="1" t="s">
        <v>2543</v>
      </c>
      <c r="Y1511" s="2">
        <v>45515.0</v>
      </c>
      <c r="AE1511" s="1">
        <v>519.98</v>
      </c>
      <c r="AG1511" s="3" t="str">
        <f>"2000006159674447"</f>
        <v>2000006159674447</v>
      </c>
      <c r="AH1511" s="1" t="s">
        <v>58</v>
      </c>
      <c r="AI1511" s="1" t="s">
        <v>59</v>
      </c>
      <c r="AJ1511" s="1" t="s">
        <v>59</v>
      </c>
      <c r="AK1511" s="1" t="s">
        <v>60</v>
      </c>
      <c r="AL1511" s="1" t="s">
        <v>60</v>
      </c>
      <c r="AW1511" s="1" t="s">
        <v>2544</v>
      </c>
      <c r="AY1511" s="1">
        <v>2.0</v>
      </c>
      <c r="AZ1511" s="1">
        <v>259.99</v>
      </c>
      <c r="BB1511" s="1">
        <v>519.98</v>
      </c>
    </row>
    <row r="1512">
      <c r="A1512" s="1" t="s">
        <v>2436</v>
      </c>
      <c r="C1512" s="1" t="s">
        <v>56</v>
      </c>
      <c r="D1512" s="1" t="s">
        <v>2545</v>
      </c>
      <c r="Y1512" s="2">
        <v>45515.0</v>
      </c>
      <c r="AE1512" s="1">
        <v>59.99</v>
      </c>
      <c r="AG1512" s="3" t="str">
        <f>"2000009008524262"</f>
        <v>2000009008524262</v>
      </c>
      <c r="AH1512" s="1" t="s">
        <v>58</v>
      </c>
      <c r="AI1512" s="1" t="s">
        <v>59</v>
      </c>
      <c r="AJ1512" s="1" t="s">
        <v>59</v>
      </c>
      <c r="AK1512" s="1" t="s">
        <v>60</v>
      </c>
      <c r="AL1512" s="1" t="s">
        <v>60</v>
      </c>
      <c r="AW1512" s="1" t="s">
        <v>2438</v>
      </c>
      <c r="AY1512" s="1">
        <v>1.0</v>
      </c>
      <c r="AZ1512" s="1">
        <v>59.99</v>
      </c>
      <c r="BB1512" s="1">
        <v>59.99</v>
      </c>
    </row>
    <row r="1513">
      <c r="A1513" s="1" t="s">
        <v>2126</v>
      </c>
      <c r="C1513" s="1" t="s">
        <v>56</v>
      </c>
      <c r="D1513" s="1" t="s">
        <v>2546</v>
      </c>
      <c r="Y1513" s="2">
        <v>45515.0</v>
      </c>
      <c r="AE1513" s="1">
        <v>44.99</v>
      </c>
      <c r="AG1513" s="3" t="str">
        <f>"2000006159636425"</f>
        <v>2000006159636425</v>
      </c>
      <c r="AH1513" s="1" t="s">
        <v>58</v>
      </c>
      <c r="AI1513" s="1" t="s">
        <v>59</v>
      </c>
      <c r="AJ1513" s="1" t="s">
        <v>59</v>
      </c>
      <c r="AK1513" s="1" t="s">
        <v>60</v>
      </c>
      <c r="AL1513" s="1" t="s">
        <v>60</v>
      </c>
      <c r="AW1513" s="1" t="s">
        <v>2128</v>
      </c>
      <c r="AY1513" s="1">
        <v>1.0</v>
      </c>
      <c r="AZ1513" s="1">
        <v>44.99</v>
      </c>
      <c r="BB1513" s="1">
        <v>44.99</v>
      </c>
    </row>
    <row r="1514">
      <c r="A1514" s="1" t="s">
        <v>953</v>
      </c>
      <c r="C1514" s="1" t="s">
        <v>56</v>
      </c>
      <c r="D1514" s="1" t="s">
        <v>2547</v>
      </c>
      <c r="Y1514" s="2">
        <v>45515.0</v>
      </c>
      <c r="AE1514" s="1">
        <v>79.98</v>
      </c>
      <c r="AG1514" s="3" t="str">
        <f>"2000006159632367"</f>
        <v>2000006159632367</v>
      </c>
      <c r="AH1514" s="1" t="s">
        <v>58</v>
      </c>
      <c r="AI1514" s="1" t="s">
        <v>59</v>
      </c>
      <c r="AJ1514" s="1" t="s">
        <v>59</v>
      </c>
      <c r="AK1514" s="1" t="s">
        <v>60</v>
      </c>
      <c r="AL1514" s="1" t="s">
        <v>60</v>
      </c>
      <c r="AW1514" s="1" t="s">
        <v>955</v>
      </c>
      <c r="AY1514" s="1">
        <v>2.0</v>
      </c>
      <c r="AZ1514" s="1">
        <v>39.99</v>
      </c>
      <c r="BB1514" s="1">
        <v>79.98</v>
      </c>
    </row>
    <row r="1515">
      <c r="A1515" s="1" t="s">
        <v>771</v>
      </c>
      <c r="C1515" s="1" t="s">
        <v>56</v>
      </c>
      <c r="D1515" s="1" t="s">
        <v>2548</v>
      </c>
      <c r="Y1515" s="2">
        <v>45515.0</v>
      </c>
      <c r="AE1515" s="1">
        <v>139.98</v>
      </c>
      <c r="AG1515" s="3" t="str">
        <f>"2000006159629893"</f>
        <v>2000006159629893</v>
      </c>
      <c r="AH1515" s="1" t="s">
        <v>58</v>
      </c>
      <c r="AI1515" s="1" t="s">
        <v>59</v>
      </c>
      <c r="AJ1515" s="1" t="s">
        <v>59</v>
      </c>
      <c r="AK1515" s="1" t="s">
        <v>60</v>
      </c>
      <c r="AL1515" s="1" t="s">
        <v>60</v>
      </c>
      <c r="AW1515" s="1" t="s">
        <v>773</v>
      </c>
      <c r="AY1515" s="1">
        <v>1.0</v>
      </c>
      <c r="AZ1515" s="1">
        <v>139.98</v>
      </c>
      <c r="BB1515" s="1">
        <v>139.98</v>
      </c>
    </row>
    <row r="1516">
      <c r="A1516" s="1" t="s">
        <v>169</v>
      </c>
      <c r="C1516" s="1" t="s">
        <v>56</v>
      </c>
      <c r="D1516" s="1" t="s">
        <v>2549</v>
      </c>
      <c r="Y1516" s="2">
        <v>45515.0</v>
      </c>
      <c r="AE1516" s="1">
        <v>109.99</v>
      </c>
      <c r="AG1516" s="3" t="str">
        <f>"2000006159629965"</f>
        <v>2000006159629965</v>
      </c>
      <c r="AH1516" s="1" t="s">
        <v>58</v>
      </c>
      <c r="AI1516" s="1" t="s">
        <v>59</v>
      </c>
      <c r="AJ1516" s="1" t="s">
        <v>59</v>
      </c>
      <c r="AK1516" s="1" t="s">
        <v>60</v>
      </c>
      <c r="AL1516" s="1" t="s">
        <v>60</v>
      </c>
      <c r="AW1516" s="1" t="s">
        <v>171</v>
      </c>
      <c r="AY1516" s="1">
        <v>1.0</v>
      </c>
      <c r="AZ1516" s="1">
        <v>109.99</v>
      </c>
      <c r="BB1516" s="1">
        <v>109.99</v>
      </c>
    </row>
    <row r="1517">
      <c r="A1517" s="1" t="s">
        <v>1031</v>
      </c>
      <c r="C1517" s="1" t="s">
        <v>56</v>
      </c>
      <c r="D1517" s="1" t="s">
        <v>2550</v>
      </c>
      <c r="Y1517" s="2">
        <v>45515.0</v>
      </c>
      <c r="AE1517" s="1">
        <v>69.99</v>
      </c>
      <c r="AG1517" s="3" t="str">
        <f>"2000006159051549"</f>
        <v>2000006159051549</v>
      </c>
      <c r="AH1517" s="1" t="s">
        <v>58</v>
      </c>
      <c r="AI1517" s="1" t="s">
        <v>59</v>
      </c>
      <c r="AJ1517" s="1" t="s">
        <v>59</v>
      </c>
      <c r="AK1517" s="1" t="s">
        <v>60</v>
      </c>
      <c r="AL1517" s="1" t="s">
        <v>60</v>
      </c>
      <c r="AW1517" s="1" t="s">
        <v>1033</v>
      </c>
      <c r="AY1517" s="1">
        <v>1.0</v>
      </c>
      <c r="AZ1517" s="1">
        <v>69.99</v>
      </c>
      <c r="BB1517" s="1">
        <v>69.99</v>
      </c>
    </row>
    <row r="1518">
      <c r="A1518" s="1" t="s">
        <v>1442</v>
      </c>
      <c r="C1518" s="1" t="s">
        <v>56</v>
      </c>
      <c r="D1518" s="1" t="s">
        <v>2551</v>
      </c>
      <c r="Y1518" s="2">
        <v>45515.0</v>
      </c>
      <c r="AE1518" s="1">
        <v>99.99</v>
      </c>
      <c r="AG1518" s="3" t="str">
        <f>"2000006159583297"</f>
        <v>2000006159583297</v>
      </c>
      <c r="AH1518" s="1" t="s">
        <v>58</v>
      </c>
      <c r="AI1518" s="1" t="s">
        <v>59</v>
      </c>
      <c r="AJ1518" s="1" t="s">
        <v>59</v>
      </c>
      <c r="AK1518" s="1" t="s">
        <v>60</v>
      </c>
      <c r="AL1518" s="1" t="s">
        <v>60</v>
      </c>
      <c r="AW1518" s="1" t="s">
        <v>1443</v>
      </c>
      <c r="AY1518" s="1">
        <v>1.0</v>
      </c>
      <c r="AZ1518" s="1">
        <v>99.99</v>
      </c>
      <c r="BB1518" s="1">
        <v>99.99</v>
      </c>
    </row>
    <row r="1519">
      <c r="A1519" s="1" t="s">
        <v>950</v>
      </c>
      <c r="C1519" s="1" t="s">
        <v>56</v>
      </c>
      <c r="D1519" s="1" t="s">
        <v>2552</v>
      </c>
      <c r="Y1519" s="2">
        <v>45515.0</v>
      </c>
      <c r="AE1519" s="1">
        <v>119.99</v>
      </c>
      <c r="AG1519" s="3" t="str">
        <f>"2000006159553605"</f>
        <v>2000006159553605</v>
      </c>
      <c r="AH1519" s="1" t="s">
        <v>58</v>
      </c>
      <c r="AI1519" s="1" t="s">
        <v>59</v>
      </c>
      <c r="AJ1519" s="1" t="s">
        <v>59</v>
      </c>
      <c r="AK1519" s="1" t="s">
        <v>60</v>
      </c>
      <c r="AL1519" s="1" t="s">
        <v>60</v>
      </c>
      <c r="AW1519" s="1" t="s">
        <v>952</v>
      </c>
      <c r="AY1519" s="1">
        <v>1.0</v>
      </c>
      <c r="AZ1519" s="1">
        <v>119.99</v>
      </c>
      <c r="BB1519" s="1">
        <v>119.99</v>
      </c>
    </row>
    <row r="1520">
      <c r="A1520" s="1" t="s">
        <v>2195</v>
      </c>
      <c r="C1520" s="1" t="s">
        <v>56</v>
      </c>
      <c r="D1520" s="1" t="s">
        <v>2553</v>
      </c>
      <c r="Y1520" s="2">
        <v>45515.0</v>
      </c>
      <c r="AE1520" s="1">
        <v>44.99</v>
      </c>
      <c r="AG1520" s="3" t="str">
        <f>"2000009008336506"</f>
        <v>2000009008336506</v>
      </c>
      <c r="AH1520" s="1" t="s">
        <v>58</v>
      </c>
      <c r="AI1520" s="1" t="s">
        <v>59</v>
      </c>
      <c r="AJ1520" s="1" t="s">
        <v>59</v>
      </c>
      <c r="AK1520" s="1" t="s">
        <v>60</v>
      </c>
      <c r="AL1520" s="1" t="s">
        <v>60</v>
      </c>
      <c r="AW1520" s="1" t="s">
        <v>2197</v>
      </c>
      <c r="AY1520" s="1">
        <v>1.0</v>
      </c>
      <c r="AZ1520" s="1">
        <v>44.99</v>
      </c>
      <c r="BB1520" s="1">
        <v>44.99</v>
      </c>
    </row>
    <row r="1521">
      <c r="A1521" s="1" t="s">
        <v>872</v>
      </c>
      <c r="C1521" s="1" t="s">
        <v>56</v>
      </c>
      <c r="D1521" s="1" t="s">
        <v>2554</v>
      </c>
      <c r="Y1521" s="2">
        <v>45515.0</v>
      </c>
      <c r="AE1521" s="1">
        <v>249.99</v>
      </c>
      <c r="AG1521" s="3" t="str">
        <f>"2000009008338236"</f>
        <v>2000009008338236</v>
      </c>
      <c r="AH1521" s="1" t="s">
        <v>58</v>
      </c>
      <c r="AI1521" s="1" t="s">
        <v>59</v>
      </c>
      <c r="AJ1521" s="1" t="s">
        <v>59</v>
      </c>
      <c r="AK1521" s="1" t="s">
        <v>60</v>
      </c>
      <c r="AL1521" s="1" t="s">
        <v>60</v>
      </c>
      <c r="AW1521" s="1" t="s">
        <v>874</v>
      </c>
      <c r="AY1521" s="1">
        <v>1.0</v>
      </c>
      <c r="AZ1521" s="1">
        <v>249.99</v>
      </c>
      <c r="BB1521" s="1">
        <v>249.99</v>
      </c>
    </row>
    <row r="1522">
      <c r="A1522" s="1" t="s">
        <v>484</v>
      </c>
      <c r="C1522" s="1" t="s">
        <v>56</v>
      </c>
      <c r="D1522" s="1" t="s">
        <v>2555</v>
      </c>
      <c r="Y1522" s="2">
        <v>45515.0</v>
      </c>
      <c r="AE1522" s="1">
        <v>74.99</v>
      </c>
      <c r="AG1522" s="3" t="str">
        <f>"2000006159471643"</f>
        <v>2000006159471643</v>
      </c>
      <c r="AH1522" s="1" t="s">
        <v>58</v>
      </c>
      <c r="AI1522" s="1" t="s">
        <v>59</v>
      </c>
      <c r="AJ1522" s="1" t="s">
        <v>59</v>
      </c>
      <c r="AK1522" s="1" t="s">
        <v>60</v>
      </c>
      <c r="AL1522" s="1" t="s">
        <v>60</v>
      </c>
      <c r="AW1522" s="1" t="s">
        <v>486</v>
      </c>
      <c r="AY1522" s="1">
        <v>1.0</v>
      </c>
      <c r="AZ1522" s="1">
        <v>74.99</v>
      </c>
      <c r="BB1522" s="1">
        <v>74.99</v>
      </c>
    </row>
    <row r="1523">
      <c r="A1523" s="1" t="s">
        <v>655</v>
      </c>
      <c r="C1523" s="1" t="s">
        <v>235</v>
      </c>
      <c r="D1523" s="1" t="s">
        <v>2556</v>
      </c>
      <c r="Y1523" s="2">
        <v>45515.0</v>
      </c>
      <c r="AE1523" s="1">
        <v>74.99</v>
      </c>
      <c r="AG1523" s="3" t="str">
        <f>"2000006159479379"</f>
        <v>2000006159479379</v>
      </c>
      <c r="AH1523" s="1" t="s">
        <v>58</v>
      </c>
      <c r="AI1523" s="1" t="s">
        <v>59</v>
      </c>
      <c r="AJ1523" s="1" t="s">
        <v>59</v>
      </c>
      <c r="AK1523" s="1" t="s">
        <v>60</v>
      </c>
      <c r="AL1523" s="1" t="s">
        <v>60</v>
      </c>
      <c r="AW1523" s="1" t="s">
        <v>657</v>
      </c>
      <c r="AY1523" s="1">
        <v>1.0</v>
      </c>
      <c r="AZ1523" s="1">
        <v>74.99</v>
      </c>
      <c r="BB1523" s="1">
        <v>74.99</v>
      </c>
    </row>
    <row r="1524">
      <c r="A1524" s="1" t="s">
        <v>457</v>
      </c>
      <c r="C1524" s="1" t="s">
        <v>56</v>
      </c>
      <c r="D1524" s="1" t="s">
        <v>2557</v>
      </c>
      <c r="Y1524" s="2">
        <v>45515.0</v>
      </c>
      <c r="AE1524" s="1">
        <v>139.99</v>
      </c>
      <c r="AG1524" s="3" t="str">
        <f>"2000006159088805"</f>
        <v>2000006159088805</v>
      </c>
      <c r="AH1524" s="1" t="s">
        <v>58</v>
      </c>
      <c r="AI1524" s="1" t="s">
        <v>59</v>
      </c>
      <c r="AJ1524" s="1" t="s">
        <v>59</v>
      </c>
      <c r="AK1524" s="1" t="s">
        <v>60</v>
      </c>
      <c r="AL1524" s="1" t="s">
        <v>60</v>
      </c>
      <c r="AW1524" s="1" t="s">
        <v>279</v>
      </c>
      <c r="AY1524" s="1">
        <v>1.0</v>
      </c>
      <c r="AZ1524" s="1">
        <v>139.99</v>
      </c>
      <c r="BB1524" s="1">
        <v>139.99</v>
      </c>
    </row>
    <row r="1525">
      <c r="A1525" s="1" t="s">
        <v>1689</v>
      </c>
      <c r="C1525" s="1" t="s">
        <v>235</v>
      </c>
      <c r="D1525" s="1" t="s">
        <v>2558</v>
      </c>
      <c r="Y1525" s="2">
        <v>45515.0</v>
      </c>
      <c r="AE1525" s="1">
        <v>79.99</v>
      </c>
      <c r="AG1525" s="3" t="str">
        <f>"2000006159449045"</f>
        <v>2000006159449045</v>
      </c>
      <c r="AH1525" s="1" t="s">
        <v>58</v>
      </c>
      <c r="AI1525" s="1" t="s">
        <v>59</v>
      </c>
      <c r="AJ1525" s="1" t="s">
        <v>59</v>
      </c>
      <c r="AK1525" s="1" t="s">
        <v>60</v>
      </c>
      <c r="AL1525" s="1" t="s">
        <v>60</v>
      </c>
      <c r="AW1525" s="1" t="s">
        <v>856</v>
      </c>
      <c r="AY1525" s="1">
        <v>1.0</v>
      </c>
      <c r="AZ1525" s="1">
        <v>79.99</v>
      </c>
      <c r="BB1525" s="1">
        <v>79.99</v>
      </c>
    </row>
    <row r="1526">
      <c r="A1526" s="1" t="s">
        <v>2559</v>
      </c>
      <c r="C1526" s="1" t="s">
        <v>56</v>
      </c>
      <c r="D1526" s="1" t="s">
        <v>2560</v>
      </c>
      <c r="Y1526" s="2">
        <v>45515.0</v>
      </c>
      <c r="AE1526" s="1">
        <v>99.99</v>
      </c>
      <c r="AG1526" s="3" t="str">
        <f>"2000006158573509"</f>
        <v>2000006158573509</v>
      </c>
      <c r="AH1526" s="1" t="s">
        <v>58</v>
      </c>
      <c r="AI1526" s="1" t="s">
        <v>59</v>
      </c>
      <c r="AJ1526" s="1" t="s">
        <v>59</v>
      </c>
      <c r="AK1526" s="1" t="s">
        <v>60</v>
      </c>
      <c r="AL1526" s="1" t="s">
        <v>60</v>
      </c>
      <c r="AW1526" s="1" t="s">
        <v>2561</v>
      </c>
      <c r="AY1526" s="1">
        <v>1.0</v>
      </c>
      <c r="AZ1526" s="1">
        <v>99.99</v>
      </c>
      <c r="BB1526" s="1">
        <v>99.99</v>
      </c>
    </row>
    <row r="1527">
      <c r="A1527" s="1" t="s">
        <v>1073</v>
      </c>
      <c r="C1527" s="1" t="s">
        <v>56</v>
      </c>
      <c r="D1527" s="1" t="s">
        <v>2562</v>
      </c>
      <c r="Y1527" s="2">
        <v>45515.0</v>
      </c>
      <c r="AE1527" s="1">
        <v>129.99</v>
      </c>
      <c r="AG1527" s="3" t="str">
        <f>"2000006159412597"</f>
        <v>2000006159412597</v>
      </c>
      <c r="AH1527" s="1" t="s">
        <v>58</v>
      </c>
      <c r="AI1527" s="1" t="s">
        <v>59</v>
      </c>
      <c r="AJ1527" s="1" t="s">
        <v>59</v>
      </c>
      <c r="AK1527" s="1" t="s">
        <v>60</v>
      </c>
      <c r="AL1527" s="1" t="s">
        <v>60</v>
      </c>
      <c r="AW1527" s="1" t="s">
        <v>1075</v>
      </c>
      <c r="AY1527" s="1">
        <v>1.0</v>
      </c>
      <c r="AZ1527" s="1">
        <v>129.99</v>
      </c>
      <c r="BB1527" s="1">
        <v>129.99</v>
      </c>
    </row>
    <row r="1528">
      <c r="A1528" s="1" t="s">
        <v>98</v>
      </c>
      <c r="C1528" s="1" t="s">
        <v>56</v>
      </c>
      <c r="D1528" s="1" t="s">
        <v>2563</v>
      </c>
      <c r="Y1528" s="2">
        <v>45515.0</v>
      </c>
      <c r="AE1528" s="1">
        <v>45.99</v>
      </c>
      <c r="AG1528" s="3" t="str">
        <f>"2000006159300691"</f>
        <v>2000006159300691</v>
      </c>
      <c r="AH1528" s="1" t="s">
        <v>58</v>
      </c>
      <c r="AI1528" s="1" t="s">
        <v>59</v>
      </c>
      <c r="AJ1528" s="1" t="s">
        <v>59</v>
      </c>
      <c r="AK1528" s="1" t="s">
        <v>60</v>
      </c>
      <c r="AL1528" s="1" t="s">
        <v>60</v>
      </c>
      <c r="AW1528" s="1" t="s">
        <v>100</v>
      </c>
      <c r="AY1528" s="1">
        <v>1.0</v>
      </c>
      <c r="AZ1528" s="1">
        <v>45.99</v>
      </c>
      <c r="BB1528" s="1">
        <v>45.99</v>
      </c>
    </row>
    <row r="1529">
      <c r="A1529" s="1" t="s">
        <v>2564</v>
      </c>
      <c r="C1529" s="1" t="s">
        <v>56</v>
      </c>
      <c r="D1529" s="1" t="s">
        <v>2565</v>
      </c>
      <c r="Y1529" s="2">
        <v>45515.0</v>
      </c>
      <c r="AE1529" s="1">
        <v>39.99</v>
      </c>
      <c r="AG1529" s="3" t="str">
        <f>"2000006159411237"</f>
        <v>2000006159411237</v>
      </c>
      <c r="AH1529" s="1" t="s">
        <v>58</v>
      </c>
      <c r="AI1529" s="1" t="s">
        <v>59</v>
      </c>
      <c r="AJ1529" s="1" t="s">
        <v>59</v>
      </c>
      <c r="AK1529" s="1" t="s">
        <v>60</v>
      </c>
      <c r="AL1529" s="1" t="s">
        <v>60</v>
      </c>
      <c r="AW1529" s="1" t="s">
        <v>2566</v>
      </c>
      <c r="AY1529" s="1">
        <v>1.0</v>
      </c>
      <c r="AZ1529" s="1">
        <v>39.99</v>
      </c>
      <c r="BB1529" s="1">
        <v>39.99</v>
      </c>
    </row>
    <row r="1530">
      <c r="A1530" s="1" t="s">
        <v>368</v>
      </c>
      <c r="C1530" s="1" t="s">
        <v>56</v>
      </c>
      <c r="D1530" s="1" t="s">
        <v>2567</v>
      </c>
      <c r="Y1530" s="2">
        <v>45513.0</v>
      </c>
      <c r="AE1530" s="1">
        <v>94.99</v>
      </c>
      <c r="AG1530" s="3" t="str">
        <f>"2000008995361676"</f>
        <v>2000008995361676</v>
      </c>
      <c r="AH1530" s="1" t="s">
        <v>58</v>
      </c>
      <c r="AI1530" s="1" t="s">
        <v>59</v>
      </c>
      <c r="AJ1530" s="1" t="s">
        <v>59</v>
      </c>
      <c r="AK1530" s="1" t="s">
        <v>60</v>
      </c>
      <c r="AL1530" s="1" t="s">
        <v>60</v>
      </c>
      <c r="AW1530" s="1" t="s">
        <v>370</v>
      </c>
      <c r="AY1530" s="1">
        <v>1.0</v>
      </c>
      <c r="AZ1530" s="1">
        <v>94.99</v>
      </c>
      <c r="BB1530" s="1">
        <v>94.99</v>
      </c>
    </row>
    <row r="1531">
      <c r="A1531" s="1" t="s">
        <v>1048</v>
      </c>
      <c r="C1531" s="1" t="s">
        <v>56</v>
      </c>
      <c r="D1531" s="1" t="s">
        <v>2568</v>
      </c>
      <c r="Y1531" s="2">
        <v>45515.0</v>
      </c>
      <c r="AE1531" s="1">
        <v>119.99</v>
      </c>
      <c r="AG1531" s="3" t="str">
        <f>"2000006159355077"</f>
        <v>2000006159355077</v>
      </c>
      <c r="AH1531" s="1" t="s">
        <v>58</v>
      </c>
      <c r="AI1531" s="1" t="s">
        <v>59</v>
      </c>
      <c r="AJ1531" s="1" t="s">
        <v>59</v>
      </c>
      <c r="AK1531" s="1" t="s">
        <v>60</v>
      </c>
      <c r="AL1531" s="1" t="s">
        <v>60</v>
      </c>
      <c r="AW1531" s="1" t="s">
        <v>1050</v>
      </c>
      <c r="AY1531" s="1">
        <v>1.0</v>
      </c>
      <c r="AZ1531" s="1">
        <v>119.99</v>
      </c>
      <c r="BB1531" s="1">
        <v>119.99</v>
      </c>
    </row>
    <row r="1532">
      <c r="A1532" s="1" t="s">
        <v>536</v>
      </c>
      <c r="C1532" s="1" t="s">
        <v>56</v>
      </c>
      <c r="D1532" s="1" t="s">
        <v>2569</v>
      </c>
      <c r="Y1532" s="2">
        <v>45515.0</v>
      </c>
      <c r="AE1532" s="1">
        <v>89.99</v>
      </c>
      <c r="AG1532" s="3" t="str">
        <f>"2000006159006225"</f>
        <v>2000006159006225</v>
      </c>
      <c r="AH1532" s="1" t="s">
        <v>58</v>
      </c>
      <c r="AI1532" s="1" t="s">
        <v>59</v>
      </c>
      <c r="AJ1532" s="1" t="s">
        <v>59</v>
      </c>
      <c r="AK1532" s="1" t="s">
        <v>60</v>
      </c>
      <c r="AL1532" s="1" t="s">
        <v>60</v>
      </c>
      <c r="AW1532" s="1" t="s">
        <v>538</v>
      </c>
      <c r="AY1532" s="1">
        <v>1.0</v>
      </c>
      <c r="AZ1532" s="1">
        <v>89.99</v>
      </c>
      <c r="BB1532" s="1">
        <v>89.99</v>
      </c>
    </row>
    <row r="1533">
      <c r="A1533" s="1" t="s">
        <v>976</v>
      </c>
      <c r="C1533" s="1" t="s">
        <v>56</v>
      </c>
      <c r="D1533" s="1" t="s">
        <v>2570</v>
      </c>
      <c r="Y1533" s="2">
        <v>45515.0</v>
      </c>
      <c r="AE1533" s="1">
        <v>89.99</v>
      </c>
      <c r="AG1533" s="3" t="str">
        <f>"2000009007872604"</f>
        <v>2000009007872604</v>
      </c>
      <c r="AH1533" s="1" t="s">
        <v>58</v>
      </c>
      <c r="AI1533" s="1" t="s">
        <v>59</v>
      </c>
      <c r="AJ1533" s="1" t="s">
        <v>59</v>
      </c>
      <c r="AK1533" s="1" t="s">
        <v>60</v>
      </c>
      <c r="AL1533" s="1" t="s">
        <v>60</v>
      </c>
      <c r="AW1533" s="1" t="s">
        <v>978</v>
      </c>
      <c r="AY1533" s="1">
        <v>1.0</v>
      </c>
      <c r="AZ1533" s="1">
        <v>89.99</v>
      </c>
      <c r="BB1533" s="1">
        <v>89.99</v>
      </c>
    </row>
    <row r="1534">
      <c r="A1534" s="1" t="s">
        <v>302</v>
      </c>
      <c r="C1534" s="1" t="s">
        <v>56</v>
      </c>
      <c r="D1534" s="1" t="s">
        <v>2571</v>
      </c>
      <c r="Y1534" s="2">
        <v>45515.0</v>
      </c>
      <c r="AE1534" s="1">
        <v>39.48</v>
      </c>
      <c r="AG1534" s="3" t="str">
        <f>"2000006159284753"</f>
        <v>2000006159284753</v>
      </c>
      <c r="AH1534" s="1" t="s">
        <v>58</v>
      </c>
      <c r="AI1534" s="1" t="s">
        <v>59</v>
      </c>
      <c r="AJ1534" s="1" t="s">
        <v>59</v>
      </c>
      <c r="AK1534" s="1" t="s">
        <v>60</v>
      </c>
      <c r="AL1534" s="1" t="s">
        <v>60</v>
      </c>
      <c r="AW1534" s="1" t="s">
        <v>304</v>
      </c>
      <c r="AY1534" s="1">
        <v>1.0</v>
      </c>
      <c r="AZ1534" s="1">
        <v>39.48</v>
      </c>
      <c r="BB1534" s="1">
        <v>39.48</v>
      </c>
    </row>
    <row r="1535">
      <c r="A1535" s="1" t="s">
        <v>1057</v>
      </c>
      <c r="C1535" s="1" t="s">
        <v>56</v>
      </c>
      <c r="D1535" s="1" t="s">
        <v>2572</v>
      </c>
      <c r="Y1535" s="2">
        <v>45515.0</v>
      </c>
      <c r="AE1535" s="1">
        <v>289.99</v>
      </c>
      <c r="AG1535" s="3" t="str">
        <f>"2000006159214789"</f>
        <v>2000006159214789</v>
      </c>
      <c r="AH1535" s="1" t="s">
        <v>58</v>
      </c>
      <c r="AI1535" s="1" t="s">
        <v>59</v>
      </c>
      <c r="AJ1535" s="1" t="s">
        <v>59</v>
      </c>
      <c r="AK1535" s="1" t="s">
        <v>60</v>
      </c>
      <c r="AL1535" s="1" t="s">
        <v>60</v>
      </c>
      <c r="AW1535" s="1" t="s">
        <v>1059</v>
      </c>
      <c r="AY1535" s="1">
        <v>1.0</v>
      </c>
      <c r="AZ1535" s="1">
        <v>289.99</v>
      </c>
      <c r="BB1535" s="1">
        <v>289.99</v>
      </c>
    </row>
    <row r="1536">
      <c r="A1536" s="1" t="s">
        <v>68</v>
      </c>
      <c r="C1536" s="1" t="s">
        <v>56</v>
      </c>
      <c r="D1536" s="1" t="s">
        <v>2573</v>
      </c>
      <c r="Y1536" s="2">
        <v>45515.0</v>
      </c>
      <c r="AE1536" s="1">
        <v>49.99</v>
      </c>
      <c r="AG1536" s="3" t="str">
        <f>"2000006159187419"</f>
        <v>2000006159187419</v>
      </c>
      <c r="AH1536" s="1" t="s">
        <v>58</v>
      </c>
      <c r="AI1536" s="1" t="s">
        <v>59</v>
      </c>
      <c r="AJ1536" s="1" t="s">
        <v>59</v>
      </c>
      <c r="AK1536" s="1" t="s">
        <v>60</v>
      </c>
      <c r="AL1536" s="1" t="s">
        <v>60</v>
      </c>
      <c r="AW1536" s="1" t="s">
        <v>70</v>
      </c>
      <c r="AY1536" s="1">
        <v>1.0</v>
      </c>
      <c r="AZ1536" s="1">
        <v>49.99</v>
      </c>
      <c r="BB1536" s="1">
        <v>49.99</v>
      </c>
    </row>
    <row r="1537">
      <c r="A1537" s="1" t="s">
        <v>2574</v>
      </c>
      <c r="C1537" s="1" t="s">
        <v>56</v>
      </c>
      <c r="D1537" s="1" t="s">
        <v>2575</v>
      </c>
      <c r="Y1537" s="2">
        <v>45515.0</v>
      </c>
      <c r="AE1537" s="1">
        <v>89.99</v>
      </c>
      <c r="AG1537" s="3" t="str">
        <f>"2000006159195739"</f>
        <v>2000006159195739</v>
      </c>
      <c r="AH1537" s="1" t="s">
        <v>58</v>
      </c>
      <c r="AI1537" s="1" t="s">
        <v>59</v>
      </c>
      <c r="AJ1537" s="1" t="s">
        <v>59</v>
      </c>
      <c r="AK1537" s="1" t="s">
        <v>60</v>
      </c>
      <c r="AL1537" s="1" t="s">
        <v>60</v>
      </c>
      <c r="AW1537" s="1" t="s">
        <v>2576</v>
      </c>
      <c r="AY1537" s="1">
        <v>1.0</v>
      </c>
      <c r="AZ1537" s="1">
        <v>89.99</v>
      </c>
      <c r="BB1537" s="1">
        <v>89.99</v>
      </c>
    </row>
    <row r="1538">
      <c r="A1538" s="1" t="s">
        <v>567</v>
      </c>
      <c r="C1538" s="1" t="s">
        <v>56</v>
      </c>
      <c r="D1538" s="1" t="s">
        <v>2577</v>
      </c>
      <c r="Y1538" s="2">
        <v>45515.0</v>
      </c>
      <c r="AE1538" s="1">
        <v>89.98</v>
      </c>
      <c r="AG1538" s="3" t="str">
        <f>"2000006159178329"</f>
        <v>2000006159178329</v>
      </c>
      <c r="AH1538" s="1" t="s">
        <v>58</v>
      </c>
      <c r="AI1538" s="1" t="s">
        <v>59</v>
      </c>
      <c r="AJ1538" s="1" t="s">
        <v>59</v>
      </c>
      <c r="AK1538" s="1" t="s">
        <v>60</v>
      </c>
      <c r="AL1538" s="1" t="s">
        <v>60</v>
      </c>
      <c r="AW1538" s="1" t="s">
        <v>569</v>
      </c>
      <c r="AY1538" s="1">
        <v>2.0</v>
      </c>
      <c r="AZ1538" s="1">
        <v>44.99</v>
      </c>
      <c r="BB1538" s="1">
        <v>89.98</v>
      </c>
    </row>
    <row r="1539">
      <c r="A1539" s="1" t="s">
        <v>903</v>
      </c>
      <c r="C1539" s="1" t="s">
        <v>56</v>
      </c>
      <c r="D1539" s="1" t="s">
        <v>2578</v>
      </c>
      <c r="Y1539" s="2">
        <v>45515.0</v>
      </c>
      <c r="AE1539" s="1">
        <v>129.98</v>
      </c>
      <c r="AG1539" s="3" t="str">
        <f>"2000006159145179"</f>
        <v>2000006159145179</v>
      </c>
      <c r="AH1539" s="1" t="s">
        <v>58</v>
      </c>
      <c r="AI1539" s="1" t="s">
        <v>59</v>
      </c>
      <c r="AJ1539" s="1" t="s">
        <v>59</v>
      </c>
      <c r="AK1539" s="1" t="s">
        <v>60</v>
      </c>
      <c r="AL1539" s="1" t="s">
        <v>60</v>
      </c>
      <c r="AW1539" s="1" t="s">
        <v>905</v>
      </c>
      <c r="AY1539" s="1">
        <v>2.0</v>
      </c>
      <c r="AZ1539" s="1">
        <v>64.99</v>
      </c>
      <c r="BB1539" s="1">
        <v>129.98</v>
      </c>
    </row>
    <row r="1540">
      <c r="A1540" s="1" t="s">
        <v>1788</v>
      </c>
      <c r="C1540" s="1" t="s">
        <v>56</v>
      </c>
      <c r="D1540" s="1" t="s">
        <v>2579</v>
      </c>
      <c r="Y1540" s="2">
        <v>45515.0</v>
      </c>
      <c r="AE1540" s="1">
        <v>99.99</v>
      </c>
      <c r="AG1540" s="3" t="str">
        <f>"2000006159146577"</f>
        <v>2000006159146577</v>
      </c>
      <c r="AH1540" s="1" t="s">
        <v>58</v>
      </c>
      <c r="AI1540" s="1" t="s">
        <v>59</v>
      </c>
      <c r="AJ1540" s="1" t="s">
        <v>59</v>
      </c>
      <c r="AK1540" s="1" t="s">
        <v>60</v>
      </c>
      <c r="AL1540" s="1" t="s">
        <v>60</v>
      </c>
      <c r="AW1540" s="1" t="s">
        <v>1790</v>
      </c>
      <c r="AY1540" s="1">
        <v>1.0</v>
      </c>
      <c r="AZ1540" s="1">
        <v>99.99</v>
      </c>
      <c r="BB1540" s="1">
        <v>99.99</v>
      </c>
    </row>
    <row r="1541">
      <c r="A1541" s="1" t="s">
        <v>2418</v>
      </c>
      <c r="C1541" s="1" t="s">
        <v>56</v>
      </c>
      <c r="D1541" s="1" t="s">
        <v>2580</v>
      </c>
      <c r="Y1541" s="2">
        <v>45515.0</v>
      </c>
      <c r="AE1541" s="1">
        <v>99.99</v>
      </c>
      <c r="AG1541" s="3" t="str">
        <f>"2000006159132429"</f>
        <v>2000006159132429</v>
      </c>
      <c r="AH1541" s="1" t="s">
        <v>58</v>
      </c>
      <c r="AI1541" s="1" t="s">
        <v>59</v>
      </c>
      <c r="AJ1541" s="1" t="s">
        <v>59</v>
      </c>
      <c r="AK1541" s="1" t="s">
        <v>60</v>
      </c>
      <c r="AL1541" s="1" t="s">
        <v>60</v>
      </c>
      <c r="AW1541" s="1" t="s">
        <v>2420</v>
      </c>
      <c r="AY1541" s="1">
        <v>1.0</v>
      </c>
      <c r="AZ1541" s="1">
        <v>99.99</v>
      </c>
      <c r="BB1541" s="1">
        <v>99.99</v>
      </c>
    </row>
    <row r="1542">
      <c r="A1542" s="1" t="s">
        <v>1322</v>
      </c>
      <c r="C1542" s="1" t="s">
        <v>56</v>
      </c>
      <c r="D1542" s="1" t="s">
        <v>2581</v>
      </c>
      <c r="Y1542" s="2">
        <v>45515.0</v>
      </c>
      <c r="AE1542" s="1">
        <v>139.99</v>
      </c>
      <c r="AG1542" s="3" t="str">
        <f>"2000006159109337"</f>
        <v>2000006159109337</v>
      </c>
      <c r="AH1542" s="1" t="s">
        <v>58</v>
      </c>
      <c r="AI1542" s="1" t="s">
        <v>59</v>
      </c>
      <c r="AJ1542" s="1" t="s">
        <v>59</v>
      </c>
      <c r="AK1542" s="1" t="s">
        <v>60</v>
      </c>
      <c r="AL1542" s="1" t="s">
        <v>60</v>
      </c>
      <c r="AW1542" s="1" t="s">
        <v>279</v>
      </c>
      <c r="AY1542" s="1">
        <v>1.0</v>
      </c>
      <c r="AZ1542" s="1">
        <v>139.99</v>
      </c>
      <c r="BB1542" s="1">
        <v>139.99</v>
      </c>
    </row>
    <row r="1543">
      <c r="A1543" s="1" t="s">
        <v>2582</v>
      </c>
      <c r="C1543" s="1" t="s">
        <v>235</v>
      </c>
      <c r="D1543" s="1" t="s">
        <v>2583</v>
      </c>
      <c r="Y1543" s="2">
        <v>45515.0</v>
      </c>
      <c r="AE1543" s="1">
        <v>109.99</v>
      </c>
      <c r="AG1543" s="3" t="str">
        <f>"2000006154478329"</f>
        <v>2000006154478329</v>
      </c>
      <c r="AH1543" s="1" t="s">
        <v>58</v>
      </c>
      <c r="AI1543" s="1" t="s">
        <v>59</v>
      </c>
      <c r="AJ1543" s="1" t="s">
        <v>59</v>
      </c>
      <c r="AK1543" s="1" t="s">
        <v>60</v>
      </c>
      <c r="AL1543" s="1" t="s">
        <v>60</v>
      </c>
      <c r="AW1543" s="1" t="s">
        <v>2584</v>
      </c>
      <c r="AY1543" s="1">
        <v>1.0</v>
      </c>
      <c r="AZ1543" s="1">
        <v>109.99</v>
      </c>
      <c r="BB1543" s="1">
        <v>109.99</v>
      </c>
    </row>
    <row r="1544">
      <c r="A1544" s="1" t="s">
        <v>277</v>
      </c>
      <c r="C1544" s="1" t="s">
        <v>235</v>
      </c>
      <c r="D1544" s="1" t="s">
        <v>2581</v>
      </c>
      <c r="Y1544" s="2">
        <v>45515.0</v>
      </c>
      <c r="AE1544" s="1">
        <v>139.99</v>
      </c>
      <c r="AG1544" s="3" t="str">
        <f t="shared" ref="AG1544:AG1545" si="63">"2000006159109339"</f>
        <v>2000006159109339</v>
      </c>
      <c r="AH1544" s="1" t="s">
        <v>58</v>
      </c>
      <c r="AI1544" s="1" t="s">
        <v>59</v>
      </c>
      <c r="AJ1544" s="1" t="s">
        <v>59</v>
      </c>
      <c r="AK1544" s="1" t="s">
        <v>60</v>
      </c>
      <c r="AL1544" s="1" t="s">
        <v>60</v>
      </c>
      <c r="AW1544" s="1" t="s">
        <v>279</v>
      </c>
      <c r="AY1544" s="1">
        <v>1.0</v>
      </c>
      <c r="AZ1544" s="1">
        <v>139.99</v>
      </c>
      <c r="BB1544" s="1">
        <v>139.99</v>
      </c>
    </row>
    <row r="1545">
      <c r="A1545" s="1" t="s">
        <v>457</v>
      </c>
      <c r="C1545" s="1" t="s">
        <v>235</v>
      </c>
      <c r="D1545" s="1" t="s">
        <v>2581</v>
      </c>
      <c r="Y1545" s="2">
        <v>45515.0</v>
      </c>
      <c r="AE1545" s="1">
        <v>139.99</v>
      </c>
      <c r="AG1545" s="3" t="str">
        <f t="shared" si="63"/>
        <v>2000006159109339</v>
      </c>
      <c r="AH1545" s="1" t="s">
        <v>58</v>
      </c>
      <c r="AI1545" s="1" t="s">
        <v>59</v>
      </c>
      <c r="AJ1545" s="1" t="s">
        <v>59</v>
      </c>
      <c r="AK1545" s="1" t="s">
        <v>60</v>
      </c>
      <c r="AL1545" s="1" t="s">
        <v>60</v>
      </c>
      <c r="AW1545" s="1" t="s">
        <v>279</v>
      </c>
      <c r="AY1545" s="1">
        <v>1.0</v>
      </c>
      <c r="AZ1545" s="1">
        <v>139.99</v>
      </c>
      <c r="BB1545" s="1">
        <v>139.99</v>
      </c>
    </row>
    <row r="1546">
      <c r="A1546" s="1" t="s">
        <v>1008</v>
      </c>
      <c r="C1546" s="1" t="s">
        <v>56</v>
      </c>
      <c r="D1546" s="1" t="s">
        <v>2585</v>
      </c>
      <c r="Y1546" s="2">
        <v>45515.0</v>
      </c>
      <c r="AE1546" s="1">
        <v>124.99</v>
      </c>
      <c r="AG1546" s="3" t="str">
        <f>"2000009007421304"</f>
        <v>2000009007421304</v>
      </c>
      <c r="AH1546" s="1" t="s">
        <v>58</v>
      </c>
      <c r="AI1546" s="1" t="s">
        <v>59</v>
      </c>
      <c r="AJ1546" s="1" t="s">
        <v>59</v>
      </c>
      <c r="AK1546" s="1" t="s">
        <v>60</v>
      </c>
      <c r="AL1546" s="1" t="s">
        <v>60</v>
      </c>
      <c r="AW1546" s="1" t="s">
        <v>1010</v>
      </c>
      <c r="AY1546" s="1">
        <v>1.0</v>
      </c>
      <c r="AZ1546" s="1">
        <v>124.99</v>
      </c>
      <c r="BB1546" s="1">
        <v>124.99</v>
      </c>
    </row>
    <row r="1547">
      <c r="A1547" s="1" t="s">
        <v>1108</v>
      </c>
      <c r="C1547" s="1" t="s">
        <v>56</v>
      </c>
      <c r="D1547" s="1" t="s">
        <v>2586</v>
      </c>
      <c r="Y1547" s="2">
        <v>45515.0</v>
      </c>
      <c r="AE1547" s="1">
        <v>159.99</v>
      </c>
      <c r="AG1547" s="3" t="str">
        <f t="shared" ref="AG1547:AG1548" si="64">"2000006159047583"</f>
        <v>2000006159047583</v>
      </c>
      <c r="AH1547" s="1" t="s">
        <v>58</v>
      </c>
      <c r="AI1547" s="1" t="s">
        <v>59</v>
      </c>
      <c r="AJ1547" s="1" t="s">
        <v>59</v>
      </c>
      <c r="AK1547" s="1" t="s">
        <v>60</v>
      </c>
      <c r="AL1547" s="1" t="s">
        <v>60</v>
      </c>
      <c r="AW1547" s="1" t="s">
        <v>1109</v>
      </c>
      <c r="AY1547" s="1">
        <v>1.0</v>
      </c>
      <c r="AZ1547" s="1">
        <v>159.99</v>
      </c>
      <c r="BB1547" s="1">
        <v>159.99</v>
      </c>
    </row>
    <row r="1548">
      <c r="A1548" s="1" t="s">
        <v>1318</v>
      </c>
      <c r="C1548" s="1" t="s">
        <v>56</v>
      </c>
      <c r="D1548" s="1" t="s">
        <v>2586</v>
      </c>
      <c r="Y1548" s="2">
        <v>45515.0</v>
      </c>
      <c r="AE1548" s="1">
        <v>64.99</v>
      </c>
      <c r="AG1548" s="3" t="str">
        <f t="shared" si="64"/>
        <v>2000006159047583</v>
      </c>
      <c r="AH1548" s="1" t="s">
        <v>58</v>
      </c>
      <c r="AI1548" s="1" t="s">
        <v>59</v>
      </c>
      <c r="AJ1548" s="1" t="s">
        <v>59</v>
      </c>
      <c r="AK1548" s="1" t="s">
        <v>60</v>
      </c>
      <c r="AL1548" s="1" t="s">
        <v>60</v>
      </c>
      <c r="AW1548" s="1" t="s">
        <v>1320</v>
      </c>
      <c r="AY1548" s="1">
        <v>1.0</v>
      </c>
      <c r="AZ1548" s="1">
        <v>64.99</v>
      </c>
      <c r="BB1548" s="1">
        <v>64.99</v>
      </c>
    </row>
    <row r="1549">
      <c r="A1549" s="1" t="s">
        <v>1031</v>
      </c>
      <c r="C1549" s="1" t="s">
        <v>56</v>
      </c>
      <c r="D1549" s="1" t="s">
        <v>2587</v>
      </c>
      <c r="Y1549" s="2">
        <v>45515.0</v>
      </c>
      <c r="AE1549" s="1">
        <v>69.99</v>
      </c>
      <c r="AG1549" s="3" t="str">
        <f>"2000006159018619"</f>
        <v>2000006159018619</v>
      </c>
      <c r="AH1549" s="1" t="s">
        <v>58</v>
      </c>
      <c r="AI1549" s="1" t="s">
        <v>59</v>
      </c>
      <c r="AJ1549" s="1" t="s">
        <v>59</v>
      </c>
      <c r="AK1549" s="1" t="s">
        <v>60</v>
      </c>
      <c r="AL1549" s="1" t="s">
        <v>60</v>
      </c>
      <c r="AW1549" s="1" t="s">
        <v>1033</v>
      </c>
      <c r="AY1549" s="1">
        <v>1.0</v>
      </c>
      <c r="AZ1549" s="1">
        <v>69.99</v>
      </c>
      <c r="BB1549" s="1">
        <v>69.99</v>
      </c>
    </row>
    <row r="1550">
      <c r="A1550" s="1" t="s">
        <v>1316</v>
      </c>
      <c r="C1550" s="1" t="s">
        <v>56</v>
      </c>
      <c r="D1550" s="1" t="s">
        <v>2588</v>
      </c>
      <c r="Y1550" s="2">
        <v>45515.0</v>
      </c>
      <c r="AE1550" s="1">
        <v>45.99</v>
      </c>
      <c r="AG1550" s="3" t="str">
        <f>"2000006158938201"</f>
        <v>2000006158938201</v>
      </c>
      <c r="AH1550" s="1" t="s">
        <v>58</v>
      </c>
      <c r="AI1550" s="1" t="s">
        <v>59</v>
      </c>
      <c r="AJ1550" s="1" t="s">
        <v>59</v>
      </c>
      <c r="AK1550" s="1" t="s">
        <v>60</v>
      </c>
      <c r="AL1550" s="1" t="s">
        <v>60</v>
      </c>
      <c r="AW1550" s="1" t="s">
        <v>100</v>
      </c>
      <c r="AY1550" s="1">
        <v>1.0</v>
      </c>
      <c r="AZ1550" s="1">
        <v>45.99</v>
      </c>
      <c r="BB1550" s="1">
        <v>45.99</v>
      </c>
    </row>
    <row r="1551">
      <c r="A1551" s="1" t="s">
        <v>2589</v>
      </c>
      <c r="C1551" s="1" t="s">
        <v>56</v>
      </c>
      <c r="D1551" s="1" t="s">
        <v>2590</v>
      </c>
      <c r="Y1551" s="2">
        <v>45515.0</v>
      </c>
      <c r="AE1551" s="1">
        <v>79.99</v>
      </c>
      <c r="AG1551" s="3" t="str">
        <f>"2000006158905509"</f>
        <v>2000006158905509</v>
      </c>
      <c r="AH1551" s="1" t="s">
        <v>58</v>
      </c>
      <c r="AI1551" s="1" t="s">
        <v>59</v>
      </c>
      <c r="AJ1551" s="1" t="s">
        <v>59</v>
      </c>
      <c r="AK1551" s="1" t="s">
        <v>60</v>
      </c>
      <c r="AL1551" s="1" t="s">
        <v>60</v>
      </c>
      <c r="AW1551" s="1" t="s">
        <v>2591</v>
      </c>
      <c r="AY1551" s="1">
        <v>1.0</v>
      </c>
      <c r="AZ1551" s="1">
        <v>79.99</v>
      </c>
      <c r="BB1551" s="1">
        <v>79.99</v>
      </c>
    </row>
    <row r="1552">
      <c r="A1552" s="1" t="s">
        <v>2070</v>
      </c>
      <c r="C1552" s="1" t="s">
        <v>56</v>
      </c>
      <c r="D1552" s="1" t="s">
        <v>2592</v>
      </c>
      <c r="Y1552" s="2">
        <v>45515.0</v>
      </c>
      <c r="AE1552" s="1">
        <v>49.99</v>
      </c>
      <c r="AG1552" s="3" t="str">
        <f>"2000009007156378"</f>
        <v>2000009007156378</v>
      </c>
      <c r="AH1552" s="1" t="s">
        <v>58</v>
      </c>
      <c r="AI1552" s="1" t="s">
        <v>59</v>
      </c>
      <c r="AJ1552" s="1" t="s">
        <v>59</v>
      </c>
      <c r="AK1552" s="1" t="s">
        <v>60</v>
      </c>
      <c r="AL1552" s="1" t="s">
        <v>60</v>
      </c>
      <c r="AW1552" s="1" t="s">
        <v>2593</v>
      </c>
      <c r="AY1552" s="1">
        <v>1.0</v>
      </c>
      <c r="AZ1552" s="1">
        <v>49.99</v>
      </c>
      <c r="BB1552" s="1">
        <v>49.99</v>
      </c>
    </row>
    <row r="1553">
      <c r="A1553" s="1" t="s">
        <v>210</v>
      </c>
      <c r="C1553" s="1" t="s">
        <v>56</v>
      </c>
      <c r="D1553" s="1" t="s">
        <v>2594</v>
      </c>
      <c r="Y1553" s="2">
        <v>45515.0</v>
      </c>
      <c r="AE1553" s="1">
        <v>61.99</v>
      </c>
      <c r="AG1553" s="3" t="str">
        <f>"2000006158908995"</f>
        <v>2000006158908995</v>
      </c>
      <c r="AH1553" s="1" t="s">
        <v>58</v>
      </c>
      <c r="AI1553" s="1" t="s">
        <v>59</v>
      </c>
      <c r="AJ1553" s="1" t="s">
        <v>59</v>
      </c>
      <c r="AK1553" s="1" t="s">
        <v>60</v>
      </c>
      <c r="AL1553" s="1" t="s">
        <v>60</v>
      </c>
      <c r="AW1553" s="1" t="s">
        <v>211</v>
      </c>
      <c r="AY1553" s="1">
        <v>1.0</v>
      </c>
      <c r="AZ1553" s="1">
        <v>61.99</v>
      </c>
      <c r="BB1553" s="1">
        <v>61.99</v>
      </c>
    </row>
    <row r="1554">
      <c r="A1554" s="1" t="s">
        <v>329</v>
      </c>
      <c r="C1554" s="1" t="s">
        <v>56</v>
      </c>
      <c r="D1554" s="1" t="s">
        <v>2595</v>
      </c>
      <c r="Y1554" s="2">
        <v>45515.0</v>
      </c>
      <c r="AE1554" s="1">
        <v>429.99</v>
      </c>
      <c r="AG1554" s="3" t="str">
        <f>"2000006158910093"</f>
        <v>2000006158910093</v>
      </c>
      <c r="AH1554" s="1" t="s">
        <v>58</v>
      </c>
      <c r="AI1554" s="1" t="s">
        <v>59</v>
      </c>
      <c r="AJ1554" s="1" t="s">
        <v>59</v>
      </c>
      <c r="AK1554" s="1" t="s">
        <v>60</v>
      </c>
      <c r="AL1554" s="1" t="s">
        <v>60</v>
      </c>
      <c r="AW1554" s="1" t="s">
        <v>331</v>
      </c>
      <c r="AY1554" s="1">
        <v>1.0</v>
      </c>
      <c r="AZ1554" s="1">
        <v>429.99</v>
      </c>
      <c r="BB1554" s="1">
        <v>429.99</v>
      </c>
    </row>
    <row r="1555">
      <c r="A1555" s="1" t="s">
        <v>567</v>
      </c>
      <c r="C1555" s="1" t="s">
        <v>56</v>
      </c>
      <c r="D1555" s="1" t="s">
        <v>2577</v>
      </c>
      <c r="Y1555" s="2">
        <v>45515.0</v>
      </c>
      <c r="AE1555" s="1">
        <v>44.99</v>
      </c>
      <c r="AG1555" s="3" t="str">
        <f>"2000006158901121"</f>
        <v>2000006158901121</v>
      </c>
      <c r="AH1555" s="1" t="s">
        <v>58</v>
      </c>
      <c r="AI1555" s="1" t="s">
        <v>59</v>
      </c>
      <c r="AJ1555" s="1" t="s">
        <v>59</v>
      </c>
      <c r="AK1555" s="1" t="s">
        <v>60</v>
      </c>
      <c r="AL1555" s="1" t="s">
        <v>60</v>
      </c>
      <c r="AW1555" s="1" t="s">
        <v>569</v>
      </c>
      <c r="AY1555" s="1">
        <v>1.0</v>
      </c>
      <c r="AZ1555" s="1">
        <v>44.99</v>
      </c>
      <c r="BB1555" s="1">
        <v>44.99</v>
      </c>
    </row>
    <row r="1556">
      <c r="A1556" s="1" t="s">
        <v>619</v>
      </c>
      <c r="C1556" s="1" t="s">
        <v>56</v>
      </c>
      <c r="D1556" s="1" t="s">
        <v>1661</v>
      </c>
      <c r="Y1556" s="2">
        <v>45515.0</v>
      </c>
      <c r="AE1556" s="1">
        <v>139.99</v>
      </c>
      <c r="AG1556" s="3" t="str">
        <f>"2000006158896915"</f>
        <v>2000006158896915</v>
      </c>
      <c r="AH1556" s="1" t="s">
        <v>58</v>
      </c>
      <c r="AI1556" s="1" t="s">
        <v>59</v>
      </c>
      <c r="AJ1556" s="1" t="s">
        <v>59</v>
      </c>
      <c r="AK1556" s="1" t="s">
        <v>60</v>
      </c>
      <c r="AL1556" s="1" t="s">
        <v>60</v>
      </c>
      <c r="AW1556" s="1" t="s">
        <v>621</v>
      </c>
      <c r="AY1556" s="1">
        <v>1.0</v>
      </c>
      <c r="AZ1556" s="1">
        <v>139.99</v>
      </c>
      <c r="BB1556" s="1">
        <v>139.99</v>
      </c>
    </row>
    <row r="1557">
      <c r="A1557" s="1" t="s">
        <v>236</v>
      </c>
      <c r="C1557" s="1" t="s">
        <v>56</v>
      </c>
      <c r="D1557" s="1" t="s">
        <v>2596</v>
      </c>
      <c r="Y1557" s="2">
        <v>45515.0</v>
      </c>
      <c r="AE1557" s="1">
        <v>119.99</v>
      </c>
      <c r="AG1557" s="3" t="str">
        <f>"2000006158890597"</f>
        <v>2000006158890597</v>
      </c>
      <c r="AH1557" s="1" t="s">
        <v>58</v>
      </c>
      <c r="AI1557" s="1" t="s">
        <v>59</v>
      </c>
      <c r="AJ1557" s="1" t="s">
        <v>59</v>
      </c>
      <c r="AK1557" s="1" t="s">
        <v>60</v>
      </c>
      <c r="AL1557" s="1" t="s">
        <v>60</v>
      </c>
      <c r="AW1557" s="1" t="s">
        <v>238</v>
      </c>
      <c r="AY1557" s="1">
        <v>1.0</v>
      </c>
      <c r="AZ1557" s="1">
        <v>119.99</v>
      </c>
      <c r="BB1557" s="1">
        <v>119.99</v>
      </c>
    </row>
    <row r="1558">
      <c r="A1558" s="1" t="s">
        <v>1057</v>
      </c>
      <c r="C1558" s="1" t="s">
        <v>56</v>
      </c>
      <c r="D1558" s="1" t="s">
        <v>2597</v>
      </c>
      <c r="Y1558" s="2">
        <v>45515.0</v>
      </c>
      <c r="AE1558" s="1">
        <v>289.99</v>
      </c>
      <c r="AG1558" s="3" t="str">
        <f>"2000009007014174"</f>
        <v>2000009007014174</v>
      </c>
      <c r="AH1558" s="1" t="s">
        <v>58</v>
      </c>
      <c r="AI1558" s="1" t="s">
        <v>59</v>
      </c>
      <c r="AJ1558" s="1" t="s">
        <v>59</v>
      </c>
      <c r="AK1558" s="1" t="s">
        <v>60</v>
      </c>
      <c r="AL1558" s="1" t="s">
        <v>60</v>
      </c>
      <c r="AW1558" s="1" t="s">
        <v>1059</v>
      </c>
      <c r="AY1558" s="1">
        <v>1.0</v>
      </c>
      <c r="AZ1558" s="1">
        <v>289.99</v>
      </c>
      <c r="BB1558" s="1">
        <v>289.99</v>
      </c>
    </row>
    <row r="1559">
      <c r="A1559" s="1" t="s">
        <v>1051</v>
      </c>
      <c r="C1559" s="1" t="s">
        <v>56</v>
      </c>
      <c r="D1559" s="1" t="s">
        <v>2598</v>
      </c>
      <c r="Y1559" s="2">
        <v>45515.0</v>
      </c>
      <c r="AE1559" s="1">
        <v>69.99</v>
      </c>
      <c r="AG1559" s="3" t="str">
        <f>"2000006157648699"</f>
        <v>2000006157648699</v>
      </c>
      <c r="AH1559" s="1" t="s">
        <v>58</v>
      </c>
      <c r="AI1559" s="1" t="s">
        <v>59</v>
      </c>
      <c r="AJ1559" s="1" t="s">
        <v>59</v>
      </c>
      <c r="AK1559" s="1" t="s">
        <v>60</v>
      </c>
      <c r="AL1559" s="1" t="s">
        <v>60</v>
      </c>
      <c r="AW1559" s="1" t="s">
        <v>1053</v>
      </c>
      <c r="AY1559" s="1">
        <v>1.0</v>
      </c>
      <c r="AZ1559" s="1">
        <v>69.99</v>
      </c>
      <c r="BB1559" s="1">
        <v>69.99</v>
      </c>
    </row>
    <row r="1560">
      <c r="A1560" s="1" t="s">
        <v>2411</v>
      </c>
      <c r="C1560" s="1" t="s">
        <v>56</v>
      </c>
      <c r="D1560" s="1" t="s">
        <v>2599</v>
      </c>
      <c r="Y1560" s="2">
        <v>45515.0</v>
      </c>
      <c r="AE1560" s="1">
        <v>64.99</v>
      </c>
      <c r="AG1560" s="3" t="str">
        <f>"2000006158793079"</f>
        <v>2000006158793079</v>
      </c>
      <c r="AH1560" s="1" t="s">
        <v>58</v>
      </c>
      <c r="AI1560" s="1" t="s">
        <v>59</v>
      </c>
      <c r="AJ1560" s="1" t="s">
        <v>59</v>
      </c>
      <c r="AK1560" s="1" t="s">
        <v>60</v>
      </c>
      <c r="AL1560" s="1" t="s">
        <v>60</v>
      </c>
      <c r="AW1560" s="1" t="s">
        <v>2413</v>
      </c>
      <c r="AY1560" s="1">
        <v>1.0</v>
      </c>
      <c r="AZ1560" s="1">
        <v>64.99</v>
      </c>
      <c r="BB1560" s="1">
        <v>64.99</v>
      </c>
    </row>
    <row r="1561">
      <c r="A1561" s="1" t="s">
        <v>803</v>
      </c>
      <c r="C1561" s="1" t="s">
        <v>56</v>
      </c>
      <c r="D1561" s="1" t="s">
        <v>2600</v>
      </c>
      <c r="Y1561" s="2">
        <v>45515.0</v>
      </c>
      <c r="AE1561" s="1">
        <v>129.98</v>
      </c>
      <c r="AG1561" s="3" t="str">
        <f t="shared" ref="AG1561:AG1562" si="65">"2000006158784511"</f>
        <v>2000006158784511</v>
      </c>
      <c r="AH1561" s="1" t="s">
        <v>58</v>
      </c>
      <c r="AI1561" s="1" t="s">
        <v>59</v>
      </c>
      <c r="AJ1561" s="1" t="s">
        <v>59</v>
      </c>
      <c r="AK1561" s="1" t="s">
        <v>60</v>
      </c>
      <c r="AL1561" s="1" t="s">
        <v>60</v>
      </c>
      <c r="AW1561" s="1" t="s">
        <v>805</v>
      </c>
      <c r="AY1561" s="1">
        <v>2.0</v>
      </c>
      <c r="AZ1561" s="1">
        <v>64.99</v>
      </c>
      <c r="BB1561" s="1">
        <v>129.98</v>
      </c>
    </row>
    <row r="1562">
      <c r="A1562" s="1" t="s">
        <v>80</v>
      </c>
      <c r="C1562" s="1" t="s">
        <v>56</v>
      </c>
      <c r="D1562" s="1" t="s">
        <v>2600</v>
      </c>
      <c r="Y1562" s="2">
        <v>45515.0</v>
      </c>
      <c r="AE1562" s="1">
        <v>174.99</v>
      </c>
      <c r="AG1562" s="3" t="str">
        <f t="shared" si="65"/>
        <v>2000006158784511</v>
      </c>
      <c r="AH1562" s="1" t="s">
        <v>58</v>
      </c>
      <c r="AI1562" s="1" t="s">
        <v>59</v>
      </c>
      <c r="AJ1562" s="1" t="s">
        <v>59</v>
      </c>
      <c r="AK1562" s="1" t="s">
        <v>60</v>
      </c>
      <c r="AL1562" s="1" t="s">
        <v>60</v>
      </c>
      <c r="AW1562" s="1" t="s">
        <v>82</v>
      </c>
      <c r="AY1562" s="1">
        <v>1.0</v>
      </c>
      <c r="AZ1562" s="1">
        <v>174.99</v>
      </c>
      <c r="BB1562" s="1">
        <v>174.99</v>
      </c>
    </row>
    <row r="1563">
      <c r="A1563" s="1" t="s">
        <v>1160</v>
      </c>
      <c r="C1563" s="1" t="s">
        <v>56</v>
      </c>
      <c r="D1563" s="1" t="s">
        <v>2601</v>
      </c>
      <c r="Y1563" s="2">
        <v>45515.0</v>
      </c>
      <c r="AE1563" s="1">
        <v>294.99</v>
      </c>
      <c r="AG1563" s="3" t="str">
        <f>"2000006158774901"</f>
        <v>2000006158774901</v>
      </c>
      <c r="AH1563" s="1" t="s">
        <v>58</v>
      </c>
      <c r="AI1563" s="1" t="s">
        <v>59</v>
      </c>
      <c r="AJ1563" s="1" t="s">
        <v>59</v>
      </c>
      <c r="AK1563" s="1" t="s">
        <v>60</v>
      </c>
      <c r="AL1563" s="1" t="s">
        <v>60</v>
      </c>
      <c r="AW1563" s="1" t="s">
        <v>1162</v>
      </c>
      <c r="AY1563" s="1">
        <v>1.0</v>
      </c>
      <c r="AZ1563" s="1">
        <v>294.99</v>
      </c>
      <c r="BB1563" s="1">
        <v>294.99</v>
      </c>
    </row>
    <row r="1564">
      <c r="A1564" s="1" t="s">
        <v>1788</v>
      </c>
      <c r="C1564" s="1" t="s">
        <v>56</v>
      </c>
      <c r="D1564" s="1" t="s">
        <v>2602</v>
      </c>
      <c r="Y1564" s="2">
        <v>45515.0</v>
      </c>
      <c r="AE1564" s="1">
        <v>99.99</v>
      </c>
      <c r="AG1564" s="3" t="str">
        <f>"2000006158705169"</f>
        <v>2000006158705169</v>
      </c>
      <c r="AH1564" s="1" t="s">
        <v>58</v>
      </c>
      <c r="AI1564" s="1" t="s">
        <v>59</v>
      </c>
      <c r="AJ1564" s="1" t="s">
        <v>59</v>
      </c>
      <c r="AK1564" s="1" t="s">
        <v>60</v>
      </c>
      <c r="AL1564" s="1" t="s">
        <v>60</v>
      </c>
      <c r="AW1564" s="1" t="s">
        <v>1790</v>
      </c>
      <c r="AY1564" s="1">
        <v>1.0</v>
      </c>
      <c r="AZ1564" s="1">
        <v>99.99</v>
      </c>
      <c r="BB1564" s="1">
        <v>99.99</v>
      </c>
    </row>
    <row r="1565">
      <c r="A1565" s="1" t="s">
        <v>449</v>
      </c>
      <c r="C1565" s="1" t="s">
        <v>56</v>
      </c>
      <c r="D1565" s="1" t="s">
        <v>2603</v>
      </c>
      <c r="Y1565" s="2">
        <v>45515.0</v>
      </c>
      <c r="AE1565" s="1">
        <v>69.99</v>
      </c>
      <c r="AG1565" s="3" t="str">
        <f>"2000006158734281"</f>
        <v>2000006158734281</v>
      </c>
      <c r="AH1565" s="1" t="s">
        <v>58</v>
      </c>
      <c r="AI1565" s="1" t="s">
        <v>59</v>
      </c>
      <c r="AJ1565" s="1" t="s">
        <v>59</v>
      </c>
      <c r="AK1565" s="1" t="s">
        <v>60</v>
      </c>
      <c r="AL1565" s="1" t="s">
        <v>60</v>
      </c>
      <c r="AW1565" s="1" t="s">
        <v>451</v>
      </c>
      <c r="AY1565" s="1">
        <v>1.0</v>
      </c>
      <c r="AZ1565" s="1">
        <v>69.99</v>
      </c>
      <c r="BB1565" s="1">
        <v>69.99</v>
      </c>
    </row>
    <row r="1566">
      <c r="A1566" s="1" t="s">
        <v>1217</v>
      </c>
      <c r="C1566" s="1" t="s">
        <v>56</v>
      </c>
      <c r="D1566" s="1" t="s">
        <v>2604</v>
      </c>
      <c r="Y1566" s="2">
        <v>45515.0</v>
      </c>
      <c r="AE1566" s="1">
        <v>74.98</v>
      </c>
      <c r="AG1566" s="3" t="str">
        <f>"2000006158650563"</f>
        <v>2000006158650563</v>
      </c>
      <c r="AH1566" s="1" t="s">
        <v>58</v>
      </c>
      <c r="AI1566" s="1" t="s">
        <v>59</v>
      </c>
      <c r="AJ1566" s="1" t="s">
        <v>59</v>
      </c>
      <c r="AK1566" s="1" t="s">
        <v>60</v>
      </c>
      <c r="AL1566" s="1" t="s">
        <v>60</v>
      </c>
      <c r="AW1566" s="1" t="s">
        <v>373</v>
      </c>
      <c r="AY1566" s="1">
        <v>2.0</v>
      </c>
      <c r="AZ1566" s="1">
        <v>37.49</v>
      </c>
      <c r="BB1566" s="1">
        <v>74.98</v>
      </c>
    </row>
    <row r="1567">
      <c r="A1567" s="1" t="s">
        <v>2530</v>
      </c>
      <c r="C1567" s="1" t="s">
        <v>56</v>
      </c>
      <c r="D1567" s="1" t="s">
        <v>2605</v>
      </c>
      <c r="Y1567" s="2">
        <v>45515.0</v>
      </c>
      <c r="AE1567" s="1">
        <v>49.99</v>
      </c>
      <c r="AG1567" s="3" t="str">
        <f>"2000006158483643"</f>
        <v>2000006158483643</v>
      </c>
      <c r="AH1567" s="1" t="s">
        <v>58</v>
      </c>
      <c r="AI1567" s="1" t="s">
        <v>59</v>
      </c>
      <c r="AJ1567" s="1" t="s">
        <v>59</v>
      </c>
      <c r="AK1567" s="1" t="s">
        <v>60</v>
      </c>
      <c r="AL1567" s="1" t="s">
        <v>60</v>
      </c>
      <c r="AW1567" s="1" t="s">
        <v>1950</v>
      </c>
      <c r="AY1567" s="1">
        <v>1.0</v>
      </c>
      <c r="AZ1567" s="1">
        <v>49.99</v>
      </c>
      <c r="BB1567" s="1">
        <v>49.99</v>
      </c>
    </row>
    <row r="1568">
      <c r="A1568" s="1" t="s">
        <v>1447</v>
      </c>
      <c r="C1568" s="1" t="s">
        <v>56</v>
      </c>
      <c r="D1568" s="1" t="s">
        <v>2606</v>
      </c>
      <c r="Y1568" s="2">
        <v>45515.0</v>
      </c>
      <c r="AE1568" s="1">
        <v>74.99</v>
      </c>
      <c r="AG1568" s="3" t="str">
        <f>"2000006158604333"</f>
        <v>2000006158604333</v>
      </c>
      <c r="AH1568" s="1" t="s">
        <v>58</v>
      </c>
      <c r="AI1568" s="1" t="s">
        <v>59</v>
      </c>
      <c r="AJ1568" s="1" t="s">
        <v>59</v>
      </c>
      <c r="AK1568" s="1" t="s">
        <v>60</v>
      </c>
      <c r="AL1568" s="1" t="s">
        <v>60</v>
      </c>
      <c r="AW1568" s="1" t="s">
        <v>1449</v>
      </c>
      <c r="AY1568" s="1">
        <v>1.0</v>
      </c>
      <c r="AZ1568" s="1">
        <v>74.99</v>
      </c>
      <c r="BB1568" s="1">
        <v>74.99</v>
      </c>
    </row>
    <row r="1569">
      <c r="A1569" s="1" t="s">
        <v>407</v>
      </c>
      <c r="C1569" s="1" t="s">
        <v>56</v>
      </c>
      <c r="D1569" s="1" t="s">
        <v>2607</v>
      </c>
      <c r="Y1569" s="2">
        <v>45515.0</v>
      </c>
      <c r="AE1569" s="1">
        <v>189.98</v>
      </c>
      <c r="AG1569" s="3" t="str">
        <f>"2000006158600369"</f>
        <v>2000006158600369</v>
      </c>
      <c r="AH1569" s="1" t="s">
        <v>58</v>
      </c>
      <c r="AI1569" s="1" t="s">
        <v>59</v>
      </c>
      <c r="AJ1569" s="1" t="s">
        <v>59</v>
      </c>
      <c r="AK1569" s="1" t="s">
        <v>60</v>
      </c>
      <c r="AL1569" s="1" t="s">
        <v>60</v>
      </c>
      <c r="AW1569" s="1" t="s">
        <v>409</v>
      </c>
      <c r="AY1569" s="1">
        <v>2.0</v>
      </c>
      <c r="AZ1569" s="1">
        <v>94.99</v>
      </c>
      <c r="BB1569" s="1">
        <v>189.98</v>
      </c>
    </row>
    <row r="1570">
      <c r="A1570" s="1" t="s">
        <v>357</v>
      </c>
      <c r="C1570" s="1" t="s">
        <v>56</v>
      </c>
      <c r="D1570" s="1" t="s">
        <v>2608</v>
      </c>
      <c r="Y1570" s="2">
        <v>45515.0</v>
      </c>
      <c r="AE1570" s="1">
        <v>89.99</v>
      </c>
      <c r="AG1570" s="3" t="str">
        <f>"2000006158589285"</f>
        <v>2000006158589285</v>
      </c>
      <c r="AH1570" s="1" t="s">
        <v>58</v>
      </c>
      <c r="AI1570" s="1" t="s">
        <v>59</v>
      </c>
      <c r="AJ1570" s="1" t="s">
        <v>59</v>
      </c>
      <c r="AK1570" s="1" t="s">
        <v>60</v>
      </c>
      <c r="AL1570" s="1" t="s">
        <v>60</v>
      </c>
      <c r="AW1570" s="1" t="s">
        <v>359</v>
      </c>
      <c r="AY1570" s="1">
        <v>1.0</v>
      </c>
      <c r="AZ1570" s="1">
        <v>89.99</v>
      </c>
      <c r="BB1570" s="1">
        <v>89.99</v>
      </c>
    </row>
    <row r="1571">
      <c r="A1571" s="1" t="s">
        <v>1946</v>
      </c>
      <c r="C1571" s="1" t="s">
        <v>56</v>
      </c>
      <c r="D1571" s="1" t="s">
        <v>2609</v>
      </c>
      <c r="Y1571" s="2">
        <v>45515.0</v>
      </c>
      <c r="AE1571" s="1">
        <v>39.99</v>
      </c>
      <c r="AG1571" s="3" t="str">
        <f>"2000006158583967"</f>
        <v>2000006158583967</v>
      </c>
      <c r="AH1571" s="1" t="s">
        <v>58</v>
      </c>
      <c r="AI1571" s="1" t="s">
        <v>59</v>
      </c>
      <c r="AJ1571" s="1" t="s">
        <v>59</v>
      </c>
      <c r="AK1571" s="1" t="s">
        <v>60</v>
      </c>
      <c r="AL1571" s="1" t="s">
        <v>60</v>
      </c>
      <c r="AW1571" s="1" t="s">
        <v>1529</v>
      </c>
      <c r="AY1571" s="1">
        <v>1.0</v>
      </c>
      <c r="AZ1571" s="1">
        <v>39.99</v>
      </c>
      <c r="BB1571" s="1">
        <v>39.99</v>
      </c>
    </row>
    <row r="1572">
      <c r="A1572" s="1" t="s">
        <v>602</v>
      </c>
      <c r="C1572" s="1" t="s">
        <v>235</v>
      </c>
      <c r="D1572" s="1" t="s">
        <v>2610</v>
      </c>
      <c r="Y1572" s="2">
        <v>45515.0</v>
      </c>
      <c r="AE1572" s="1">
        <v>84.99</v>
      </c>
      <c r="AG1572" s="3" t="str">
        <f>"2000006158495789"</f>
        <v>2000006158495789</v>
      </c>
      <c r="AH1572" s="1" t="s">
        <v>58</v>
      </c>
      <c r="AI1572" s="1" t="s">
        <v>59</v>
      </c>
      <c r="AJ1572" s="1" t="s">
        <v>59</v>
      </c>
      <c r="AK1572" s="1" t="s">
        <v>60</v>
      </c>
      <c r="AL1572" s="1" t="s">
        <v>60</v>
      </c>
      <c r="AW1572" s="1" t="s">
        <v>604</v>
      </c>
      <c r="AY1572" s="1">
        <v>1.0</v>
      </c>
      <c r="AZ1572" s="1">
        <v>84.99</v>
      </c>
      <c r="BB1572" s="1">
        <v>84.99</v>
      </c>
    </row>
    <row r="1573">
      <c r="A1573" s="1" t="s">
        <v>230</v>
      </c>
      <c r="C1573" s="1" t="s">
        <v>56</v>
      </c>
      <c r="D1573" s="1" t="s">
        <v>2611</v>
      </c>
      <c r="Y1573" s="2">
        <v>45515.0</v>
      </c>
      <c r="AE1573" s="1">
        <v>54.99</v>
      </c>
      <c r="AG1573" s="3" t="str">
        <f>"2000006158425297"</f>
        <v>2000006158425297</v>
      </c>
      <c r="AH1573" s="1" t="s">
        <v>58</v>
      </c>
      <c r="AI1573" s="1" t="s">
        <v>59</v>
      </c>
      <c r="AJ1573" s="1" t="s">
        <v>59</v>
      </c>
      <c r="AK1573" s="1" t="s">
        <v>60</v>
      </c>
      <c r="AL1573" s="1" t="s">
        <v>60</v>
      </c>
      <c r="AW1573" s="1" t="s">
        <v>85</v>
      </c>
      <c r="AY1573" s="1">
        <v>1.0</v>
      </c>
      <c r="AZ1573" s="1">
        <v>54.99</v>
      </c>
      <c r="BB1573" s="1">
        <v>54.99</v>
      </c>
    </row>
    <row r="1574">
      <c r="A1574" s="1" t="s">
        <v>230</v>
      </c>
      <c r="C1574" s="1" t="s">
        <v>56</v>
      </c>
      <c r="D1574" s="1" t="s">
        <v>2611</v>
      </c>
      <c r="Y1574" s="2">
        <v>45515.0</v>
      </c>
      <c r="AE1574" s="1">
        <v>164.97</v>
      </c>
      <c r="AG1574" s="3" t="str">
        <f>"2000006158425299"</f>
        <v>2000006158425299</v>
      </c>
      <c r="AH1574" s="1" t="s">
        <v>58</v>
      </c>
      <c r="AI1574" s="1" t="s">
        <v>59</v>
      </c>
      <c r="AJ1574" s="1" t="s">
        <v>59</v>
      </c>
      <c r="AK1574" s="1" t="s">
        <v>60</v>
      </c>
      <c r="AL1574" s="1" t="s">
        <v>60</v>
      </c>
      <c r="AW1574" s="1" t="s">
        <v>85</v>
      </c>
      <c r="AY1574" s="1">
        <v>3.0</v>
      </c>
      <c r="AZ1574" s="1">
        <v>54.99</v>
      </c>
      <c r="BB1574" s="1">
        <v>164.97</v>
      </c>
    </row>
    <row r="1575">
      <c r="A1575" s="1" t="s">
        <v>960</v>
      </c>
      <c r="C1575" s="1" t="s">
        <v>56</v>
      </c>
      <c r="D1575" s="1" t="s">
        <v>2612</v>
      </c>
      <c r="Y1575" s="2">
        <v>45515.0</v>
      </c>
      <c r="AE1575" s="1">
        <v>129.99</v>
      </c>
      <c r="AG1575" s="3" t="str">
        <f t="shared" ref="AG1575:AG1576" si="66">"2000006158279565"</f>
        <v>2000006158279565</v>
      </c>
      <c r="AH1575" s="1" t="s">
        <v>58</v>
      </c>
      <c r="AI1575" s="1" t="s">
        <v>59</v>
      </c>
      <c r="AJ1575" s="1" t="s">
        <v>59</v>
      </c>
      <c r="AK1575" s="1" t="s">
        <v>60</v>
      </c>
      <c r="AL1575" s="1" t="s">
        <v>60</v>
      </c>
      <c r="AW1575" s="1" t="s">
        <v>763</v>
      </c>
      <c r="AY1575" s="1">
        <v>1.0</v>
      </c>
      <c r="AZ1575" s="1">
        <v>129.99</v>
      </c>
      <c r="BB1575" s="1">
        <v>129.99</v>
      </c>
    </row>
    <row r="1576">
      <c r="A1576" s="1" t="s">
        <v>117</v>
      </c>
      <c r="C1576" s="1" t="s">
        <v>56</v>
      </c>
      <c r="D1576" s="1" t="s">
        <v>2612</v>
      </c>
      <c r="Y1576" s="2">
        <v>45515.0</v>
      </c>
      <c r="AE1576" s="1">
        <v>129.99</v>
      </c>
      <c r="AG1576" s="3" t="str">
        <f t="shared" si="66"/>
        <v>2000006158279565</v>
      </c>
      <c r="AH1576" s="1" t="s">
        <v>58</v>
      </c>
      <c r="AI1576" s="1" t="s">
        <v>59</v>
      </c>
      <c r="AJ1576" s="1" t="s">
        <v>59</v>
      </c>
      <c r="AK1576" s="1" t="s">
        <v>60</v>
      </c>
      <c r="AL1576" s="1" t="s">
        <v>60</v>
      </c>
      <c r="AW1576" s="1" t="s">
        <v>763</v>
      </c>
      <c r="AY1576" s="1">
        <v>1.0</v>
      </c>
      <c r="AZ1576" s="1">
        <v>129.99</v>
      </c>
      <c r="BB1576" s="1">
        <v>129.99</v>
      </c>
    </row>
    <row r="1577">
      <c r="A1577" s="1" t="s">
        <v>1946</v>
      </c>
      <c r="C1577" s="1" t="s">
        <v>56</v>
      </c>
      <c r="D1577" s="1" t="s">
        <v>2613</v>
      </c>
      <c r="Y1577" s="2">
        <v>45515.0</v>
      </c>
      <c r="AE1577" s="1">
        <v>39.99</v>
      </c>
      <c r="AG1577" s="3" t="str">
        <f>"2000006158367269"</f>
        <v>2000006158367269</v>
      </c>
      <c r="AH1577" s="1" t="s">
        <v>58</v>
      </c>
      <c r="AI1577" s="1" t="s">
        <v>59</v>
      </c>
      <c r="AJ1577" s="1" t="s">
        <v>59</v>
      </c>
      <c r="AK1577" s="1" t="s">
        <v>60</v>
      </c>
      <c r="AL1577" s="1" t="s">
        <v>60</v>
      </c>
      <c r="AW1577" s="1" t="s">
        <v>1529</v>
      </c>
      <c r="AY1577" s="1">
        <v>1.0</v>
      </c>
      <c r="AZ1577" s="1">
        <v>39.99</v>
      </c>
      <c r="BB1577" s="1">
        <v>39.99</v>
      </c>
    </row>
    <row r="1578">
      <c r="A1578" s="1" t="s">
        <v>709</v>
      </c>
      <c r="C1578" s="1" t="s">
        <v>56</v>
      </c>
      <c r="D1578" s="1" t="s">
        <v>2614</v>
      </c>
      <c r="Y1578" s="2">
        <v>45515.0</v>
      </c>
      <c r="AE1578" s="1">
        <v>479.99</v>
      </c>
      <c r="AG1578" s="3" t="str">
        <f>"2000006158325969"</f>
        <v>2000006158325969</v>
      </c>
      <c r="AH1578" s="1" t="s">
        <v>58</v>
      </c>
      <c r="AI1578" s="1" t="s">
        <v>59</v>
      </c>
      <c r="AJ1578" s="1" t="s">
        <v>59</v>
      </c>
      <c r="AK1578" s="1" t="s">
        <v>60</v>
      </c>
      <c r="AL1578" s="1" t="s">
        <v>60</v>
      </c>
      <c r="AW1578" s="1" t="s">
        <v>711</v>
      </c>
      <c r="AY1578" s="1">
        <v>1.0</v>
      </c>
      <c r="AZ1578" s="1">
        <v>479.99</v>
      </c>
      <c r="BB1578" s="1">
        <v>479.99</v>
      </c>
    </row>
    <row r="1579">
      <c r="A1579" s="1" t="s">
        <v>1836</v>
      </c>
      <c r="C1579" s="1" t="s">
        <v>56</v>
      </c>
      <c r="D1579" s="1" t="s">
        <v>2615</v>
      </c>
      <c r="Y1579" s="2">
        <v>45515.0</v>
      </c>
      <c r="AE1579" s="1">
        <v>49.99</v>
      </c>
      <c r="AG1579" s="3" t="str">
        <f>"2000006158323939"</f>
        <v>2000006158323939</v>
      </c>
      <c r="AH1579" s="1" t="s">
        <v>58</v>
      </c>
      <c r="AI1579" s="1" t="s">
        <v>59</v>
      </c>
      <c r="AJ1579" s="1" t="s">
        <v>59</v>
      </c>
      <c r="AK1579" s="1" t="s">
        <v>60</v>
      </c>
      <c r="AL1579" s="1" t="s">
        <v>60</v>
      </c>
      <c r="AW1579" s="1" t="s">
        <v>1838</v>
      </c>
      <c r="AY1579" s="1">
        <v>1.0</v>
      </c>
      <c r="AZ1579" s="1">
        <v>49.99</v>
      </c>
      <c r="BB1579" s="1">
        <v>49.99</v>
      </c>
    </row>
    <row r="1580">
      <c r="A1580" s="1" t="s">
        <v>1212</v>
      </c>
      <c r="C1580" s="1" t="s">
        <v>56</v>
      </c>
      <c r="D1580" s="1" t="s">
        <v>2616</v>
      </c>
      <c r="Y1580" s="2">
        <v>45515.0</v>
      </c>
      <c r="AE1580" s="1">
        <v>89.99</v>
      </c>
      <c r="AG1580" s="3" t="str">
        <f>"2000006158319837"</f>
        <v>2000006158319837</v>
      </c>
      <c r="AH1580" s="1" t="s">
        <v>58</v>
      </c>
      <c r="AI1580" s="1" t="s">
        <v>59</v>
      </c>
      <c r="AJ1580" s="1" t="s">
        <v>59</v>
      </c>
      <c r="AK1580" s="1" t="s">
        <v>60</v>
      </c>
      <c r="AL1580" s="1" t="s">
        <v>60</v>
      </c>
      <c r="AW1580" s="1" t="s">
        <v>1214</v>
      </c>
      <c r="AY1580" s="1">
        <v>1.0</v>
      </c>
      <c r="AZ1580" s="1">
        <v>89.99</v>
      </c>
      <c r="BB1580" s="1">
        <v>89.99</v>
      </c>
    </row>
    <row r="1581">
      <c r="A1581" s="1" t="s">
        <v>342</v>
      </c>
      <c r="C1581" s="1" t="s">
        <v>56</v>
      </c>
      <c r="D1581" s="1" t="s">
        <v>2617</v>
      </c>
      <c r="Y1581" s="2">
        <v>45515.0</v>
      </c>
      <c r="AE1581" s="1">
        <v>50.99</v>
      </c>
      <c r="AG1581" s="3" t="str">
        <f>"2000006158308311"</f>
        <v>2000006158308311</v>
      </c>
      <c r="AH1581" s="1" t="s">
        <v>58</v>
      </c>
      <c r="AI1581" s="1" t="s">
        <v>59</v>
      </c>
      <c r="AJ1581" s="1" t="s">
        <v>59</v>
      </c>
      <c r="AK1581" s="1" t="s">
        <v>60</v>
      </c>
      <c r="AL1581" s="1" t="s">
        <v>60</v>
      </c>
      <c r="AW1581" s="1" t="s">
        <v>344</v>
      </c>
      <c r="AY1581" s="1">
        <v>1.0</v>
      </c>
      <c r="AZ1581" s="1">
        <v>50.99</v>
      </c>
      <c r="BB1581" s="1">
        <v>50.99</v>
      </c>
    </row>
    <row r="1582">
      <c r="A1582" s="1" t="s">
        <v>2535</v>
      </c>
      <c r="C1582" s="1" t="s">
        <v>56</v>
      </c>
      <c r="D1582" s="1" t="s">
        <v>2618</v>
      </c>
      <c r="Y1582" s="2">
        <v>45515.0</v>
      </c>
      <c r="AE1582" s="1">
        <v>289.99</v>
      </c>
      <c r="AG1582" s="3" t="str">
        <f>"2000006158262783"</f>
        <v>2000006158262783</v>
      </c>
      <c r="AH1582" s="1" t="s">
        <v>58</v>
      </c>
      <c r="AI1582" s="1" t="s">
        <v>59</v>
      </c>
      <c r="AJ1582" s="1" t="s">
        <v>59</v>
      </c>
      <c r="AK1582" s="1" t="s">
        <v>60</v>
      </c>
      <c r="AL1582" s="1" t="s">
        <v>60</v>
      </c>
      <c r="AW1582" s="1" t="s">
        <v>2537</v>
      </c>
      <c r="AY1582" s="1">
        <v>1.0</v>
      </c>
      <c r="AZ1582" s="1">
        <v>289.99</v>
      </c>
      <c r="BB1582" s="1">
        <v>289.99</v>
      </c>
    </row>
    <row r="1583">
      <c r="A1583" s="1" t="s">
        <v>204</v>
      </c>
      <c r="C1583" s="1" t="s">
        <v>56</v>
      </c>
      <c r="D1583" s="1" t="s">
        <v>2619</v>
      </c>
      <c r="Y1583" s="2">
        <v>45515.0</v>
      </c>
      <c r="AE1583" s="1">
        <v>57.99</v>
      </c>
      <c r="AG1583" s="3" t="str">
        <f>"2000006158231623"</f>
        <v>2000006158231623</v>
      </c>
      <c r="AH1583" s="1" t="s">
        <v>58</v>
      </c>
      <c r="AI1583" s="1" t="s">
        <v>59</v>
      </c>
      <c r="AJ1583" s="1" t="s">
        <v>59</v>
      </c>
      <c r="AK1583" s="1" t="s">
        <v>60</v>
      </c>
      <c r="AL1583" s="1" t="s">
        <v>60</v>
      </c>
      <c r="AW1583" s="1" t="s">
        <v>206</v>
      </c>
      <c r="AY1583" s="1">
        <v>1.0</v>
      </c>
      <c r="AZ1583" s="1">
        <v>57.99</v>
      </c>
      <c r="BB1583" s="1">
        <v>57.99</v>
      </c>
    </row>
    <row r="1584">
      <c r="A1584" s="1" t="s">
        <v>1689</v>
      </c>
      <c r="C1584" s="1" t="s">
        <v>56</v>
      </c>
      <c r="D1584" s="1" t="s">
        <v>2620</v>
      </c>
      <c r="Y1584" s="2">
        <v>45515.0</v>
      </c>
      <c r="AE1584" s="1">
        <v>79.99</v>
      </c>
      <c r="AG1584" s="3" t="str">
        <f t="shared" ref="AG1584:AG1585" si="67">"2000006158200295"</f>
        <v>2000006158200295</v>
      </c>
      <c r="AH1584" s="1" t="s">
        <v>58</v>
      </c>
      <c r="AI1584" s="1" t="s">
        <v>59</v>
      </c>
      <c r="AJ1584" s="1" t="s">
        <v>59</v>
      </c>
      <c r="AK1584" s="1" t="s">
        <v>60</v>
      </c>
      <c r="AL1584" s="1" t="s">
        <v>60</v>
      </c>
      <c r="AW1584" s="1" t="s">
        <v>856</v>
      </c>
      <c r="AY1584" s="1">
        <v>1.0</v>
      </c>
      <c r="AZ1584" s="1">
        <v>79.99</v>
      </c>
      <c r="BB1584" s="1">
        <v>79.99</v>
      </c>
    </row>
    <row r="1585">
      <c r="A1585" s="1" t="s">
        <v>2621</v>
      </c>
      <c r="C1585" s="1" t="s">
        <v>56</v>
      </c>
      <c r="D1585" s="1" t="s">
        <v>2620</v>
      </c>
      <c r="Y1585" s="2">
        <v>45515.0</v>
      </c>
      <c r="AE1585" s="1">
        <v>99.99</v>
      </c>
      <c r="AG1585" s="3" t="str">
        <f t="shared" si="67"/>
        <v>2000006158200295</v>
      </c>
      <c r="AH1585" s="1" t="s">
        <v>58</v>
      </c>
      <c r="AI1585" s="1" t="s">
        <v>59</v>
      </c>
      <c r="AJ1585" s="1" t="s">
        <v>59</v>
      </c>
      <c r="AK1585" s="1" t="s">
        <v>60</v>
      </c>
      <c r="AL1585" s="1" t="s">
        <v>60</v>
      </c>
      <c r="AW1585" s="1" t="s">
        <v>2622</v>
      </c>
      <c r="AY1585" s="1">
        <v>1.0</v>
      </c>
      <c r="AZ1585" s="1">
        <v>99.99</v>
      </c>
      <c r="BB1585" s="1">
        <v>99.99</v>
      </c>
    </row>
    <row r="1586">
      <c r="A1586" s="1" t="s">
        <v>1431</v>
      </c>
      <c r="C1586" s="1" t="s">
        <v>56</v>
      </c>
      <c r="D1586" s="1" t="s">
        <v>2623</v>
      </c>
      <c r="Y1586" s="2">
        <v>45515.0</v>
      </c>
      <c r="AE1586" s="1">
        <v>109.99</v>
      </c>
      <c r="AG1586" s="3" t="str">
        <f>"2000006158182997"</f>
        <v>2000006158182997</v>
      </c>
      <c r="AH1586" s="1" t="s">
        <v>58</v>
      </c>
      <c r="AI1586" s="1" t="s">
        <v>59</v>
      </c>
      <c r="AJ1586" s="1" t="s">
        <v>59</v>
      </c>
      <c r="AK1586" s="1" t="s">
        <v>60</v>
      </c>
      <c r="AL1586" s="1" t="s">
        <v>60</v>
      </c>
      <c r="AW1586" s="1" t="s">
        <v>1433</v>
      </c>
      <c r="AY1586" s="1">
        <v>1.0</v>
      </c>
      <c r="AZ1586" s="1">
        <v>109.99</v>
      </c>
      <c r="BB1586" s="1">
        <v>109.99</v>
      </c>
    </row>
    <row r="1587">
      <c r="A1587" s="1" t="s">
        <v>1195</v>
      </c>
      <c r="C1587" s="1" t="s">
        <v>56</v>
      </c>
      <c r="D1587" s="1" t="s">
        <v>2624</v>
      </c>
      <c r="Y1587" s="2">
        <v>45515.0</v>
      </c>
      <c r="AE1587" s="1">
        <v>37.99</v>
      </c>
      <c r="AG1587" s="3" t="str">
        <f>"2000006157894555"</f>
        <v>2000006157894555</v>
      </c>
      <c r="AH1587" s="1" t="s">
        <v>58</v>
      </c>
      <c r="AI1587" s="1" t="s">
        <v>59</v>
      </c>
      <c r="AJ1587" s="1" t="s">
        <v>59</v>
      </c>
      <c r="AK1587" s="1" t="s">
        <v>60</v>
      </c>
      <c r="AL1587" s="1" t="s">
        <v>60</v>
      </c>
      <c r="AW1587" s="1" t="s">
        <v>1197</v>
      </c>
      <c r="AY1587" s="1">
        <v>1.0</v>
      </c>
      <c r="AZ1587" s="1">
        <v>37.99</v>
      </c>
      <c r="BB1587" s="1">
        <v>37.99</v>
      </c>
    </row>
    <row r="1588">
      <c r="A1588" s="1" t="s">
        <v>1195</v>
      </c>
      <c r="C1588" s="1" t="s">
        <v>56</v>
      </c>
      <c r="D1588" s="1" t="s">
        <v>2624</v>
      </c>
      <c r="Y1588" s="2">
        <v>45515.0</v>
      </c>
      <c r="AE1588" s="1">
        <v>75.98</v>
      </c>
      <c r="AG1588" s="3" t="str">
        <f>"2000006157894559"</f>
        <v>2000006157894559</v>
      </c>
      <c r="AH1588" s="1" t="s">
        <v>58</v>
      </c>
      <c r="AI1588" s="1" t="s">
        <v>59</v>
      </c>
      <c r="AJ1588" s="1" t="s">
        <v>59</v>
      </c>
      <c r="AK1588" s="1" t="s">
        <v>60</v>
      </c>
      <c r="AL1588" s="1" t="s">
        <v>60</v>
      </c>
      <c r="AW1588" s="1" t="s">
        <v>1197</v>
      </c>
      <c r="AY1588" s="1">
        <v>2.0</v>
      </c>
      <c r="AZ1588" s="1">
        <v>37.99</v>
      </c>
      <c r="BB1588" s="1">
        <v>75.98</v>
      </c>
    </row>
    <row r="1589">
      <c r="A1589" s="1" t="s">
        <v>178</v>
      </c>
      <c r="C1589" s="1" t="s">
        <v>56</v>
      </c>
      <c r="D1589" s="1" t="s">
        <v>2625</v>
      </c>
      <c r="Y1589" s="2">
        <v>45515.0</v>
      </c>
      <c r="AE1589" s="1">
        <v>134.99</v>
      </c>
      <c r="AG1589" s="3" t="str">
        <f>"2000006158089391"</f>
        <v>2000006158089391</v>
      </c>
      <c r="AH1589" s="1" t="s">
        <v>58</v>
      </c>
      <c r="AI1589" s="1" t="s">
        <v>59</v>
      </c>
      <c r="AJ1589" s="1" t="s">
        <v>59</v>
      </c>
      <c r="AK1589" s="1" t="s">
        <v>60</v>
      </c>
      <c r="AL1589" s="1" t="s">
        <v>60</v>
      </c>
      <c r="AW1589" s="1" t="s">
        <v>180</v>
      </c>
      <c r="AY1589" s="1">
        <v>1.0</v>
      </c>
      <c r="AZ1589" s="1">
        <v>134.99</v>
      </c>
      <c r="BB1589" s="1">
        <v>134.99</v>
      </c>
    </row>
    <row r="1590">
      <c r="A1590" s="1" t="s">
        <v>345</v>
      </c>
      <c r="C1590" s="1" t="s">
        <v>56</v>
      </c>
      <c r="D1590" s="1" t="s">
        <v>2626</v>
      </c>
      <c r="Y1590" s="2">
        <v>45515.0</v>
      </c>
      <c r="AE1590" s="1">
        <v>164.99</v>
      </c>
      <c r="AG1590" s="3" t="str">
        <f>"2000009005651840"</f>
        <v>2000009005651840</v>
      </c>
      <c r="AH1590" s="1" t="s">
        <v>58</v>
      </c>
      <c r="AI1590" s="1" t="s">
        <v>59</v>
      </c>
      <c r="AJ1590" s="1" t="s">
        <v>59</v>
      </c>
      <c r="AK1590" s="1" t="s">
        <v>60</v>
      </c>
      <c r="AL1590" s="1" t="s">
        <v>60</v>
      </c>
      <c r="AW1590" s="1" t="s">
        <v>347</v>
      </c>
      <c r="AY1590" s="1">
        <v>1.0</v>
      </c>
      <c r="AZ1590" s="1">
        <v>164.99</v>
      </c>
      <c r="BB1590" s="1">
        <v>164.99</v>
      </c>
    </row>
    <row r="1591">
      <c r="A1591" s="1" t="s">
        <v>2627</v>
      </c>
      <c r="C1591" s="1" t="s">
        <v>56</v>
      </c>
      <c r="D1591" s="1" t="s">
        <v>2628</v>
      </c>
      <c r="Y1591" s="2">
        <v>45515.0</v>
      </c>
      <c r="AE1591" s="1">
        <v>69.99</v>
      </c>
      <c r="AG1591" s="3" t="str">
        <f>"2000006158121599"</f>
        <v>2000006158121599</v>
      </c>
      <c r="AH1591" s="1" t="s">
        <v>58</v>
      </c>
      <c r="AI1591" s="1" t="s">
        <v>59</v>
      </c>
      <c r="AJ1591" s="1" t="s">
        <v>59</v>
      </c>
      <c r="AK1591" s="1" t="s">
        <v>60</v>
      </c>
      <c r="AL1591" s="1" t="s">
        <v>60</v>
      </c>
      <c r="AW1591" s="1" t="s">
        <v>2629</v>
      </c>
      <c r="AY1591" s="1">
        <v>1.0</v>
      </c>
      <c r="AZ1591" s="1">
        <v>69.99</v>
      </c>
      <c r="BB1591" s="1">
        <v>69.99</v>
      </c>
    </row>
    <row r="1592">
      <c r="A1592" s="1" t="s">
        <v>2473</v>
      </c>
      <c r="C1592" s="1" t="s">
        <v>56</v>
      </c>
      <c r="D1592" s="1" t="s">
        <v>2630</v>
      </c>
      <c r="Y1592" s="2">
        <v>45515.0</v>
      </c>
      <c r="AE1592" s="1">
        <v>57.99</v>
      </c>
      <c r="AG1592" s="3" t="str">
        <f>"2000006158111163"</f>
        <v>2000006158111163</v>
      </c>
      <c r="AH1592" s="1" t="s">
        <v>58</v>
      </c>
      <c r="AI1592" s="1" t="s">
        <v>59</v>
      </c>
      <c r="AJ1592" s="1" t="s">
        <v>59</v>
      </c>
      <c r="AK1592" s="1" t="s">
        <v>60</v>
      </c>
      <c r="AL1592" s="1" t="s">
        <v>60</v>
      </c>
      <c r="AW1592" s="1" t="s">
        <v>2475</v>
      </c>
      <c r="AY1592" s="1">
        <v>1.0</v>
      </c>
      <c r="AZ1592" s="1">
        <v>57.99</v>
      </c>
      <c r="BB1592" s="1">
        <v>57.99</v>
      </c>
    </row>
    <row r="1593">
      <c r="A1593" s="1" t="s">
        <v>2426</v>
      </c>
      <c r="C1593" s="1" t="s">
        <v>56</v>
      </c>
      <c r="D1593" s="1" t="s">
        <v>2631</v>
      </c>
      <c r="Y1593" s="2">
        <v>45515.0</v>
      </c>
      <c r="AE1593" s="1">
        <v>96.99</v>
      </c>
      <c r="AG1593" s="3" t="str">
        <f>"2000006158086245"</f>
        <v>2000006158086245</v>
      </c>
      <c r="AH1593" s="1" t="s">
        <v>58</v>
      </c>
      <c r="AI1593" s="1" t="s">
        <v>59</v>
      </c>
      <c r="AJ1593" s="1" t="s">
        <v>59</v>
      </c>
      <c r="AK1593" s="1" t="s">
        <v>60</v>
      </c>
      <c r="AL1593" s="1" t="s">
        <v>60</v>
      </c>
      <c r="AW1593" s="1" t="s">
        <v>2427</v>
      </c>
      <c r="AY1593" s="1">
        <v>1.0</v>
      </c>
      <c r="AZ1593" s="1">
        <v>96.99</v>
      </c>
      <c r="BB1593" s="1">
        <v>96.99</v>
      </c>
    </row>
    <row r="1594">
      <c r="A1594" s="1" t="s">
        <v>2632</v>
      </c>
      <c r="C1594" s="1" t="s">
        <v>56</v>
      </c>
      <c r="D1594" s="1" t="s">
        <v>2633</v>
      </c>
      <c r="Y1594" s="2">
        <v>45515.0</v>
      </c>
      <c r="AE1594" s="1">
        <v>94.99</v>
      </c>
      <c r="AG1594" s="3" t="str">
        <f>"2000006158074877"</f>
        <v>2000006158074877</v>
      </c>
      <c r="AH1594" s="1" t="s">
        <v>58</v>
      </c>
      <c r="AI1594" s="1" t="s">
        <v>59</v>
      </c>
      <c r="AJ1594" s="1" t="s">
        <v>59</v>
      </c>
      <c r="AK1594" s="1" t="s">
        <v>60</v>
      </c>
      <c r="AL1594" s="1" t="s">
        <v>60</v>
      </c>
      <c r="AW1594" s="1" t="s">
        <v>2634</v>
      </c>
      <c r="AY1594" s="1">
        <v>1.0</v>
      </c>
      <c r="AZ1594" s="1">
        <v>94.99</v>
      </c>
      <c r="BB1594" s="1">
        <v>94.99</v>
      </c>
    </row>
    <row r="1595">
      <c r="A1595" s="1" t="s">
        <v>280</v>
      </c>
      <c r="C1595" s="1" t="s">
        <v>56</v>
      </c>
      <c r="D1595" s="1" t="s">
        <v>2635</v>
      </c>
      <c r="Y1595" s="2">
        <v>45515.0</v>
      </c>
      <c r="AE1595" s="1">
        <v>119.99</v>
      </c>
      <c r="AG1595" s="3" t="str">
        <f>"2000009005487620"</f>
        <v>2000009005487620</v>
      </c>
      <c r="AH1595" s="1" t="s">
        <v>58</v>
      </c>
      <c r="AI1595" s="1" t="s">
        <v>59</v>
      </c>
      <c r="AJ1595" s="1" t="s">
        <v>59</v>
      </c>
      <c r="AK1595" s="1" t="s">
        <v>60</v>
      </c>
      <c r="AL1595" s="1" t="s">
        <v>60</v>
      </c>
      <c r="AW1595" s="1" t="s">
        <v>282</v>
      </c>
      <c r="AY1595" s="1">
        <v>1.0</v>
      </c>
      <c r="AZ1595" s="1">
        <v>119.99</v>
      </c>
      <c r="BB1595" s="1">
        <v>119.99</v>
      </c>
    </row>
    <row r="1596">
      <c r="A1596" s="1" t="s">
        <v>798</v>
      </c>
      <c r="C1596" s="1" t="s">
        <v>56</v>
      </c>
      <c r="D1596" s="1" t="s">
        <v>2636</v>
      </c>
      <c r="Y1596" s="2">
        <v>45515.0</v>
      </c>
      <c r="AE1596" s="1">
        <v>89.99</v>
      </c>
      <c r="AG1596" s="3" t="str">
        <f>"2000006158007997"</f>
        <v>2000006158007997</v>
      </c>
      <c r="AH1596" s="1" t="s">
        <v>58</v>
      </c>
      <c r="AI1596" s="1" t="s">
        <v>59</v>
      </c>
      <c r="AJ1596" s="1" t="s">
        <v>59</v>
      </c>
      <c r="AK1596" s="1" t="s">
        <v>60</v>
      </c>
      <c r="AL1596" s="1" t="s">
        <v>60</v>
      </c>
      <c r="AW1596" s="1" t="s">
        <v>800</v>
      </c>
      <c r="AY1596" s="1">
        <v>1.0</v>
      </c>
      <c r="AZ1596" s="1">
        <v>89.99</v>
      </c>
      <c r="BB1596" s="1">
        <v>89.99</v>
      </c>
    </row>
    <row r="1597">
      <c r="A1597" s="1" t="s">
        <v>880</v>
      </c>
      <c r="C1597" s="1" t="s">
        <v>56</v>
      </c>
      <c r="D1597" s="1" t="s">
        <v>2637</v>
      </c>
      <c r="Y1597" s="2">
        <v>45515.0</v>
      </c>
      <c r="AE1597" s="1">
        <v>99.99</v>
      </c>
      <c r="AG1597" s="3" t="str">
        <f>"2000006157971229"</f>
        <v>2000006157971229</v>
      </c>
      <c r="AH1597" s="1" t="s">
        <v>58</v>
      </c>
      <c r="AI1597" s="1" t="s">
        <v>59</v>
      </c>
      <c r="AJ1597" s="1" t="s">
        <v>59</v>
      </c>
      <c r="AK1597" s="1" t="s">
        <v>60</v>
      </c>
      <c r="AL1597" s="1" t="s">
        <v>60</v>
      </c>
      <c r="AW1597" s="1" t="s">
        <v>882</v>
      </c>
      <c r="AY1597" s="1">
        <v>1.0</v>
      </c>
      <c r="AZ1597" s="1">
        <v>99.99</v>
      </c>
      <c r="BB1597" s="1">
        <v>99.99</v>
      </c>
    </row>
    <row r="1598">
      <c r="A1598" s="1" t="s">
        <v>2490</v>
      </c>
      <c r="C1598" s="1" t="s">
        <v>56</v>
      </c>
      <c r="D1598" s="1" t="s">
        <v>2638</v>
      </c>
      <c r="Y1598" s="2">
        <v>45515.0</v>
      </c>
      <c r="AE1598" s="1">
        <v>64.99</v>
      </c>
      <c r="AG1598" s="3" t="str">
        <f>"2000006157892703"</f>
        <v>2000006157892703</v>
      </c>
      <c r="AH1598" s="1" t="s">
        <v>58</v>
      </c>
      <c r="AI1598" s="1" t="s">
        <v>59</v>
      </c>
      <c r="AJ1598" s="1" t="s">
        <v>59</v>
      </c>
      <c r="AK1598" s="1" t="s">
        <v>60</v>
      </c>
      <c r="AL1598" s="1" t="s">
        <v>60</v>
      </c>
      <c r="AW1598" s="1" t="s">
        <v>2492</v>
      </c>
      <c r="AY1598" s="1">
        <v>1.0</v>
      </c>
      <c r="AZ1598" s="1">
        <v>64.99</v>
      </c>
      <c r="BB1598" s="1">
        <v>64.99</v>
      </c>
    </row>
    <row r="1599">
      <c r="A1599" s="1" t="s">
        <v>1212</v>
      </c>
      <c r="C1599" s="1" t="s">
        <v>56</v>
      </c>
      <c r="D1599" s="1" t="s">
        <v>2639</v>
      </c>
      <c r="Y1599" s="2">
        <v>45515.0</v>
      </c>
      <c r="AE1599" s="1">
        <v>89.99</v>
      </c>
      <c r="AG1599" s="3" t="str">
        <f>"2000006157885493"</f>
        <v>2000006157885493</v>
      </c>
      <c r="AH1599" s="1" t="s">
        <v>58</v>
      </c>
      <c r="AI1599" s="1" t="s">
        <v>59</v>
      </c>
      <c r="AJ1599" s="1" t="s">
        <v>59</v>
      </c>
      <c r="AK1599" s="1" t="s">
        <v>60</v>
      </c>
      <c r="AL1599" s="1" t="s">
        <v>60</v>
      </c>
      <c r="AW1599" s="1" t="s">
        <v>1214</v>
      </c>
      <c r="AY1599" s="1">
        <v>1.0</v>
      </c>
      <c r="AZ1599" s="1">
        <v>89.99</v>
      </c>
      <c r="BB1599" s="1">
        <v>89.99</v>
      </c>
    </row>
    <row r="1600">
      <c r="A1600" s="1" t="s">
        <v>141</v>
      </c>
      <c r="C1600" s="1" t="s">
        <v>56</v>
      </c>
      <c r="D1600" s="1" t="s">
        <v>2640</v>
      </c>
      <c r="Y1600" s="2">
        <v>45515.0</v>
      </c>
      <c r="AE1600" s="1">
        <v>139.99</v>
      </c>
      <c r="AG1600" s="3" t="str">
        <f>"2000006157666313"</f>
        <v>2000006157666313</v>
      </c>
      <c r="AH1600" s="1" t="s">
        <v>58</v>
      </c>
      <c r="AI1600" s="1" t="s">
        <v>59</v>
      </c>
      <c r="AJ1600" s="1" t="s">
        <v>59</v>
      </c>
      <c r="AK1600" s="1" t="s">
        <v>60</v>
      </c>
      <c r="AL1600" s="1" t="s">
        <v>60</v>
      </c>
      <c r="AW1600" s="1" t="s">
        <v>143</v>
      </c>
      <c r="AY1600" s="1">
        <v>1.0</v>
      </c>
      <c r="AZ1600" s="1">
        <v>139.99</v>
      </c>
      <c r="BB1600" s="1">
        <v>139.99</v>
      </c>
    </row>
    <row r="1601">
      <c r="A1601" s="1" t="s">
        <v>734</v>
      </c>
      <c r="C1601" s="1" t="s">
        <v>56</v>
      </c>
      <c r="D1601" s="1" t="s">
        <v>2641</v>
      </c>
      <c r="Y1601" s="2">
        <v>45515.0</v>
      </c>
      <c r="AE1601" s="1">
        <v>59.99</v>
      </c>
      <c r="AG1601" s="3" t="str">
        <f>"2000006157660015"</f>
        <v>2000006157660015</v>
      </c>
      <c r="AH1601" s="1" t="s">
        <v>58</v>
      </c>
      <c r="AI1601" s="1" t="s">
        <v>59</v>
      </c>
      <c r="AJ1601" s="1" t="s">
        <v>59</v>
      </c>
      <c r="AK1601" s="1" t="s">
        <v>60</v>
      </c>
      <c r="AL1601" s="1" t="s">
        <v>60</v>
      </c>
      <c r="AW1601" s="1" t="s">
        <v>736</v>
      </c>
      <c r="AY1601" s="1">
        <v>1.0</v>
      </c>
      <c r="AZ1601" s="1">
        <v>59.99</v>
      </c>
      <c r="BB1601" s="1">
        <v>59.99</v>
      </c>
    </row>
    <row r="1602">
      <c r="A1602" s="1" t="s">
        <v>1775</v>
      </c>
      <c r="C1602" s="1" t="s">
        <v>56</v>
      </c>
      <c r="D1602" s="1" t="s">
        <v>2642</v>
      </c>
      <c r="Y1602" s="2">
        <v>45515.0</v>
      </c>
      <c r="AE1602" s="1">
        <v>41.48</v>
      </c>
      <c r="AG1602" s="3" t="str">
        <f>"2000006157661867"</f>
        <v>2000006157661867</v>
      </c>
      <c r="AH1602" s="1" t="s">
        <v>58</v>
      </c>
      <c r="AI1602" s="1" t="s">
        <v>59</v>
      </c>
      <c r="AJ1602" s="1" t="s">
        <v>59</v>
      </c>
      <c r="AK1602" s="1" t="s">
        <v>60</v>
      </c>
      <c r="AL1602" s="1" t="s">
        <v>60</v>
      </c>
      <c r="AW1602" s="1" t="s">
        <v>1777</v>
      </c>
      <c r="AY1602" s="1">
        <v>1.0</v>
      </c>
      <c r="AZ1602" s="1">
        <v>41.48</v>
      </c>
      <c r="BB1602" s="1">
        <v>41.48</v>
      </c>
    </row>
    <row r="1603">
      <c r="A1603" s="1" t="s">
        <v>117</v>
      </c>
      <c r="C1603" s="1" t="s">
        <v>56</v>
      </c>
      <c r="D1603" s="1" t="s">
        <v>2643</v>
      </c>
      <c r="Y1603" s="2">
        <v>45515.0</v>
      </c>
      <c r="AE1603" s="1">
        <v>129.99</v>
      </c>
      <c r="AG1603" s="3" t="str">
        <f>"2000006157643891"</f>
        <v>2000006157643891</v>
      </c>
      <c r="AH1603" s="1" t="s">
        <v>58</v>
      </c>
      <c r="AI1603" s="1" t="s">
        <v>59</v>
      </c>
      <c r="AJ1603" s="1" t="s">
        <v>59</v>
      </c>
      <c r="AK1603" s="1" t="s">
        <v>60</v>
      </c>
      <c r="AL1603" s="1" t="s">
        <v>60</v>
      </c>
      <c r="AW1603" s="1" t="s">
        <v>763</v>
      </c>
      <c r="AY1603" s="1">
        <v>1.0</v>
      </c>
      <c r="AZ1603" s="1">
        <v>129.99</v>
      </c>
      <c r="BB1603" s="1">
        <v>129.99</v>
      </c>
    </row>
    <row r="1604">
      <c r="A1604" s="1" t="s">
        <v>474</v>
      </c>
      <c r="C1604" s="1" t="s">
        <v>56</v>
      </c>
      <c r="D1604" s="1" t="s">
        <v>2644</v>
      </c>
      <c r="Y1604" s="2">
        <v>45515.0</v>
      </c>
      <c r="AE1604" s="1">
        <v>159.99</v>
      </c>
      <c r="AG1604" s="3" t="str">
        <f>"2000006157615019"</f>
        <v>2000006157615019</v>
      </c>
      <c r="AH1604" s="1" t="s">
        <v>58</v>
      </c>
      <c r="AI1604" s="1" t="s">
        <v>59</v>
      </c>
      <c r="AJ1604" s="1" t="s">
        <v>59</v>
      </c>
      <c r="AK1604" s="1" t="s">
        <v>60</v>
      </c>
      <c r="AL1604" s="1" t="s">
        <v>60</v>
      </c>
      <c r="AW1604" s="1" t="s">
        <v>476</v>
      </c>
      <c r="AY1604" s="1">
        <v>1.0</v>
      </c>
      <c r="AZ1604" s="1">
        <v>159.99</v>
      </c>
      <c r="BB1604" s="1">
        <v>159.99</v>
      </c>
    </row>
    <row r="1605">
      <c r="A1605" s="1" t="s">
        <v>1946</v>
      </c>
      <c r="C1605" s="1" t="s">
        <v>56</v>
      </c>
      <c r="D1605" s="1" t="s">
        <v>2645</v>
      </c>
      <c r="Y1605" s="2">
        <v>45515.0</v>
      </c>
      <c r="AE1605" s="1">
        <v>39.99</v>
      </c>
      <c r="AG1605" s="3" t="str">
        <f>"2000006157604651"</f>
        <v>2000006157604651</v>
      </c>
      <c r="AH1605" s="1" t="s">
        <v>58</v>
      </c>
      <c r="AI1605" s="1" t="s">
        <v>59</v>
      </c>
      <c r="AJ1605" s="1" t="s">
        <v>59</v>
      </c>
      <c r="AK1605" s="1" t="s">
        <v>60</v>
      </c>
      <c r="AL1605" s="1" t="s">
        <v>60</v>
      </c>
      <c r="AW1605" s="1" t="s">
        <v>1529</v>
      </c>
      <c r="AY1605" s="1">
        <v>1.0</v>
      </c>
      <c r="AZ1605" s="1">
        <v>39.99</v>
      </c>
      <c r="BB1605" s="1">
        <v>39.99</v>
      </c>
    </row>
    <row r="1606">
      <c r="A1606" s="1" t="s">
        <v>757</v>
      </c>
      <c r="C1606" s="1" t="s">
        <v>56</v>
      </c>
      <c r="D1606" s="1" t="s">
        <v>2646</v>
      </c>
      <c r="Y1606" s="2">
        <v>45515.0</v>
      </c>
      <c r="AE1606" s="1">
        <v>499.99</v>
      </c>
      <c r="AG1606" s="3" t="str">
        <f>"2000009004541024"</f>
        <v>2000009004541024</v>
      </c>
      <c r="AH1606" s="1" t="s">
        <v>58</v>
      </c>
      <c r="AI1606" s="1" t="s">
        <v>59</v>
      </c>
      <c r="AJ1606" s="1" t="s">
        <v>59</v>
      </c>
      <c r="AK1606" s="1" t="s">
        <v>60</v>
      </c>
      <c r="AL1606" s="1" t="s">
        <v>60</v>
      </c>
      <c r="AW1606" s="1" t="s">
        <v>759</v>
      </c>
      <c r="AY1606" s="1">
        <v>1.0</v>
      </c>
      <c r="AZ1606" s="1">
        <v>499.99</v>
      </c>
      <c r="BB1606" s="1">
        <v>499.99</v>
      </c>
    </row>
    <row r="1607">
      <c r="A1607" s="1" t="s">
        <v>966</v>
      </c>
      <c r="C1607" s="1" t="s">
        <v>56</v>
      </c>
      <c r="D1607" s="1" t="s">
        <v>2647</v>
      </c>
      <c r="Y1607" s="2">
        <v>45515.0</v>
      </c>
      <c r="AE1607" s="1">
        <v>459.99</v>
      </c>
      <c r="AG1607" s="3" t="str">
        <f>"2000009004534318"</f>
        <v>2000009004534318</v>
      </c>
      <c r="AH1607" s="1" t="s">
        <v>58</v>
      </c>
      <c r="AI1607" s="1" t="s">
        <v>59</v>
      </c>
      <c r="AJ1607" s="1" t="s">
        <v>59</v>
      </c>
      <c r="AK1607" s="1" t="s">
        <v>60</v>
      </c>
      <c r="AL1607" s="1" t="s">
        <v>60</v>
      </c>
      <c r="AW1607" s="1" t="s">
        <v>968</v>
      </c>
      <c r="AY1607" s="1">
        <v>1.0</v>
      </c>
      <c r="AZ1607" s="1">
        <v>459.99</v>
      </c>
      <c r="BB1607" s="1">
        <v>459.99</v>
      </c>
    </row>
    <row r="1608">
      <c r="A1608" s="1" t="s">
        <v>329</v>
      </c>
      <c r="C1608" s="1" t="s">
        <v>56</v>
      </c>
      <c r="D1608" s="1" t="s">
        <v>2648</v>
      </c>
      <c r="Y1608" s="2">
        <v>45515.0</v>
      </c>
      <c r="AE1608" s="1">
        <v>429.99</v>
      </c>
      <c r="AG1608" s="3" t="str">
        <f>"2000006157557503"</f>
        <v>2000006157557503</v>
      </c>
      <c r="AH1608" s="1" t="s">
        <v>58</v>
      </c>
      <c r="AI1608" s="1" t="s">
        <v>59</v>
      </c>
      <c r="AJ1608" s="1" t="s">
        <v>59</v>
      </c>
      <c r="AK1608" s="1" t="s">
        <v>60</v>
      </c>
      <c r="AL1608" s="1" t="s">
        <v>60</v>
      </c>
      <c r="AW1608" s="1" t="s">
        <v>331</v>
      </c>
      <c r="AY1608" s="1">
        <v>1.0</v>
      </c>
      <c r="AZ1608" s="1">
        <v>429.99</v>
      </c>
      <c r="BB1608" s="1">
        <v>429.99</v>
      </c>
    </row>
    <row r="1609">
      <c r="A1609" s="1" t="s">
        <v>2649</v>
      </c>
      <c r="C1609" s="1" t="s">
        <v>56</v>
      </c>
      <c r="D1609" s="1" t="s">
        <v>2650</v>
      </c>
      <c r="Y1609" s="2">
        <v>45515.0</v>
      </c>
      <c r="AE1609" s="1">
        <v>89.99</v>
      </c>
      <c r="AG1609" s="3" t="str">
        <f>"2000006157555805"</f>
        <v>2000006157555805</v>
      </c>
      <c r="AH1609" s="1" t="s">
        <v>58</v>
      </c>
      <c r="AI1609" s="1" t="s">
        <v>59</v>
      </c>
      <c r="AJ1609" s="1" t="s">
        <v>59</v>
      </c>
      <c r="AK1609" s="1" t="s">
        <v>60</v>
      </c>
      <c r="AL1609" s="1" t="s">
        <v>60</v>
      </c>
      <c r="AW1609" s="1" t="s">
        <v>2651</v>
      </c>
      <c r="AY1609" s="1">
        <v>1.0</v>
      </c>
      <c r="AZ1609" s="1">
        <v>89.99</v>
      </c>
      <c r="BB1609" s="1">
        <v>89.99</v>
      </c>
    </row>
    <row r="1610">
      <c r="A1610" s="1" t="s">
        <v>2652</v>
      </c>
      <c r="C1610" s="1" t="s">
        <v>56</v>
      </c>
      <c r="D1610" s="1" t="s">
        <v>2653</v>
      </c>
      <c r="Y1610" s="2">
        <v>45515.0</v>
      </c>
      <c r="AE1610" s="1">
        <v>69.99</v>
      </c>
      <c r="AG1610" s="3" t="str">
        <f>"2000009004485878"</f>
        <v>2000009004485878</v>
      </c>
      <c r="AH1610" s="1" t="s">
        <v>58</v>
      </c>
      <c r="AI1610" s="1" t="s">
        <v>59</v>
      </c>
      <c r="AJ1610" s="1" t="s">
        <v>59</v>
      </c>
      <c r="AK1610" s="1" t="s">
        <v>60</v>
      </c>
      <c r="AL1610" s="1" t="s">
        <v>60</v>
      </c>
      <c r="AW1610" s="1" t="s">
        <v>2654</v>
      </c>
      <c r="AY1610" s="1">
        <v>1.0</v>
      </c>
      <c r="AZ1610" s="1">
        <v>69.99</v>
      </c>
      <c r="BB1610" s="1">
        <v>69.99</v>
      </c>
    </row>
    <row r="1611">
      <c r="A1611" s="1" t="s">
        <v>2655</v>
      </c>
      <c r="C1611" s="1" t="s">
        <v>56</v>
      </c>
      <c r="D1611" s="1" t="s">
        <v>2656</v>
      </c>
      <c r="Y1611" s="2">
        <v>45515.0</v>
      </c>
      <c r="AE1611" s="1">
        <v>64.99</v>
      </c>
      <c r="AG1611" s="3" t="str">
        <f t="shared" ref="AG1611:AG1612" si="68">"2000006157499093"</f>
        <v>2000006157499093</v>
      </c>
      <c r="AH1611" s="1" t="s">
        <v>58</v>
      </c>
      <c r="AI1611" s="1" t="s">
        <v>59</v>
      </c>
      <c r="AJ1611" s="1" t="s">
        <v>59</v>
      </c>
      <c r="AK1611" s="1" t="s">
        <v>60</v>
      </c>
      <c r="AL1611" s="1" t="s">
        <v>60</v>
      </c>
      <c r="AW1611" s="1" t="s">
        <v>437</v>
      </c>
      <c r="AY1611" s="1">
        <v>1.0</v>
      </c>
      <c r="AZ1611" s="1">
        <v>64.99</v>
      </c>
      <c r="BB1611" s="1">
        <v>64.99</v>
      </c>
    </row>
    <row r="1612">
      <c r="A1612" s="1" t="s">
        <v>556</v>
      </c>
      <c r="C1612" s="1" t="s">
        <v>56</v>
      </c>
      <c r="D1612" s="1" t="s">
        <v>2656</v>
      </c>
      <c r="Y1612" s="2">
        <v>45515.0</v>
      </c>
      <c r="AE1612" s="1">
        <v>59.99</v>
      </c>
      <c r="AG1612" s="3" t="str">
        <f t="shared" si="68"/>
        <v>2000006157499093</v>
      </c>
      <c r="AH1612" s="1" t="s">
        <v>58</v>
      </c>
      <c r="AI1612" s="1" t="s">
        <v>59</v>
      </c>
      <c r="AJ1612" s="1" t="s">
        <v>59</v>
      </c>
      <c r="AK1612" s="1" t="s">
        <v>60</v>
      </c>
      <c r="AL1612" s="1" t="s">
        <v>60</v>
      </c>
      <c r="AW1612" s="1" t="s">
        <v>558</v>
      </c>
      <c r="AY1612" s="1">
        <v>1.0</v>
      </c>
      <c r="AZ1612" s="1">
        <v>59.99</v>
      </c>
      <c r="BB1612" s="1">
        <v>59.99</v>
      </c>
    </row>
    <row r="1613">
      <c r="A1613" s="1" t="s">
        <v>655</v>
      </c>
      <c r="C1613" s="1" t="s">
        <v>235</v>
      </c>
      <c r="D1613" s="1" t="s">
        <v>2657</v>
      </c>
      <c r="Y1613" s="2">
        <v>45515.0</v>
      </c>
      <c r="AE1613" s="1">
        <v>74.99</v>
      </c>
      <c r="AG1613" s="3" t="str">
        <f>"2000006157463149"</f>
        <v>2000006157463149</v>
      </c>
      <c r="AH1613" s="1" t="s">
        <v>58</v>
      </c>
      <c r="AI1613" s="1" t="s">
        <v>59</v>
      </c>
      <c r="AJ1613" s="1" t="s">
        <v>59</v>
      </c>
      <c r="AK1613" s="1" t="s">
        <v>60</v>
      </c>
      <c r="AL1613" s="1" t="s">
        <v>60</v>
      </c>
      <c r="AW1613" s="1" t="s">
        <v>657</v>
      </c>
      <c r="AY1613" s="1">
        <v>1.0</v>
      </c>
      <c r="AZ1613" s="1">
        <v>74.99</v>
      </c>
      <c r="BB1613" s="1">
        <v>74.99</v>
      </c>
    </row>
    <row r="1614">
      <c r="A1614" s="1" t="s">
        <v>77</v>
      </c>
      <c r="C1614" s="1" t="s">
        <v>56</v>
      </c>
      <c r="D1614" s="1" t="s">
        <v>2658</v>
      </c>
      <c r="Y1614" s="2">
        <v>45515.0</v>
      </c>
      <c r="AE1614" s="1">
        <v>64.99</v>
      </c>
      <c r="AG1614" s="3" t="str">
        <f>"2000006157461117"</f>
        <v>2000006157461117</v>
      </c>
      <c r="AH1614" s="1" t="s">
        <v>58</v>
      </c>
      <c r="AI1614" s="1" t="s">
        <v>59</v>
      </c>
      <c r="AJ1614" s="1" t="s">
        <v>59</v>
      </c>
      <c r="AK1614" s="1" t="s">
        <v>60</v>
      </c>
      <c r="AL1614" s="1" t="s">
        <v>60</v>
      </c>
      <c r="AW1614" s="1" t="s">
        <v>79</v>
      </c>
      <c r="AY1614" s="1">
        <v>1.0</v>
      </c>
      <c r="AZ1614" s="1">
        <v>64.99</v>
      </c>
      <c r="BB1614" s="1">
        <v>64.99</v>
      </c>
    </row>
    <row r="1615">
      <c r="A1615" s="1" t="s">
        <v>2659</v>
      </c>
      <c r="C1615" s="1" t="s">
        <v>56</v>
      </c>
      <c r="D1615" s="1" t="s">
        <v>2660</v>
      </c>
      <c r="Y1615" s="2">
        <v>45515.0</v>
      </c>
      <c r="AE1615" s="1">
        <v>369.99</v>
      </c>
      <c r="AG1615" s="3" t="str">
        <f>"2000009004369382"</f>
        <v>2000009004369382</v>
      </c>
      <c r="AH1615" s="1" t="s">
        <v>58</v>
      </c>
      <c r="AI1615" s="1" t="s">
        <v>59</v>
      </c>
      <c r="AJ1615" s="1" t="s">
        <v>59</v>
      </c>
      <c r="AK1615" s="1" t="s">
        <v>60</v>
      </c>
      <c r="AL1615" s="1" t="s">
        <v>60</v>
      </c>
      <c r="AW1615" s="1" t="s">
        <v>2661</v>
      </c>
      <c r="AY1615" s="1">
        <v>1.0</v>
      </c>
      <c r="AZ1615" s="1">
        <v>369.99</v>
      </c>
      <c r="BB1615" s="1">
        <v>369.99</v>
      </c>
    </row>
    <row r="1616">
      <c r="A1616" s="1" t="s">
        <v>974</v>
      </c>
      <c r="C1616" s="1" t="s">
        <v>56</v>
      </c>
      <c r="D1616" s="1" t="s">
        <v>2662</v>
      </c>
      <c r="Y1616" s="2">
        <v>45515.0</v>
      </c>
      <c r="AE1616" s="1">
        <v>89.99</v>
      </c>
      <c r="AG1616" s="3" t="str">
        <f>"2000006157445565"</f>
        <v>2000006157445565</v>
      </c>
      <c r="AH1616" s="1" t="s">
        <v>58</v>
      </c>
      <c r="AI1616" s="1" t="s">
        <v>59</v>
      </c>
      <c r="AJ1616" s="1" t="s">
        <v>59</v>
      </c>
      <c r="AK1616" s="1" t="s">
        <v>60</v>
      </c>
      <c r="AL1616" s="1" t="s">
        <v>60</v>
      </c>
      <c r="AW1616" s="1" t="s">
        <v>975</v>
      </c>
      <c r="AY1616" s="1">
        <v>1.0</v>
      </c>
      <c r="AZ1616" s="1">
        <v>89.99</v>
      </c>
      <c r="BB1616" s="1">
        <v>89.99</v>
      </c>
    </row>
    <row r="1617">
      <c r="A1617" s="1" t="s">
        <v>1354</v>
      </c>
      <c r="C1617" s="1" t="s">
        <v>56</v>
      </c>
      <c r="D1617" s="1" t="s">
        <v>2663</v>
      </c>
      <c r="Y1617" s="2">
        <v>45515.0</v>
      </c>
      <c r="AE1617" s="1">
        <v>84.99</v>
      </c>
      <c r="AG1617" s="3" t="str">
        <f>"2000006157439159"</f>
        <v>2000006157439159</v>
      </c>
      <c r="AH1617" s="1" t="s">
        <v>58</v>
      </c>
      <c r="AI1617" s="1" t="s">
        <v>59</v>
      </c>
      <c r="AJ1617" s="1" t="s">
        <v>59</v>
      </c>
      <c r="AK1617" s="1" t="s">
        <v>60</v>
      </c>
      <c r="AL1617" s="1" t="s">
        <v>60</v>
      </c>
      <c r="AW1617" s="1" t="s">
        <v>1356</v>
      </c>
      <c r="AY1617" s="1">
        <v>1.0</v>
      </c>
      <c r="AZ1617" s="1">
        <v>84.99</v>
      </c>
      <c r="BB1617" s="1">
        <v>84.99</v>
      </c>
    </row>
    <row r="1618">
      <c r="A1618" s="1" t="s">
        <v>1354</v>
      </c>
      <c r="C1618" s="1" t="s">
        <v>56</v>
      </c>
      <c r="D1618" s="1" t="s">
        <v>2663</v>
      </c>
      <c r="Y1618" s="2">
        <v>45515.0</v>
      </c>
      <c r="AE1618" s="1">
        <v>84.99</v>
      </c>
      <c r="AG1618" s="3" t="str">
        <f>"2000006157439155"</f>
        <v>2000006157439155</v>
      </c>
      <c r="AH1618" s="1" t="s">
        <v>58</v>
      </c>
      <c r="AI1618" s="1" t="s">
        <v>59</v>
      </c>
      <c r="AJ1618" s="1" t="s">
        <v>59</v>
      </c>
      <c r="AK1618" s="1" t="s">
        <v>60</v>
      </c>
      <c r="AL1618" s="1" t="s">
        <v>60</v>
      </c>
      <c r="AW1618" s="1" t="s">
        <v>1356</v>
      </c>
      <c r="AY1618" s="1">
        <v>1.0</v>
      </c>
      <c r="AZ1618" s="1">
        <v>84.99</v>
      </c>
      <c r="BB1618" s="1">
        <v>84.99</v>
      </c>
    </row>
    <row r="1619">
      <c r="A1619" s="1" t="s">
        <v>249</v>
      </c>
      <c r="C1619" s="1" t="s">
        <v>56</v>
      </c>
      <c r="D1619" s="1" t="s">
        <v>2663</v>
      </c>
      <c r="Y1619" s="2">
        <v>45515.0</v>
      </c>
      <c r="AE1619" s="1">
        <v>64.99</v>
      </c>
      <c r="AG1619" s="3" t="str">
        <f>"2000006157439161"</f>
        <v>2000006157439161</v>
      </c>
      <c r="AH1619" s="1" t="s">
        <v>58</v>
      </c>
      <c r="AI1619" s="1" t="s">
        <v>59</v>
      </c>
      <c r="AJ1619" s="1" t="s">
        <v>59</v>
      </c>
      <c r="AK1619" s="1" t="s">
        <v>60</v>
      </c>
      <c r="AL1619" s="1" t="s">
        <v>60</v>
      </c>
      <c r="AW1619" s="1" t="s">
        <v>251</v>
      </c>
      <c r="AY1619" s="1">
        <v>1.0</v>
      </c>
      <c r="AZ1619" s="1">
        <v>64.99</v>
      </c>
      <c r="BB1619" s="1">
        <v>64.99</v>
      </c>
    </row>
    <row r="1620">
      <c r="A1620" s="1" t="s">
        <v>567</v>
      </c>
      <c r="C1620" s="1" t="s">
        <v>56</v>
      </c>
      <c r="D1620" s="1" t="s">
        <v>2664</v>
      </c>
      <c r="Y1620" s="2">
        <v>45515.0</v>
      </c>
      <c r="AE1620" s="1">
        <v>134.97</v>
      </c>
      <c r="AG1620" s="3" t="str">
        <f>"2000006157432917"</f>
        <v>2000006157432917</v>
      </c>
      <c r="AH1620" s="1" t="s">
        <v>58</v>
      </c>
      <c r="AI1620" s="1" t="s">
        <v>59</v>
      </c>
      <c r="AJ1620" s="1" t="s">
        <v>59</v>
      </c>
      <c r="AK1620" s="1" t="s">
        <v>60</v>
      </c>
      <c r="AL1620" s="1" t="s">
        <v>60</v>
      </c>
      <c r="AW1620" s="1" t="s">
        <v>569</v>
      </c>
      <c r="AY1620" s="1">
        <v>3.0</v>
      </c>
      <c r="AZ1620" s="1">
        <v>44.99</v>
      </c>
      <c r="BB1620" s="1">
        <v>134.97</v>
      </c>
    </row>
    <row r="1621">
      <c r="A1621" s="1" t="s">
        <v>2195</v>
      </c>
      <c r="C1621" s="1" t="s">
        <v>56</v>
      </c>
      <c r="D1621" s="1" t="s">
        <v>2665</v>
      </c>
      <c r="Y1621" s="2">
        <v>45515.0</v>
      </c>
      <c r="AE1621" s="1">
        <v>44.99</v>
      </c>
      <c r="AG1621" s="3" t="str">
        <f>"2000006157433667"</f>
        <v>2000006157433667</v>
      </c>
      <c r="AH1621" s="1" t="s">
        <v>58</v>
      </c>
      <c r="AI1621" s="1" t="s">
        <v>59</v>
      </c>
      <c r="AJ1621" s="1" t="s">
        <v>59</v>
      </c>
      <c r="AK1621" s="1" t="s">
        <v>60</v>
      </c>
      <c r="AL1621" s="1" t="s">
        <v>60</v>
      </c>
      <c r="AW1621" s="1" t="s">
        <v>2197</v>
      </c>
      <c r="AY1621" s="1">
        <v>1.0</v>
      </c>
      <c r="AZ1621" s="1">
        <v>44.99</v>
      </c>
      <c r="BB1621" s="1">
        <v>44.99</v>
      </c>
    </row>
    <row r="1622">
      <c r="A1622" s="1" t="s">
        <v>2482</v>
      </c>
      <c r="C1622" s="1" t="s">
        <v>56</v>
      </c>
      <c r="D1622" s="1" t="s">
        <v>2666</v>
      </c>
      <c r="Y1622" s="2">
        <v>45515.0</v>
      </c>
      <c r="AE1622" s="1">
        <v>84.99</v>
      </c>
      <c r="AG1622" s="3" t="str">
        <f>"2000006157418275"</f>
        <v>2000006157418275</v>
      </c>
      <c r="AH1622" s="1" t="s">
        <v>58</v>
      </c>
      <c r="AI1622" s="1" t="s">
        <v>59</v>
      </c>
      <c r="AJ1622" s="1" t="s">
        <v>59</v>
      </c>
      <c r="AK1622" s="1" t="s">
        <v>60</v>
      </c>
      <c r="AL1622" s="1" t="s">
        <v>60</v>
      </c>
      <c r="AW1622" s="1" t="s">
        <v>2484</v>
      </c>
      <c r="AY1622" s="1">
        <v>1.0</v>
      </c>
      <c r="AZ1622" s="1">
        <v>84.99</v>
      </c>
      <c r="BB1622" s="1">
        <v>84.99</v>
      </c>
    </row>
    <row r="1623">
      <c r="A1623" s="1" t="s">
        <v>144</v>
      </c>
      <c r="C1623" s="1" t="s">
        <v>56</v>
      </c>
      <c r="D1623" s="1" t="s">
        <v>2667</v>
      </c>
      <c r="Y1623" s="2">
        <v>45515.0</v>
      </c>
      <c r="AE1623" s="1">
        <v>79.99</v>
      </c>
      <c r="AG1623" s="3" t="str">
        <f>"2000006157426867"</f>
        <v>2000006157426867</v>
      </c>
      <c r="AH1623" s="1" t="s">
        <v>58</v>
      </c>
      <c r="AI1623" s="1" t="s">
        <v>59</v>
      </c>
      <c r="AJ1623" s="1" t="s">
        <v>59</v>
      </c>
      <c r="AK1623" s="1" t="s">
        <v>60</v>
      </c>
      <c r="AL1623" s="1" t="s">
        <v>60</v>
      </c>
      <c r="AW1623" s="1" t="s">
        <v>146</v>
      </c>
      <c r="AY1623" s="1">
        <v>1.0</v>
      </c>
      <c r="AZ1623" s="1">
        <v>79.99</v>
      </c>
      <c r="BB1623" s="1">
        <v>79.99</v>
      </c>
    </row>
    <row r="1624">
      <c r="A1624" s="1" t="s">
        <v>471</v>
      </c>
      <c r="C1624" s="1" t="s">
        <v>56</v>
      </c>
      <c r="D1624" s="1" t="s">
        <v>2668</v>
      </c>
      <c r="Y1624" s="2">
        <v>45515.0</v>
      </c>
      <c r="AE1624" s="1">
        <v>149.98</v>
      </c>
      <c r="AG1624" s="3" t="str">
        <f>"2000006157409501"</f>
        <v>2000006157409501</v>
      </c>
      <c r="AH1624" s="1" t="s">
        <v>58</v>
      </c>
      <c r="AI1624" s="1" t="s">
        <v>59</v>
      </c>
      <c r="AJ1624" s="1" t="s">
        <v>59</v>
      </c>
      <c r="AK1624" s="1" t="s">
        <v>60</v>
      </c>
      <c r="AL1624" s="1" t="s">
        <v>60</v>
      </c>
      <c r="AW1624" s="1" t="s">
        <v>473</v>
      </c>
      <c r="AY1624" s="1">
        <v>2.0</v>
      </c>
      <c r="AZ1624" s="1">
        <v>74.99</v>
      </c>
      <c r="BB1624" s="1">
        <v>149.98</v>
      </c>
    </row>
    <row r="1625">
      <c r="A1625" s="1" t="s">
        <v>471</v>
      </c>
      <c r="C1625" s="1" t="s">
        <v>56</v>
      </c>
      <c r="D1625" s="1" t="s">
        <v>2668</v>
      </c>
      <c r="Y1625" s="2">
        <v>45515.0</v>
      </c>
      <c r="AE1625" s="1">
        <v>74.99</v>
      </c>
      <c r="AG1625" s="3" t="str">
        <f>"2000006157409499"</f>
        <v>2000006157409499</v>
      </c>
      <c r="AH1625" s="1" t="s">
        <v>58</v>
      </c>
      <c r="AI1625" s="1" t="s">
        <v>59</v>
      </c>
      <c r="AJ1625" s="1" t="s">
        <v>59</v>
      </c>
      <c r="AK1625" s="1" t="s">
        <v>60</v>
      </c>
      <c r="AL1625" s="1" t="s">
        <v>60</v>
      </c>
      <c r="AW1625" s="1" t="s">
        <v>473</v>
      </c>
      <c r="AY1625" s="1">
        <v>1.0</v>
      </c>
      <c r="AZ1625" s="1">
        <v>74.99</v>
      </c>
      <c r="BB1625" s="1">
        <v>74.99</v>
      </c>
    </row>
    <row r="1626">
      <c r="A1626" s="1" t="s">
        <v>1610</v>
      </c>
      <c r="C1626" s="1" t="s">
        <v>56</v>
      </c>
      <c r="D1626" s="1" t="s">
        <v>2669</v>
      </c>
      <c r="Y1626" s="2">
        <v>45514.0</v>
      </c>
      <c r="AE1626" s="1">
        <v>59.99</v>
      </c>
      <c r="AG1626" s="3" t="str">
        <f>"2000009004215256"</f>
        <v>2000009004215256</v>
      </c>
      <c r="AH1626" s="1" t="s">
        <v>58</v>
      </c>
      <c r="AI1626" s="1" t="s">
        <v>59</v>
      </c>
      <c r="AJ1626" s="1" t="s">
        <v>59</v>
      </c>
      <c r="AK1626" s="1" t="s">
        <v>60</v>
      </c>
      <c r="AL1626" s="1" t="s">
        <v>60</v>
      </c>
      <c r="AW1626" s="1" t="s">
        <v>104</v>
      </c>
      <c r="AY1626" s="1">
        <v>1.0</v>
      </c>
      <c r="AZ1626" s="1">
        <v>59.99</v>
      </c>
      <c r="BB1626" s="1">
        <v>59.99</v>
      </c>
    </row>
    <row r="1627">
      <c r="A1627" s="1" t="s">
        <v>2485</v>
      </c>
      <c r="C1627" s="1" t="s">
        <v>56</v>
      </c>
      <c r="D1627" s="1" t="s">
        <v>2670</v>
      </c>
      <c r="Y1627" s="2">
        <v>45514.0</v>
      </c>
      <c r="AE1627" s="1">
        <v>59.99</v>
      </c>
      <c r="AG1627" s="3" t="str">
        <f>"2000006157330173"</f>
        <v>2000006157330173</v>
      </c>
      <c r="AH1627" s="1" t="s">
        <v>58</v>
      </c>
      <c r="AI1627" s="1" t="s">
        <v>59</v>
      </c>
      <c r="AJ1627" s="1" t="s">
        <v>59</v>
      </c>
      <c r="AK1627" s="1" t="s">
        <v>60</v>
      </c>
      <c r="AL1627" s="1" t="s">
        <v>60</v>
      </c>
      <c r="AW1627" s="1" t="s">
        <v>2487</v>
      </c>
      <c r="AY1627" s="1">
        <v>1.0</v>
      </c>
      <c r="AZ1627" s="1">
        <v>59.99</v>
      </c>
      <c r="BB1627" s="1">
        <v>59.99</v>
      </c>
    </row>
    <row r="1628">
      <c r="A1628" s="1" t="s">
        <v>1946</v>
      </c>
      <c r="C1628" s="1" t="s">
        <v>56</v>
      </c>
      <c r="D1628" s="1" t="s">
        <v>2671</v>
      </c>
      <c r="Y1628" s="2">
        <v>45514.0</v>
      </c>
      <c r="AE1628" s="1">
        <v>39.99</v>
      </c>
      <c r="AG1628" s="3" t="str">
        <f>"2000006157334069"</f>
        <v>2000006157334069</v>
      </c>
      <c r="AH1628" s="1" t="s">
        <v>58</v>
      </c>
      <c r="AI1628" s="1" t="s">
        <v>59</v>
      </c>
      <c r="AJ1628" s="1" t="s">
        <v>59</v>
      </c>
      <c r="AK1628" s="1" t="s">
        <v>60</v>
      </c>
      <c r="AL1628" s="1" t="s">
        <v>60</v>
      </c>
      <c r="AW1628" s="1" t="s">
        <v>1529</v>
      </c>
      <c r="AY1628" s="1">
        <v>1.0</v>
      </c>
      <c r="AZ1628" s="1">
        <v>39.99</v>
      </c>
      <c r="BB1628" s="1">
        <v>39.99</v>
      </c>
    </row>
    <row r="1629">
      <c r="A1629" s="1" t="s">
        <v>1904</v>
      </c>
      <c r="C1629" s="1" t="s">
        <v>56</v>
      </c>
      <c r="D1629" s="1" t="s">
        <v>2672</v>
      </c>
      <c r="Y1629" s="2">
        <v>45514.0</v>
      </c>
      <c r="AE1629" s="1">
        <v>69.99</v>
      </c>
      <c r="AG1629" s="3" t="str">
        <f>"2000009004184804"</f>
        <v>2000009004184804</v>
      </c>
      <c r="AH1629" s="1" t="s">
        <v>58</v>
      </c>
      <c r="AI1629" s="1" t="s">
        <v>59</v>
      </c>
      <c r="AJ1629" s="1" t="s">
        <v>59</v>
      </c>
      <c r="AK1629" s="1" t="s">
        <v>60</v>
      </c>
      <c r="AL1629" s="1" t="s">
        <v>60</v>
      </c>
      <c r="AW1629" s="1" t="s">
        <v>2673</v>
      </c>
      <c r="AY1629" s="1">
        <v>1.0</v>
      </c>
      <c r="AZ1629" s="1">
        <v>69.99</v>
      </c>
      <c r="BB1629" s="1">
        <v>69.99</v>
      </c>
    </row>
    <row r="1630">
      <c r="A1630" s="1" t="s">
        <v>2674</v>
      </c>
      <c r="C1630" s="1" t="s">
        <v>56</v>
      </c>
      <c r="D1630" s="1" t="s">
        <v>2675</v>
      </c>
      <c r="Y1630" s="2">
        <v>45514.0</v>
      </c>
      <c r="AE1630" s="1">
        <v>69.99</v>
      </c>
      <c r="AG1630" s="3" t="str">
        <f>"2000009004150544"</f>
        <v>2000009004150544</v>
      </c>
      <c r="AH1630" s="1" t="s">
        <v>58</v>
      </c>
      <c r="AI1630" s="1" t="s">
        <v>59</v>
      </c>
      <c r="AJ1630" s="1" t="s">
        <v>59</v>
      </c>
      <c r="AK1630" s="1" t="s">
        <v>60</v>
      </c>
      <c r="AL1630" s="1" t="s">
        <v>60</v>
      </c>
      <c r="AW1630" s="1" t="s">
        <v>2676</v>
      </c>
      <c r="AY1630" s="1">
        <v>1.0</v>
      </c>
      <c r="AZ1630" s="1">
        <v>69.99</v>
      </c>
      <c r="BB1630" s="1">
        <v>69.99</v>
      </c>
    </row>
    <row r="1631">
      <c r="A1631" s="1" t="s">
        <v>2677</v>
      </c>
      <c r="C1631" s="1" t="s">
        <v>56</v>
      </c>
      <c r="D1631" s="1" t="s">
        <v>2678</v>
      </c>
      <c r="Y1631" s="2">
        <v>45514.0</v>
      </c>
      <c r="AE1631" s="1">
        <v>99.99</v>
      </c>
      <c r="AG1631" s="3" t="str">
        <f>"2000006157293165"</f>
        <v>2000006157293165</v>
      </c>
      <c r="AH1631" s="1" t="s">
        <v>58</v>
      </c>
      <c r="AI1631" s="1" t="s">
        <v>59</v>
      </c>
      <c r="AJ1631" s="1" t="s">
        <v>59</v>
      </c>
      <c r="AK1631" s="1" t="s">
        <v>60</v>
      </c>
      <c r="AL1631" s="1" t="s">
        <v>60</v>
      </c>
      <c r="AW1631" s="1" t="s">
        <v>2679</v>
      </c>
      <c r="AY1631" s="1">
        <v>1.0</v>
      </c>
      <c r="AZ1631" s="1">
        <v>99.99</v>
      </c>
      <c r="BB1631" s="1">
        <v>99.99</v>
      </c>
    </row>
    <row r="1632">
      <c r="A1632" s="1" t="s">
        <v>1592</v>
      </c>
      <c r="C1632" s="1" t="s">
        <v>56</v>
      </c>
      <c r="D1632" s="1" t="s">
        <v>2680</v>
      </c>
      <c r="Y1632" s="2">
        <v>45514.0</v>
      </c>
      <c r="AE1632" s="1">
        <v>129.99</v>
      </c>
      <c r="AG1632" s="3" t="str">
        <f>"2000006157298595"</f>
        <v>2000006157298595</v>
      </c>
      <c r="AH1632" s="1" t="s">
        <v>58</v>
      </c>
      <c r="AI1632" s="1" t="s">
        <v>59</v>
      </c>
      <c r="AJ1632" s="1" t="s">
        <v>59</v>
      </c>
      <c r="AK1632" s="1" t="s">
        <v>60</v>
      </c>
      <c r="AL1632" s="1" t="s">
        <v>60</v>
      </c>
      <c r="AW1632" s="1" t="s">
        <v>1594</v>
      </c>
      <c r="AY1632" s="1">
        <v>1.0</v>
      </c>
      <c r="AZ1632" s="1">
        <v>129.99</v>
      </c>
      <c r="BB1632" s="1">
        <v>129.99</v>
      </c>
    </row>
    <row r="1633">
      <c r="A1633" s="1" t="s">
        <v>2681</v>
      </c>
      <c r="C1633" s="1" t="s">
        <v>56</v>
      </c>
      <c r="D1633" s="1" t="s">
        <v>2682</v>
      </c>
      <c r="Y1633" s="2">
        <v>45514.0</v>
      </c>
      <c r="AE1633" s="1">
        <v>389.97</v>
      </c>
      <c r="AG1633" s="3" t="str">
        <f>"2000006157241975"</f>
        <v>2000006157241975</v>
      </c>
      <c r="AH1633" s="1" t="s">
        <v>58</v>
      </c>
      <c r="AI1633" s="1" t="s">
        <v>59</v>
      </c>
      <c r="AJ1633" s="1" t="s">
        <v>59</v>
      </c>
      <c r="AK1633" s="1" t="s">
        <v>60</v>
      </c>
      <c r="AL1633" s="1" t="s">
        <v>60</v>
      </c>
      <c r="AW1633" s="1" t="s">
        <v>1332</v>
      </c>
      <c r="AY1633" s="1">
        <v>3.0</v>
      </c>
      <c r="AZ1633" s="1">
        <v>129.99</v>
      </c>
      <c r="BB1633" s="1">
        <v>389.97</v>
      </c>
    </row>
    <row r="1634">
      <c r="A1634" s="1" t="s">
        <v>1253</v>
      </c>
      <c r="C1634" s="1" t="s">
        <v>56</v>
      </c>
      <c r="D1634" s="1" t="s">
        <v>2683</v>
      </c>
      <c r="Y1634" s="2">
        <v>45514.0</v>
      </c>
      <c r="AE1634" s="1">
        <v>139.98</v>
      </c>
      <c r="AG1634" s="3" t="str">
        <f>"2000006157247179"</f>
        <v>2000006157247179</v>
      </c>
      <c r="AH1634" s="1" t="s">
        <v>58</v>
      </c>
      <c r="AI1634" s="1" t="s">
        <v>59</v>
      </c>
      <c r="AJ1634" s="1" t="s">
        <v>59</v>
      </c>
      <c r="AK1634" s="1" t="s">
        <v>60</v>
      </c>
      <c r="AL1634" s="1" t="s">
        <v>60</v>
      </c>
      <c r="AW1634" s="1" t="s">
        <v>1254</v>
      </c>
      <c r="AY1634" s="1">
        <v>2.0</v>
      </c>
      <c r="AZ1634" s="1">
        <v>69.99</v>
      </c>
      <c r="BB1634" s="1">
        <v>139.98</v>
      </c>
    </row>
    <row r="1635">
      <c r="A1635" s="1" t="s">
        <v>2296</v>
      </c>
      <c r="C1635" s="1" t="s">
        <v>56</v>
      </c>
      <c r="D1635" s="1" t="s">
        <v>2684</v>
      </c>
      <c r="Y1635" s="2">
        <v>45514.0</v>
      </c>
      <c r="AE1635" s="1">
        <v>99.98</v>
      </c>
      <c r="AG1635" s="3" t="str">
        <f>"2000006157189593"</f>
        <v>2000006157189593</v>
      </c>
      <c r="AH1635" s="1" t="s">
        <v>58</v>
      </c>
      <c r="AI1635" s="1" t="s">
        <v>59</v>
      </c>
      <c r="AJ1635" s="1" t="s">
        <v>59</v>
      </c>
      <c r="AK1635" s="1" t="s">
        <v>60</v>
      </c>
      <c r="AL1635" s="1" t="s">
        <v>60</v>
      </c>
      <c r="AW1635" s="1" t="s">
        <v>2685</v>
      </c>
      <c r="AY1635" s="1">
        <v>1.0</v>
      </c>
      <c r="AZ1635" s="1">
        <v>99.98</v>
      </c>
      <c r="BB1635" s="1">
        <v>99.98</v>
      </c>
    </row>
    <row r="1636">
      <c r="A1636" s="1" t="s">
        <v>153</v>
      </c>
      <c r="C1636" s="1" t="s">
        <v>56</v>
      </c>
      <c r="D1636" s="1" t="s">
        <v>2686</v>
      </c>
      <c r="Y1636" s="2">
        <v>45514.0</v>
      </c>
      <c r="AE1636" s="1">
        <v>47.18</v>
      </c>
      <c r="AG1636" s="3" t="str">
        <f>"2000006157165059"</f>
        <v>2000006157165059</v>
      </c>
      <c r="AH1636" s="1" t="s">
        <v>58</v>
      </c>
      <c r="AI1636" s="1" t="s">
        <v>59</v>
      </c>
      <c r="AJ1636" s="1" t="s">
        <v>59</v>
      </c>
      <c r="AK1636" s="1" t="s">
        <v>60</v>
      </c>
      <c r="AL1636" s="1" t="s">
        <v>60</v>
      </c>
      <c r="AW1636" s="1" t="s">
        <v>155</v>
      </c>
      <c r="AY1636" s="1">
        <v>1.0</v>
      </c>
      <c r="AZ1636" s="1">
        <v>47.18</v>
      </c>
      <c r="BB1636" s="1">
        <v>47.18</v>
      </c>
    </row>
    <row r="1637">
      <c r="A1637" s="1" t="s">
        <v>2008</v>
      </c>
      <c r="C1637" s="1" t="s">
        <v>56</v>
      </c>
      <c r="D1637" s="1" t="s">
        <v>2687</v>
      </c>
      <c r="Y1637" s="2">
        <v>45514.0</v>
      </c>
      <c r="AE1637" s="1">
        <v>109.99</v>
      </c>
      <c r="AG1637" s="3" t="str">
        <f>"2000006157163977"</f>
        <v>2000006157163977</v>
      </c>
      <c r="AH1637" s="1" t="s">
        <v>58</v>
      </c>
      <c r="AI1637" s="1" t="s">
        <v>59</v>
      </c>
      <c r="AJ1637" s="1" t="s">
        <v>59</v>
      </c>
      <c r="AK1637" s="1" t="s">
        <v>60</v>
      </c>
      <c r="AL1637" s="1" t="s">
        <v>60</v>
      </c>
      <c r="AW1637" s="1" t="s">
        <v>2010</v>
      </c>
      <c r="AY1637" s="1">
        <v>1.0</v>
      </c>
      <c r="AZ1637" s="1">
        <v>109.99</v>
      </c>
      <c r="BB1637" s="1">
        <v>109.99</v>
      </c>
    </row>
    <row r="1638">
      <c r="A1638" s="1" t="s">
        <v>2688</v>
      </c>
      <c r="C1638" s="1" t="s">
        <v>56</v>
      </c>
      <c r="D1638" s="1" t="s">
        <v>2689</v>
      </c>
      <c r="Y1638" s="2">
        <v>45514.0</v>
      </c>
      <c r="AE1638" s="1">
        <v>49.99</v>
      </c>
      <c r="AG1638" s="3" t="str">
        <f>"2000006157151583"</f>
        <v>2000006157151583</v>
      </c>
      <c r="AH1638" s="1" t="s">
        <v>58</v>
      </c>
      <c r="AI1638" s="1" t="s">
        <v>59</v>
      </c>
      <c r="AJ1638" s="1" t="s">
        <v>59</v>
      </c>
      <c r="AK1638" s="1" t="s">
        <v>60</v>
      </c>
      <c r="AL1638" s="1" t="s">
        <v>60</v>
      </c>
      <c r="AW1638" s="1" t="s">
        <v>2690</v>
      </c>
      <c r="AY1638" s="1">
        <v>1.0</v>
      </c>
      <c r="AZ1638" s="1">
        <v>49.99</v>
      </c>
      <c r="BB1638" s="1">
        <v>49.99</v>
      </c>
    </row>
    <row r="1639">
      <c r="A1639" s="1" t="s">
        <v>900</v>
      </c>
      <c r="C1639" s="1" t="s">
        <v>56</v>
      </c>
      <c r="D1639" s="1" t="s">
        <v>2691</v>
      </c>
      <c r="Y1639" s="2">
        <v>45514.0</v>
      </c>
      <c r="AE1639" s="1">
        <v>89.99</v>
      </c>
      <c r="AG1639" s="3" t="str">
        <f>"2000006157130291"</f>
        <v>2000006157130291</v>
      </c>
      <c r="AH1639" s="1" t="s">
        <v>58</v>
      </c>
      <c r="AI1639" s="1" t="s">
        <v>59</v>
      </c>
      <c r="AJ1639" s="1" t="s">
        <v>59</v>
      </c>
      <c r="AK1639" s="1" t="s">
        <v>60</v>
      </c>
      <c r="AL1639" s="1" t="s">
        <v>60</v>
      </c>
      <c r="AW1639" s="1" t="s">
        <v>902</v>
      </c>
      <c r="AY1639" s="1">
        <v>1.0</v>
      </c>
      <c r="AZ1639" s="1">
        <v>89.99</v>
      </c>
      <c r="BB1639" s="1">
        <v>89.99</v>
      </c>
    </row>
    <row r="1640">
      <c r="A1640" s="1" t="s">
        <v>1253</v>
      </c>
      <c r="C1640" s="1" t="s">
        <v>56</v>
      </c>
      <c r="D1640" s="1" t="s">
        <v>2692</v>
      </c>
      <c r="Y1640" s="2">
        <v>45514.0</v>
      </c>
      <c r="AE1640" s="1">
        <v>69.99</v>
      </c>
      <c r="AG1640" s="3" t="str">
        <f>"2000006157126127"</f>
        <v>2000006157126127</v>
      </c>
      <c r="AH1640" s="1" t="s">
        <v>58</v>
      </c>
      <c r="AI1640" s="1" t="s">
        <v>59</v>
      </c>
      <c r="AJ1640" s="1" t="s">
        <v>59</v>
      </c>
      <c r="AK1640" s="1" t="s">
        <v>60</v>
      </c>
      <c r="AL1640" s="1" t="s">
        <v>60</v>
      </c>
      <c r="AW1640" s="1" t="s">
        <v>1254</v>
      </c>
      <c r="AY1640" s="1">
        <v>1.0</v>
      </c>
      <c r="AZ1640" s="1">
        <v>69.99</v>
      </c>
      <c r="BB1640" s="1">
        <v>69.99</v>
      </c>
    </row>
    <row r="1641">
      <c r="A1641" s="1" t="s">
        <v>1253</v>
      </c>
      <c r="C1641" s="1" t="s">
        <v>56</v>
      </c>
      <c r="D1641" s="1" t="s">
        <v>2692</v>
      </c>
      <c r="Y1641" s="2">
        <v>45514.0</v>
      </c>
      <c r="AE1641" s="1">
        <v>69.99</v>
      </c>
      <c r="AG1641" s="3" t="str">
        <f>"2000006157126125"</f>
        <v>2000006157126125</v>
      </c>
      <c r="AH1641" s="1" t="s">
        <v>58</v>
      </c>
      <c r="AI1641" s="1" t="s">
        <v>59</v>
      </c>
      <c r="AJ1641" s="1" t="s">
        <v>59</v>
      </c>
      <c r="AK1641" s="1" t="s">
        <v>60</v>
      </c>
      <c r="AL1641" s="1" t="s">
        <v>60</v>
      </c>
      <c r="AW1641" s="1" t="s">
        <v>1254</v>
      </c>
      <c r="AY1641" s="1">
        <v>1.0</v>
      </c>
      <c r="AZ1641" s="1">
        <v>69.99</v>
      </c>
      <c r="BB1641" s="1">
        <v>69.99</v>
      </c>
    </row>
    <row r="1642">
      <c r="A1642" s="1" t="s">
        <v>371</v>
      </c>
      <c r="C1642" s="1" t="s">
        <v>56</v>
      </c>
      <c r="D1642" s="1" t="s">
        <v>2693</v>
      </c>
      <c r="Y1642" s="2">
        <v>45514.0</v>
      </c>
      <c r="AE1642" s="1">
        <v>37.49</v>
      </c>
      <c r="AG1642" s="3" t="str">
        <f>"2000006157099649"</f>
        <v>2000006157099649</v>
      </c>
      <c r="AH1642" s="1" t="s">
        <v>58</v>
      </c>
      <c r="AI1642" s="1" t="s">
        <v>59</v>
      </c>
      <c r="AJ1642" s="1" t="s">
        <v>59</v>
      </c>
      <c r="AK1642" s="1" t="s">
        <v>60</v>
      </c>
      <c r="AL1642" s="1" t="s">
        <v>60</v>
      </c>
      <c r="AW1642" s="1" t="s">
        <v>373</v>
      </c>
      <c r="AY1642" s="1">
        <v>1.0</v>
      </c>
      <c r="AZ1642" s="1">
        <v>37.49</v>
      </c>
      <c r="BB1642" s="1">
        <v>37.49</v>
      </c>
    </row>
    <row r="1643">
      <c r="A1643" s="1" t="s">
        <v>2694</v>
      </c>
      <c r="C1643" s="1" t="s">
        <v>56</v>
      </c>
      <c r="D1643" s="1" t="s">
        <v>2695</v>
      </c>
      <c r="Y1643" s="2">
        <v>45514.0</v>
      </c>
      <c r="AE1643" s="1">
        <v>118.99</v>
      </c>
      <c r="AG1643" s="3" t="str">
        <f>"2000006156495037"</f>
        <v>2000006156495037</v>
      </c>
      <c r="AH1643" s="1" t="s">
        <v>58</v>
      </c>
      <c r="AI1643" s="1" t="s">
        <v>59</v>
      </c>
      <c r="AJ1643" s="1" t="s">
        <v>59</v>
      </c>
      <c r="AK1643" s="1" t="s">
        <v>60</v>
      </c>
      <c r="AL1643" s="1" t="s">
        <v>60</v>
      </c>
      <c r="AW1643" s="1" t="s">
        <v>2696</v>
      </c>
      <c r="AY1643" s="1">
        <v>1.0</v>
      </c>
      <c r="AZ1643" s="1">
        <v>118.99</v>
      </c>
      <c r="BB1643" s="1">
        <v>118.99</v>
      </c>
    </row>
    <row r="1644">
      <c r="A1644" s="1" t="s">
        <v>175</v>
      </c>
      <c r="C1644" s="1" t="s">
        <v>56</v>
      </c>
      <c r="D1644" s="1" t="s">
        <v>2697</v>
      </c>
      <c r="Y1644" s="2">
        <v>45514.0</v>
      </c>
      <c r="AE1644" s="1">
        <v>199.99</v>
      </c>
      <c r="AG1644" s="3" t="str">
        <f>"2000006156960965"</f>
        <v>2000006156960965</v>
      </c>
      <c r="AH1644" s="1" t="s">
        <v>58</v>
      </c>
      <c r="AI1644" s="1" t="s">
        <v>59</v>
      </c>
      <c r="AJ1644" s="1" t="s">
        <v>59</v>
      </c>
      <c r="AK1644" s="1" t="s">
        <v>60</v>
      </c>
      <c r="AL1644" s="1" t="s">
        <v>60</v>
      </c>
      <c r="AW1644" s="1" t="s">
        <v>177</v>
      </c>
      <c r="AY1644" s="1">
        <v>1.0</v>
      </c>
      <c r="AZ1644" s="1">
        <v>199.99</v>
      </c>
      <c r="BB1644" s="1">
        <v>199.99</v>
      </c>
    </row>
    <row r="1645">
      <c r="A1645" s="1" t="s">
        <v>365</v>
      </c>
      <c r="C1645" s="1" t="s">
        <v>56</v>
      </c>
      <c r="D1645" s="1" t="s">
        <v>2698</v>
      </c>
      <c r="Y1645" s="2">
        <v>45514.0</v>
      </c>
      <c r="AE1645" s="1">
        <v>39.99</v>
      </c>
      <c r="AG1645" s="3" t="str">
        <f>"2000006157027953"</f>
        <v>2000006157027953</v>
      </c>
      <c r="AH1645" s="1" t="s">
        <v>58</v>
      </c>
      <c r="AI1645" s="1" t="s">
        <v>59</v>
      </c>
      <c r="AJ1645" s="1" t="s">
        <v>59</v>
      </c>
      <c r="AK1645" s="1" t="s">
        <v>60</v>
      </c>
      <c r="AL1645" s="1" t="s">
        <v>60</v>
      </c>
      <c r="AW1645" s="1" t="s">
        <v>367</v>
      </c>
      <c r="AY1645" s="1">
        <v>1.0</v>
      </c>
      <c r="AZ1645" s="1">
        <v>39.99</v>
      </c>
      <c r="BB1645" s="1">
        <v>39.99</v>
      </c>
    </row>
    <row r="1646">
      <c r="A1646" s="1" t="s">
        <v>2659</v>
      </c>
      <c r="C1646" s="1" t="s">
        <v>56</v>
      </c>
      <c r="D1646" s="1" t="s">
        <v>2698</v>
      </c>
      <c r="Y1646" s="2">
        <v>45514.0</v>
      </c>
      <c r="AE1646" s="1">
        <v>369.99</v>
      </c>
      <c r="AG1646" s="3" t="str">
        <f>"2000006157027951"</f>
        <v>2000006157027951</v>
      </c>
      <c r="AH1646" s="1" t="s">
        <v>58</v>
      </c>
      <c r="AI1646" s="1" t="s">
        <v>59</v>
      </c>
      <c r="AJ1646" s="1" t="s">
        <v>59</v>
      </c>
      <c r="AK1646" s="1" t="s">
        <v>60</v>
      </c>
      <c r="AL1646" s="1" t="s">
        <v>60</v>
      </c>
      <c r="AW1646" s="1" t="s">
        <v>2661</v>
      </c>
      <c r="AY1646" s="1">
        <v>1.0</v>
      </c>
      <c r="AZ1646" s="1">
        <v>369.99</v>
      </c>
      <c r="BB1646" s="1">
        <v>369.99</v>
      </c>
    </row>
    <row r="1647">
      <c r="A1647" s="1" t="s">
        <v>2699</v>
      </c>
      <c r="C1647" s="1" t="s">
        <v>56</v>
      </c>
      <c r="D1647" s="1" t="s">
        <v>2700</v>
      </c>
      <c r="Y1647" s="2">
        <v>45513.0</v>
      </c>
      <c r="AE1647" s="1">
        <v>79.48</v>
      </c>
      <c r="AG1647" s="3" t="str">
        <f>"2000008989846672"</f>
        <v>2000008989846672</v>
      </c>
      <c r="AH1647" s="1" t="s">
        <v>58</v>
      </c>
      <c r="AI1647" s="1" t="s">
        <v>59</v>
      </c>
      <c r="AJ1647" s="1" t="s">
        <v>59</v>
      </c>
      <c r="AK1647" s="1" t="s">
        <v>60</v>
      </c>
      <c r="AL1647" s="1" t="s">
        <v>60</v>
      </c>
      <c r="AW1647" s="1" t="s">
        <v>2701</v>
      </c>
      <c r="AY1647" s="1">
        <v>1.0</v>
      </c>
      <c r="AZ1647" s="1">
        <v>79.48</v>
      </c>
      <c r="BB1647" s="1">
        <v>79.48</v>
      </c>
    </row>
    <row r="1648">
      <c r="A1648" s="1" t="s">
        <v>1527</v>
      </c>
      <c r="C1648" s="1" t="s">
        <v>56</v>
      </c>
      <c r="D1648" s="1" t="s">
        <v>2702</v>
      </c>
      <c r="Y1648" s="2">
        <v>45514.0</v>
      </c>
      <c r="AE1648" s="1">
        <v>39.99</v>
      </c>
      <c r="AG1648" s="3" t="str">
        <f>"2000006157023217"</f>
        <v>2000006157023217</v>
      </c>
      <c r="AH1648" s="1" t="s">
        <v>58</v>
      </c>
      <c r="AI1648" s="1" t="s">
        <v>59</v>
      </c>
      <c r="AJ1648" s="1" t="s">
        <v>59</v>
      </c>
      <c r="AK1648" s="1" t="s">
        <v>60</v>
      </c>
      <c r="AL1648" s="1" t="s">
        <v>60</v>
      </c>
      <c r="AW1648" s="1" t="s">
        <v>1529</v>
      </c>
      <c r="AY1648" s="1">
        <v>1.0</v>
      </c>
      <c r="AZ1648" s="1">
        <v>39.99</v>
      </c>
      <c r="BB1648" s="1">
        <v>39.99</v>
      </c>
    </row>
    <row r="1649">
      <c r="A1649" s="1" t="s">
        <v>921</v>
      </c>
      <c r="C1649" s="1" t="s">
        <v>56</v>
      </c>
      <c r="D1649" s="1" t="s">
        <v>2703</v>
      </c>
      <c r="Y1649" s="2">
        <v>45514.0</v>
      </c>
      <c r="AE1649" s="1">
        <v>36.68</v>
      </c>
      <c r="AG1649" s="3" t="str">
        <f>"2000006157004529"</f>
        <v>2000006157004529</v>
      </c>
      <c r="AH1649" s="1" t="s">
        <v>58</v>
      </c>
      <c r="AI1649" s="1" t="s">
        <v>59</v>
      </c>
      <c r="AJ1649" s="1" t="s">
        <v>59</v>
      </c>
      <c r="AK1649" s="1" t="s">
        <v>60</v>
      </c>
      <c r="AL1649" s="1" t="s">
        <v>60</v>
      </c>
      <c r="AW1649" s="1" t="s">
        <v>923</v>
      </c>
      <c r="AY1649" s="1">
        <v>1.0</v>
      </c>
      <c r="AZ1649" s="1">
        <v>36.68</v>
      </c>
      <c r="BB1649" s="1">
        <v>36.68</v>
      </c>
    </row>
    <row r="1650">
      <c r="A1650" s="1" t="s">
        <v>351</v>
      </c>
      <c r="C1650" s="1" t="s">
        <v>56</v>
      </c>
      <c r="D1650" s="1" t="s">
        <v>2704</v>
      </c>
      <c r="Y1650" s="2">
        <v>45514.0</v>
      </c>
      <c r="AE1650" s="1">
        <v>119.99</v>
      </c>
      <c r="AG1650" s="3" t="str">
        <f>"2000006157003589"</f>
        <v>2000006157003589</v>
      </c>
      <c r="AH1650" s="1" t="s">
        <v>58</v>
      </c>
      <c r="AI1650" s="1" t="s">
        <v>59</v>
      </c>
      <c r="AJ1650" s="1" t="s">
        <v>59</v>
      </c>
      <c r="AK1650" s="1" t="s">
        <v>60</v>
      </c>
      <c r="AL1650" s="1" t="s">
        <v>60</v>
      </c>
      <c r="AW1650" s="1" t="s">
        <v>353</v>
      </c>
      <c r="AY1650" s="1">
        <v>1.0</v>
      </c>
      <c r="AZ1650" s="1">
        <v>119.99</v>
      </c>
      <c r="BB1650" s="1">
        <v>119.99</v>
      </c>
    </row>
    <row r="1651">
      <c r="A1651" s="1" t="s">
        <v>204</v>
      </c>
      <c r="C1651" s="1" t="s">
        <v>56</v>
      </c>
      <c r="D1651" s="1" t="s">
        <v>2705</v>
      </c>
      <c r="Y1651" s="2">
        <v>45514.0</v>
      </c>
      <c r="AE1651" s="1">
        <v>57.99</v>
      </c>
      <c r="AG1651" s="3" t="str">
        <f>"2000006156968537"</f>
        <v>2000006156968537</v>
      </c>
      <c r="AH1651" s="1" t="s">
        <v>58</v>
      </c>
      <c r="AI1651" s="1" t="s">
        <v>59</v>
      </c>
      <c r="AJ1651" s="1" t="s">
        <v>59</v>
      </c>
      <c r="AK1651" s="1" t="s">
        <v>60</v>
      </c>
      <c r="AL1651" s="1" t="s">
        <v>60</v>
      </c>
      <c r="AW1651" s="1" t="s">
        <v>206</v>
      </c>
      <c r="AY1651" s="1">
        <v>1.0</v>
      </c>
      <c r="AZ1651" s="1">
        <v>57.99</v>
      </c>
      <c r="BB1651" s="1">
        <v>57.99</v>
      </c>
    </row>
    <row r="1652">
      <c r="A1652" s="1" t="s">
        <v>1946</v>
      </c>
      <c r="C1652" s="1" t="s">
        <v>235</v>
      </c>
      <c r="D1652" s="1" t="s">
        <v>2645</v>
      </c>
      <c r="Y1652" s="2">
        <v>45514.0</v>
      </c>
      <c r="AE1652" s="1">
        <v>39.99</v>
      </c>
      <c r="AG1652" s="3" t="str">
        <f>"2000006156948051"</f>
        <v>2000006156948051</v>
      </c>
      <c r="AH1652" s="1" t="s">
        <v>58</v>
      </c>
      <c r="AI1652" s="1" t="s">
        <v>59</v>
      </c>
      <c r="AJ1652" s="1" t="s">
        <v>59</v>
      </c>
      <c r="AK1652" s="1" t="s">
        <v>60</v>
      </c>
      <c r="AL1652" s="1" t="s">
        <v>60</v>
      </c>
      <c r="AW1652" s="1" t="s">
        <v>1529</v>
      </c>
      <c r="AY1652" s="1">
        <v>1.0</v>
      </c>
      <c r="AZ1652" s="1">
        <v>39.99</v>
      </c>
      <c r="BB1652" s="1">
        <v>39.99</v>
      </c>
    </row>
    <row r="1653">
      <c r="A1653" s="1" t="s">
        <v>135</v>
      </c>
      <c r="C1653" s="1" t="s">
        <v>56</v>
      </c>
      <c r="D1653" s="1" t="s">
        <v>2706</v>
      </c>
      <c r="Y1653" s="2">
        <v>45514.0</v>
      </c>
      <c r="AE1653" s="1">
        <v>89.99</v>
      </c>
      <c r="AG1653" s="3" t="str">
        <f>"2000006156871501"</f>
        <v>2000006156871501</v>
      </c>
      <c r="AH1653" s="1" t="s">
        <v>58</v>
      </c>
      <c r="AI1653" s="1" t="s">
        <v>59</v>
      </c>
      <c r="AJ1653" s="1" t="s">
        <v>59</v>
      </c>
      <c r="AK1653" s="1" t="s">
        <v>60</v>
      </c>
      <c r="AL1653" s="1" t="s">
        <v>60</v>
      </c>
      <c r="AW1653" s="1" t="s">
        <v>137</v>
      </c>
      <c r="AY1653" s="1">
        <v>1.0</v>
      </c>
      <c r="AZ1653" s="1">
        <v>89.99</v>
      </c>
      <c r="BB1653" s="1">
        <v>89.99</v>
      </c>
    </row>
    <row r="1654">
      <c r="A1654" s="1" t="s">
        <v>2095</v>
      </c>
      <c r="C1654" s="1" t="s">
        <v>56</v>
      </c>
      <c r="D1654" s="1" t="s">
        <v>2707</v>
      </c>
      <c r="Y1654" s="2">
        <v>45514.0</v>
      </c>
      <c r="AE1654" s="1">
        <v>219.99</v>
      </c>
      <c r="AG1654" s="3" t="str">
        <f>"2000009003408934"</f>
        <v>2000009003408934</v>
      </c>
      <c r="AH1654" s="1" t="s">
        <v>58</v>
      </c>
      <c r="AI1654" s="1" t="s">
        <v>59</v>
      </c>
      <c r="AJ1654" s="1" t="s">
        <v>59</v>
      </c>
      <c r="AK1654" s="1" t="s">
        <v>60</v>
      </c>
      <c r="AL1654" s="1" t="s">
        <v>60</v>
      </c>
      <c r="AW1654" s="1" t="s">
        <v>2097</v>
      </c>
      <c r="AY1654" s="1">
        <v>1.0</v>
      </c>
      <c r="AZ1654" s="1">
        <v>219.99</v>
      </c>
      <c r="BB1654" s="1">
        <v>219.99</v>
      </c>
    </row>
    <row r="1655">
      <c r="A1655" s="1" t="s">
        <v>2708</v>
      </c>
      <c r="C1655" s="1" t="s">
        <v>56</v>
      </c>
      <c r="D1655" s="1" t="s">
        <v>2709</v>
      </c>
      <c r="Y1655" s="2">
        <v>45514.0</v>
      </c>
      <c r="AE1655" s="1">
        <v>74.99</v>
      </c>
      <c r="AG1655" s="3" t="str">
        <f>"2000006156884523"</f>
        <v>2000006156884523</v>
      </c>
      <c r="AH1655" s="1" t="s">
        <v>58</v>
      </c>
      <c r="AI1655" s="1" t="s">
        <v>59</v>
      </c>
      <c r="AJ1655" s="1" t="s">
        <v>59</v>
      </c>
      <c r="AK1655" s="1" t="s">
        <v>60</v>
      </c>
      <c r="AL1655" s="1" t="s">
        <v>60</v>
      </c>
      <c r="AW1655" s="1" t="s">
        <v>2710</v>
      </c>
      <c r="AY1655" s="1">
        <v>1.0</v>
      </c>
      <c r="AZ1655" s="1">
        <v>74.99</v>
      </c>
      <c r="BB1655" s="1">
        <v>74.99</v>
      </c>
    </row>
    <row r="1656">
      <c r="A1656" s="1" t="s">
        <v>117</v>
      </c>
      <c r="C1656" s="1" t="s">
        <v>56</v>
      </c>
      <c r="D1656" s="1" t="s">
        <v>2711</v>
      </c>
      <c r="Y1656" s="2">
        <v>45514.0</v>
      </c>
      <c r="AE1656" s="1">
        <v>129.99</v>
      </c>
      <c r="AG1656" s="3" t="str">
        <f>"2000009003394732"</f>
        <v>2000009003394732</v>
      </c>
      <c r="AH1656" s="1" t="s">
        <v>58</v>
      </c>
      <c r="AI1656" s="1" t="s">
        <v>59</v>
      </c>
      <c r="AJ1656" s="1" t="s">
        <v>59</v>
      </c>
      <c r="AK1656" s="1" t="s">
        <v>60</v>
      </c>
      <c r="AL1656" s="1" t="s">
        <v>60</v>
      </c>
      <c r="AW1656" s="1" t="s">
        <v>763</v>
      </c>
      <c r="AY1656" s="1">
        <v>1.0</v>
      </c>
      <c r="AZ1656" s="1">
        <v>129.99</v>
      </c>
      <c r="BB1656" s="1">
        <v>129.99</v>
      </c>
    </row>
    <row r="1657">
      <c r="A1657" s="1" t="s">
        <v>789</v>
      </c>
      <c r="C1657" s="1" t="s">
        <v>56</v>
      </c>
      <c r="D1657" s="1" t="s">
        <v>2712</v>
      </c>
      <c r="Y1657" s="2">
        <v>45514.0</v>
      </c>
      <c r="AE1657" s="1">
        <v>129.99</v>
      </c>
      <c r="AG1657" s="3" t="str">
        <f>"2000006156879103"</f>
        <v>2000006156879103</v>
      </c>
      <c r="AH1657" s="1" t="s">
        <v>58</v>
      </c>
      <c r="AI1657" s="1" t="s">
        <v>59</v>
      </c>
      <c r="AJ1657" s="1" t="s">
        <v>59</v>
      </c>
      <c r="AK1657" s="1" t="s">
        <v>60</v>
      </c>
      <c r="AL1657" s="1" t="s">
        <v>60</v>
      </c>
      <c r="AW1657" s="1" t="s">
        <v>791</v>
      </c>
      <c r="AY1657" s="1">
        <v>1.0</v>
      </c>
      <c r="AZ1657" s="1">
        <v>129.99</v>
      </c>
      <c r="BB1657" s="1">
        <v>129.99</v>
      </c>
    </row>
    <row r="1658">
      <c r="A1658" s="1" t="s">
        <v>1668</v>
      </c>
      <c r="C1658" s="1" t="s">
        <v>56</v>
      </c>
      <c r="D1658" s="1" t="s">
        <v>2713</v>
      </c>
      <c r="Y1658" s="2">
        <v>45514.0</v>
      </c>
      <c r="AE1658" s="1">
        <v>89.99</v>
      </c>
      <c r="AG1658" s="3" t="str">
        <f>"2000009003360446"</f>
        <v>2000009003360446</v>
      </c>
      <c r="AH1658" s="1" t="s">
        <v>58</v>
      </c>
      <c r="AI1658" s="1" t="s">
        <v>59</v>
      </c>
      <c r="AJ1658" s="1" t="s">
        <v>59</v>
      </c>
      <c r="AK1658" s="1" t="s">
        <v>60</v>
      </c>
      <c r="AL1658" s="1" t="s">
        <v>60</v>
      </c>
      <c r="AW1658" s="1" t="s">
        <v>1670</v>
      </c>
      <c r="AY1658" s="1">
        <v>1.0</v>
      </c>
      <c r="AZ1658" s="1">
        <v>89.99</v>
      </c>
      <c r="BB1658" s="1">
        <v>89.99</v>
      </c>
    </row>
    <row r="1659">
      <c r="A1659" s="1" t="s">
        <v>1031</v>
      </c>
      <c r="C1659" s="1" t="s">
        <v>56</v>
      </c>
      <c r="D1659" s="1" t="s">
        <v>2714</v>
      </c>
      <c r="Y1659" s="2">
        <v>45514.0</v>
      </c>
      <c r="AE1659" s="1">
        <v>69.99</v>
      </c>
      <c r="AG1659" s="3" t="str">
        <f>"2000006156836437"</f>
        <v>2000006156836437</v>
      </c>
      <c r="AH1659" s="1" t="s">
        <v>58</v>
      </c>
      <c r="AI1659" s="1" t="s">
        <v>59</v>
      </c>
      <c r="AJ1659" s="1" t="s">
        <v>59</v>
      </c>
      <c r="AK1659" s="1" t="s">
        <v>60</v>
      </c>
      <c r="AL1659" s="1" t="s">
        <v>60</v>
      </c>
      <c r="AW1659" s="1" t="s">
        <v>1033</v>
      </c>
      <c r="AY1659" s="1">
        <v>1.0</v>
      </c>
      <c r="AZ1659" s="1">
        <v>69.99</v>
      </c>
      <c r="BB1659" s="1">
        <v>69.99</v>
      </c>
    </row>
    <row r="1660">
      <c r="A1660" s="1" t="s">
        <v>2715</v>
      </c>
      <c r="C1660" s="1" t="s">
        <v>56</v>
      </c>
      <c r="D1660" s="1" t="s">
        <v>2716</v>
      </c>
      <c r="Y1660" s="2">
        <v>45514.0</v>
      </c>
      <c r="AE1660" s="1">
        <v>129.99</v>
      </c>
      <c r="AG1660" s="3" t="str">
        <f>"2000009003198036"</f>
        <v>2000009003198036</v>
      </c>
      <c r="AH1660" s="1" t="s">
        <v>58</v>
      </c>
      <c r="AI1660" s="1" t="s">
        <v>59</v>
      </c>
      <c r="AJ1660" s="1" t="s">
        <v>59</v>
      </c>
      <c r="AK1660" s="1" t="s">
        <v>60</v>
      </c>
      <c r="AL1660" s="1" t="s">
        <v>60</v>
      </c>
      <c r="AW1660" s="1" t="s">
        <v>2717</v>
      </c>
      <c r="AY1660" s="1">
        <v>1.0</v>
      </c>
      <c r="AZ1660" s="1">
        <v>129.99</v>
      </c>
      <c r="BB1660" s="1">
        <v>129.99</v>
      </c>
    </row>
    <row r="1661">
      <c r="A1661" s="1" t="s">
        <v>845</v>
      </c>
      <c r="C1661" s="1" t="s">
        <v>56</v>
      </c>
      <c r="D1661" s="1" t="s">
        <v>2718</v>
      </c>
      <c r="Y1661" s="2">
        <v>45514.0</v>
      </c>
      <c r="AE1661" s="1">
        <v>69.99</v>
      </c>
      <c r="AG1661" s="3" t="str">
        <f>"2000006156759933"</f>
        <v>2000006156759933</v>
      </c>
      <c r="AH1661" s="1" t="s">
        <v>58</v>
      </c>
      <c r="AI1661" s="1" t="s">
        <v>59</v>
      </c>
      <c r="AJ1661" s="1" t="s">
        <v>59</v>
      </c>
      <c r="AK1661" s="1" t="s">
        <v>60</v>
      </c>
      <c r="AL1661" s="1" t="s">
        <v>60</v>
      </c>
      <c r="AW1661" s="1" t="s">
        <v>847</v>
      </c>
      <c r="AY1661" s="1">
        <v>1.0</v>
      </c>
      <c r="AZ1661" s="1">
        <v>69.99</v>
      </c>
      <c r="BB1661" s="1">
        <v>69.99</v>
      </c>
    </row>
    <row r="1662">
      <c r="A1662" s="1" t="s">
        <v>2535</v>
      </c>
      <c r="C1662" s="1" t="s">
        <v>56</v>
      </c>
      <c r="D1662" s="1" t="s">
        <v>2719</v>
      </c>
      <c r="Y1662" s="2">
        <v>45514.0</v>
      </c>
      <c r="AE1662" s="1">
        <v>289.99</v>
      </c>
      <c r="AG1662" s="3" t="str">
        <f>"2000009003116752"</f>
        <v>2000009003116752</v>
      </c>
      <c r="AH1662" s="1" t="s">
        <v>58</v>
      </c>
      <c r="AI1662" s="1" t="s">
        <v>59</v>
      </c>
      <c r="AJ1662" s="1" t="s">
        <v>59</v>
      </c>
      <c r="AK1662" s="1" t="s">
        <v>60</v>
      </c>
      <c r="AL1662" s="1" t="s">
        <v>60</v>
      </c>
      <c r="AW1662" s="1" t="s">
        <v>2537</v>
      </c>
      <c r="AY1662" s="1">
        <v>1.0</v>
      </c>
      <c r="AZ1662" s="1">
        <v>289.99</v>
      </c>
      <c r="BB1662" s="1">
        <v>289.99</v>
      </c>
    </row>
    <row r="1663">
      <c r="A1663" s="1" t="s">
        <v>256</v>
      </c>
      <c r="C1663" s="1" t="s">
        <v>56</v>
      </c>
      <c r="D1663" s="1" t="s">
        <v>2720</v>
      </c>
      <c r="Y1663" s="2">
        <v>45514.0</v>
      </c>
      <c r="AE1663" s="1">
        <v>149.98</v>
      </c>
      <c r="AG1663" s="3" t="str">
        <f>"2000009003067652"</f>
        <v>2000009003067652</v>
      </c>
      <c r="AH1663" s="1" t="s">
        <v>58</v>
      </c>
      <c r="AI1663" s="1" t="s">
        <v>59</v>
      </c>
      <c r="AJ1663" s="1" t="s">
        <v>59</v>
      </c>
      <c r="AK1663" s="1" t="s">
        <v>60</v>
      </c>
      <c r="AL1663" s="1" t="s">
        <v>60</v>
      </c>
      <c r="AW1663" s="1" t="s">
        <v>258</v>
      </c>
      <c r="AY1663" s="1">
        <v>1.0</v>
      </c>
      <c r="AZ1663" s="1">
        <v>149.98</v>
      </c>
      <c r="BB1663" s="1">
        <v>149.98</v>
      </c>
    </row>
    <row r="1664">
      <c r="A1664" s="1" t="s">
        <v>1470</v>
      </c>
      <c r="C1664" s="1" t="s">
        <v>56</v>
      </c>
      <c r="D1664" s="1" t="s">
        <v>2721</v>
      </c>
      <c r="Y1664" s="2">
        <v>45514.0</v>
      </c>
      <c r="AE1664" s="1">
        <v>94.99</v>
      </c>
      <c r="AG1664" s="3" t="str">
        <f>"2000006156709025"</f>
        <v>2000006156709025</v>
      </c>
      <c r="AH1664" s="1" t="s">
        <v>58</v>
      </c>
      <c r="AI1664" s="1" t="s">
        <v>59</v>
      </c>
      <c r="AJ1664" s="1" t="s">
        <v>59</v>
      </c>
      <c r="AK1664" s="1" t="s">
        <v>60</v>
      </c>
      <c r="AL1664" s="1" t="s">
        <v>60</v>
      </c>
      <c r="AW1664" s="1" t="s">
        <v>94</v>
      </c>
      <c r="AY1664" s="1">
        <v>1.0</v>
      </c>
      <c r="AZ1664" s="1">
        <v>94.99</v>
      </c>
      <c r="BB1664" s="1">
        <v>94.99</v>
      </c>
    </row>
    <row r="1665">
      <c r="A1665" s="1" t="s">
        <v>365</v>
      </c>
      <c r="C1665" s="1" t="s">
        <v>56</v>
      </c>
      <c r="D1665" s="1" t="s">
        <v>2722</v>
      </c>
      <c r="Y1665" s="2">
        <v>45514.0</v>
      </c>
      <c r="AE1665" s="1">
        <v>39.99</v>
      </c>
      <c r="AG1665" s="3" t="str">
        <f>"2000006156651989"</f>
        <v>2000006156651989</v>
      </c>
      <c r="AH1665" s="1" t="s">
        <v>58</v>
      </c>
      <c r="AI1665" s="1" t="s">
        <v>59</v>
      </c>
      <c r="AJ1665" s="1" t="s">
        <v>59</v>
      </c>
      <c r="AK1665" s="1" t="s">
        <v>60</v>
      </c>
      <c r="AL1665" s="1" t="s">
        <v>60</v>
      </c>
      <c r="AW1665" s="1" t="s">
        <v>367</v>
      </c>
      <c r="AY1665" s="1">
        <v>1.0</v>
      </c>
      <c r="AZ1665" s="1">
        <v>39.99</v>
      </c>
      <c r="BB1665" s="1">
        <v>39.99</v>
      </c>
    </row>
    <row r="1666">
      <c r="A1666" s="1" t="s">
        <v>646</v>
      </c>
      <c r="C1666" s="1" t="s">
        <v>56</v>
      </c>
      <c r="D1666" s="1" t="s">
        <v>2723</v>
      </c>
      <c r="Y1666" s="2">
        <v>45514.0</v>
      </c>
      <c r="AE1666" s="1">
        <v>59.99</v>
      </c>
      <c r="AG1666" s="3" t="str">
        <f t="shared" ref="AG1666:AG1668" si="69">"2000006156659175"</f>
        <v>2000006156659175</v>
      </c>
      <c r="AH1666" s="1" t="s">
        <v>58</v>
      </c>
      <c r="AI1666" s="1" t="s">
        <v>59</v>
      </c>
      <c r="AJ1666" s="1" t="s">
        <v>59</v>
      </c>
      <c r="AK1666" s="1" t="s">
        <v>60</v>
      </c>
      <c r="AL1666" s="1" t="s">
        <v>60</v>
      </c>
      <c r="AW1666" s="1" t="s">
        <v>2724</v>
      </c>
      <c r="AY1666" s="1">
        <v>1.0</v>
      </c>
      <c r="AZ1666" s="1">
        <v>59.99</v>
      </c>
      <c r="BB1666" s="1">
        <v>59.99</v>
      </c>
    </row>
    <row r="1667">
      <c r="A1667" s="1" t="s">
        <v>210</v>
      </c>
      <c r="C1667" s="1" t="s">
        <v>56</v>
      </c>
      <c r="D1667" s="1" t="s">
        <v>2723</v>
      </c>
      <c r="Y1667" s="2">
        <v>45514.0</v>
      </c>
      <c r="AE1667" s="1">
        <v>61.99</v>
      </c>
      <c r="AG1667" s="3" t="str">
        <f t="shared" si="69"/>
        <v>2000006156659175</v>
      </c>
      <c r="AH1667" s="1" t="s">
        <v>58</v>
      </c>
      <c r="AI1667" s="1" t="s">
        <v>59</v>
      </c>
      <c r="AJ1667" s="1" t="s">
        <v>59</v>
      </c>
      <c r="AK1667" s="1" t="s">
        <v>60</v>
      </c>
      <c r="AL1667" s="1" t="s">
        <v>60</v>
      </c>
      <c r="AW1667" s="1" t="s">
        <v>2725</v>
      </c>
      <c r="AY1667" s="1">
        <v>1.0</v>
      </c>
      <c r="AZ1667" s="1">
        <v>61.99</v>
      </c>
      <c r="BB1667" s="1">
        <v>61.99</v>
      </c>
    </row>
    <row r="1668">
      <c r="A1668" s="1" t="s">
        <v>224</v>
      </c>
      <c r="C1668" s="1" t="s">
        <v>56</v>
      </c>
      <c r="D1668" s="1" t="s">
        <v>2723</v>
      </c>
      <c r="Y1668" s="2">
        <v>45514.0</v>
      </c>
      <c r="AE1668" s="1">
        <v>119.99</v>
      </c>
      <c r="AG1668" s="3" t="str">
        <f t="shared" si="69"/>
        <v>2000006156659175</v>
      </c>
      <c r="AH1668" s="1" t="s">
        <v>58</v>
      </c>
      <c r="AI1668" s="1" t="s">
        <v>59</v>
      </c>
      <c r="AJ1668" s="1" t="s">
        <v>59</v>
      </c>
      <c r="AK1668" s="1" t="s">
        <v>60</v>
      </c>
      <c r="AL1668" s="1" t="s">
        <v>60</v>
      </c>
      <c r="AW1668" s="1" t="s">
        <v>2726</v>
      </c>
      <c r="AY1668" s="1">
        <v>1.0</v>
      </c>
      <c r="AZ1668" s="1">
        <v>119.99</v>
      </c>
      <c r="BB1668" s="1">
        <v>119.99</v>
      </c>
    </row>
    <row r="1669">
      <c r="A1669" s="1" t="s">
        <v>1700</v>
      </c>
      <c r="C1669" s="1" t="s">
        <v>56</v>
      </c>
      <c r="D1669" s="1" t="s">
        <v>2727</v>
      </c>
      <c r="Y1669" s="2">
        <v>45514.0</v>
      </c>
      <c r="AE1669" s="1">
        <v>219.99</v>
      </c>
      <c r="AG1669" s="3" t="str">
        <f>"2000009002972500"</f>
        <v>2000009002972500</v>
      </c>
      <c r="AH1669" s="1" t="s">
        <v>58</v>
      </c>
      <c r="AI1669" s="1" t="s">
        <v>59</v>
      </c>
      <c r="AJ1669" s="1" t="s">
        <v>59</v>
      </c>
      <c r="AK1669" s="1" t="s">
        <v>60</v>
      </c>
      <c r="AL1669" s="1" t="s">
        <v>60</v>
      </c>
      <c r="AW1669" s="1" t="s">
        <v>1702</v>
      </c>
      <c r="AY1669" s="1">
        <v>1.0</v>
      </c>
      <c r="AZ1669" s="1">
        <v>219.99</v>
      </c>
      <c r="BB1669" s="1">
        <v>219.99</v>
      </c>
    </row>
    <row r="1670">
      <c r="A1670" s="1" t="s">
        <v>1470</v>
      </c>
      <c r="C1670" s="1" t="s">
        <v>235</v>
      </c>
      <c r="D1670" s="1" t="s">
        <v>2721</v>
      </c>
      <c r="Y1670" s="2">
        <v>45514.0</v>
      </c>
      <c r="AE1670" s="1">
        <v>94.99</v>
      </c>
      <c r="AG1670" s="3" t="str">
        <f>"2000006156559057"</f>
        <v>2000006156559057</v>
      </c>
      <c r="AH1670" s="1" t="s">
        <v>58</v>
      </c>
      <c r="AI1670" s="1" t="s">
        <v>59</v>
      </c>
      <c r="AJ1670" s="1" t="s">
        <v>59</v>
      </c>
      <c r="AK1670" s="1" t="s">
        <v>60</v>
      </c>
      <c r="AL1670" s="1" t="s">
        <v>60</v>
      </c>
      <c r="AW1670" s="1" t="s">
        <v>94</v>
      </c>
      <c r="AY1670" s="1">
        <v>1.0</v>
      </c>
      <c r="AZ1670" s="1">
        <v>94.99</v>
      </c>
      <c r="BB1670" s="1">
        <v>94.99</v>
      </c>
    </row>
    <row r="1671">
      <c r="A1671" s="1" t="s">
        <v>2728</v>
      </c>
      <c r="C1671" s="1" t="s">
        <v>56</v>
      </c>
      <c r="D1671" s="1" t="s">
        <v>2729</v>
      </c>
      <c r="Y1671" s="2">
        <v>45514.0</v>
      </c>
      <c r="AE1671" s="1">
        <v>57.99</v>
      </c>
      <c r="AG1671" s="3" t="str">
        <f>"2000006156490463"</f>
        <v>2000006156490463</v>
      </c>
      <c r="AH1671" s="1" t="s">
        <v>58</v>
      </c>
      <c r="AI1671" s="1" t="s">
        <v>59</v>
      </c>
      <c r="AJ1671" s="1" t="s">
        <v>59</v>
      </c>
      <c r="AK1671" s="1" t="s">
        <v>60</v>
      </c>
      <c r="AL1671" s="1" t="s">
        <v>60</v>
      </c>
      <c r="AW1671" s="1" t="s">
        <v>2730</v>
      </c>
      <c r="AY1671" s="1">
        <v>1.0</v>
      </c>
      <c r="AZ1671" s="1">
        <v>57.99</v>
      </c>
      <c r="BB1671" s="1">
        <v>57.99</v>
      </c>
    </row>
    <row r="1672">
      <c r="A1672" s="1" t="s">
        <v>125</v>
      </c>
      <c r="C1672" s="1" t="s">
        <v>56</v>
      </c>
      <c r="D1672" s="1" t="s">
        <v>2731</v>
      </c>
      <c r="Y1672" s="2">
        <v>45514.0</v>
      </c>
      <c r="AE1672" s="1">
        <v>49.99</v>
      </c>
      <c r="AG1672" s="3" t="str">
        <f>"2000006156432385"</f>
        <v>2000006156432385</v>
      </c>
      <c r="AH1672" s="1" t="s">
        <v>58</v>
      </c>
      <c r="AI1672" s="1" t="s">
        <v>59</v>
      </c>
      <c r="AJ1672" s="1" t="s">
        <v>59</v>
      </c>
      <c r="AK1672" s="1" t="s">
        <v>60</v>
      </c>
      <c r="AL1672" s="1" t="s">
        <v>60</v>
      </c>
      <c r="AW1672" s="1" t="s">
        <v>127</v>
      </c>
      <c r="AY1672" s="1">
        <v>1.0</v>
      </c>
      <c r="AZ1672" s="1">
        <v>49.99</v>
      </c>
      <c r="BB1672" s="1">
        <v>49.99</v>
      </c>
    </row>
    <row r="1673">
      <c r="A1673" s="1" t="s">
        <v>622</v>
      </c>
      <c r="C1673" s="1" t="s">
        <v>56</v>
      </c>
      <c r="D1673" s="1" t="s">
        <v>2732</v>
      </c>
      <c r="Y1673" s="2">
        <v>45514.0</v>
      </c>
      <c r="AE1673" s="1">
        <v>649.99</v>
      </c>
      <c r="AG1673" s="3" t="str">
        <f>"2000009002394024"</f>
        <v>2000009002394024</v>
      </c>
      <c r="AH1673" s="1" t="s">
        <v>58</v>
      </c>
      <c r="AI1673" s="1" t="s">
        <v>59</v>
      </c>
      <c r="AJ1673" s="1" t="s">
        <v>59</v>
      </c>
      <c r="AK1673" s="1" t="s">
        <v>60</v>
      </c>
      <c r="AL1673" s="1" t="s">
        <v>60</v>
      </c>
      <c r="AW1673" s="1" t="s">
        <v>624</v>
      </c>
      <c r="AY1673" s="1">
        <v>1.0</v>
      </c>
      <c r="AZ1673" s="1">
        <v>649.99</v>
      </c>
      <c r="BB1673" s="1">
        <v>649.99</v>
      </c>
    </row>
    <row r="1674">
      <c r="A1674" s="1" t="s">
        <v>1566</v>
      </c>
      <c r="C1674" s="1" t="s">
        <v>56</v>
      </c>
      <c r="D1674" s="1" t="s">
        <v>247</v>
      </c>
      <c r="Y1674" s="2">
        <v>45514.0</v>
      </c>
      <c r="AE1674" s="1">
        <v>99.98</v>
      </c>
      <c r="AG1674" s="3" t="str">
        <f>"2000006156388037"</f>
        <v>2000006156388037</v>
      </c>
      <c r="AH1674" s="1" t="s">
        <v>58</v>
      </c>
      <c r="AI1674" s="1" t="s">
        <v>59</v>
      </c>
      <c r="AJ1674" s="1" t="s">
        <v>59</v>
      </c>
      <c r="AK1674" s="1" t="s">
        <v>60</v>
      </c>
      <c r="AL1674" s="1" t="s">
        <v>60</v>
      </c>
      <c r="AW1674" s="1" t="s">
        <v>97</v>
      </c>
      <c r="AY1674" s="1">
        <v>2.0</v>
      </c>
      <c r="AZ1674" s="1">
        <v>49.99</v>
      </c>
      <c r="BB1674" s="1">
        <v>99.98</v>
      </c>
    </row>
    <row r="1675">
      <c r="A1675" s="1" t="s">
        <v>224</v>
      </c>
      <c r="C1675" s="1" t="s">
        <v>56</v>
      </c>
      <c r="D1675" s="1" t="s">
        <v>2733</v>
      </c>
      <c r="Y1675" s="2">
        <v>45514.0</v>
      </c>
      <c r="AE1675" s="1">
        <v>119.99</v>
      </c>
      <c r="AG1675" s="3" t="str">
        <f>"2000006156291653"</f>
        <v>2000006156291653</v>
      </c>
      <c r="AH1675" s="1" t="s">
        <v>58</v>
      </c>
      <c r="AI1675" s="1" t="s">
        <v>59</v>
      </c>
      <c r="AJ1675" s="1" t="s">
        <v>59</v>
      </c>
      <c r="AK1675" s="1" t="s">
        <v>60</v>
      </c>
      <c r="AL1675" s="1" t="s">
        <v>60</v>
      </c>
      <c r="AW1675" s="1" t="s">
        <v>226</v>
      </c>
      <c r="AY1675" s="1">
        <v>1.0</v>
      </c>
      <c r="AZ1675" s="1">
        <v>119.99</v>
      </c>
      <c r="BB1675" s="1">
        <v>119.99</v>
      </c>
    </row>
    <row r="1676">
      <c r="A1676" s="1" t="s">
        <v>1521</v>
      </c>
      <c r="C1676" s="1" t="s">
        <v>56</v>
      </c>
      <c r="D1676" s="1" t="s">
        <v>2734</v>
      </c>
      <c r="Y1676" s="2">
        <v>45514.0</v>
      </c>
      <c r="AE1676" s="1">
        <v>49.99</v>
      </c>
      <c r="AG1676" s="3" t="str">
        <f>"2000006156357865"</f>
        <v>2000006156357865</v>
      </c>
      <c r="AH1676" s="1" t="s">
        <v>58</v>
      </c>
      <c r="AI1676" s="1" t="s">
        <v>59</v>
      </c>
      <c r="AJ1676" s="1" t="s">
        <v>59</v>
      </c>
      <c r="AK1676" s="1" t="s">
        <v>60</v>
      </c>
      <c r="AL1676" s="1" t="s">
        <v>60</v>
      </c>
      <c r="AW1676" s="1" t="s">
        <v>1523</v>
      </c>
      <c r="AY1676" s="1">
        <v>1.0</v>
      </c>
      <c r="AZ1676" s="1">
        <v>49.99</v>
      </c>
      <c r="BB1676" s="1">
        <v>49.99</v>
      </c>
    </row>
    <row r="1677">
      <c r="A1677" s="1" t="s">
        <v>302</v>
      </c>
      <c r="C1677" s="1" t="s">
        <v>56</v>
      </c>
      <c r="D1677" s="1" t="s">
        <v>2735</v>
      </c>
      <c r="Y1677" s="2">
        <v>45514.0</v>
      </c>
      <c r="AE1677" s="1">
        <v>78.96</v>
      </c>
      <c r="AG1677" s="3" t="str">
        <f>"2000006156354517"</f>
        <v>2000006156354517</v>
      </c>
      <c r="AH1677" s="1" t="s">
        <v>58</v>
      </c>
      <c r="AI1677" s="1" t="s">
        <v>59</v>
      </c>
      <c r="AJ1677" s="1" t="s">
        <v>59</v>
      </c>
      <c r="AK1677" s="1" t="s">
        <v>60</v>
      </c>
      <c r="AL1677" s="1" t="s">
        <v>60</v>
      </c>
      <c r="AW1677" s="1" t="s">
        <v>304</v>
      </c>
      <c r="AY1677" s="1">
        <v>2.0</v>
      </c>
      <c r="AZ1677" s="1">
        <v>39.48</v>
      </c>
      <c r="BB1677" s="1">
        <v>78.96</v>
      </c>
    </row>
    <row r="1678">
      <c r="A1678" s="1" t="s">
        <v>1195</v>
      </c>
      <c r="C1678" s="1" t="s">
        <v>56</v>
      </c>
      <c r="D1678" s="1" t="s">
        <v>2736</v>
      </c>
      <c r="Y1678" s="2">
        <v>45514.0</v>
      </c>
      <c r="AE1678" s="1">
        <v>75.98</v>
      </c>
      <c r="AG1678" s="3" t="str">
        <f>"2000006156315879"</f>
        <v>2000006156315879</v>
      </c>
      <c r="AH1678" s="1" t="s">
        <v>58</v>
      </c>
      <c r="AI1678" s="1" t="s">
        <v>59</v>
      </c>
      <c r="AJ1678" s="1" t="s">
        <v>59</v>
      </c>
      <c r="AK1678" s="1" t="s">
        <v>60</v>
      </c>
      <c r="AL1678" s="1" t="s">
        <v>60</v>
      </c>
      <c r="AW1678" s="1" t="s">
        <v>1197</v>
      </c>
      <c r="AY1678" s="1">
        <v>2.0</v>
      </c>
      <c r="AZ1678" s="1">
        <v>37.99</v>
      </c>
      <c r="BB1678" s="1">
        <v>75.98</v>
      </c>
    </row>
    <row r="1679">
      <c r="A1679" s="1" t="s">
        <v>2737</v>
      </c>
      <c r="C1679" s="1" t="s">
        <v>56</v>
      </c>
      <c r="D1679" s="1" t="s">
        <v>2738</v>
      </c>
      <c r="Y1679" s="2">
        <v>45514.0</v>
      </c>
      <c r="AE1679" s="1">
        <v>59.99</v>
      </c>
      <c r="AG1679" s="3" t="str">
        <f>"2000006156299235"</f>
        <v>2000006156299235</v>
      </c>
      <c r="AH1679" s="1" t="s">
        <v>58</v>
      </c>
      <c r="AI1679" s="1" t="s">
        <v>59</v>
      </c>
      <c r="AJ1679" s="1" t="s">
        <v>59</v>
      </c>
      <c r="AK1679" s="1" t="s">
        <v>60</v>
      </c>
      <c r="AL1679" s="1" t="s">
        <v>60</v>
      </c>
      <c r="AW1679" s="1" t="s">
        <v>2739</v>
      </c>
      <c r="AY1679" s="1">
        <v>1.0</v>
      </c>
      <c r="AZ1679" s="1">
        <v>59.99</v>
      </c>
      <c r="BB1679" s="1">
        <v>59.99</v>
      </c>
    </row>
    <row r="1680">
      <c r="A1680" s="1" t="s">
        <v>1946</v>
      </c>
      <c r="C1680" s="1" t="s">
        <v>56</v>
      </c>
      <c r="D1680" s="1" t="s">
        <v>2740</v>
      </c>
      <c r="Y1680" s="2">
        <v>45514.0</v>
      </c>
      <c r="AE1680" s="1">
        <v>39.99</v>
      </c>
      <c r="AG1680" s="3" t="str">
        <f>"2000006156286583"</f>
        <v>2000006156286583</v>
      </c>
      <c r="AH1680" s="1" t="s">
        <v>58</v>
      </c>
      <c r="AI1680" s="1" t="s">
        <v>59</v>
      </c>
      <c r="AJ1680" s="1" t="s">
        <v>59</v>
      </c>
      <c r="AK1680" s="1" t="s">
        <v>60</v>
      </c>
      <c r="AL1680" s="1" t="s">
        <v>60</v>
      </c>
      <c r="AW1680" s="1" t="s">
        <v>1529</v>
      </c>
      <c r="AY1680" s="1">
        <v>1.0</v>
      </c>
      <c r="AZ1680" s="1">
        <v>39.99</v>
      </c>
      <c r="BB1680" s="1">
        <v>39.99</v>
      </c>
    </row>
    <row r="1681">
      <c r="A1681" s="1" t="s">
        <v>2182</v>
      </c>
      <c r="C1681" s="1" t="s">
        <v>56</v>
      </c>
      <c r="D1681" s="1" t="s">
        <v>2741</v>
      </c>
      <c r="Y1681" s="2">
        <v>45513.0</v>
      </c>
      <c r="AE1681" s="1">
        <v>94.99</v>
      </c>
      <c r="AG1681" s="3" t="str">
        <f>"2000008997567758"</f>
        <v>2000008997567758</v>
      </c>
      <c r="AH1681" s="1" t="s">
        <v>58</v>
      </c>
      <c r="AI1681" s="1" t="s">
        <v>59</v>
      </c>
      <c r="AJ1681" s="1" t="s">
        <v>59</v>
      </c>
      <c r="AK1681" s="1" t="s">
        <v>60</v>
      </c>
      <c r="AL1681" s="1" t="s">
        <v>60</v>
      </c>
      <c r="AW1681" s="1" t="s">
        <v>2184</v>
      </c>
      <c r="AY1681" s="1">
        <v>1.0</v>
      </c>
      <c r="AZ1681" s="1">
        <v>94.99</v>
      </c>
      <c r="BB1681" s="1">
        <v>94.99</v>
      </c>
    </row>
    <row r="1682">
      <c r="A1682" s="1" t="s">
        <v>86</v>
      </c>
      <c r="C1682" s="1" t="s">
        <v>56</v>
      </c>
      <c r="D1682" s="1" t="s">
        <v>2742</v>
      </c>
      <c r="Y1682" s="2">
        <v>45514.0</v>
      </c>
      <c r="AE1682" s="1">
        <v>64.99</v>
      </c>
      <c r="AG1682" s="3" t="str">
        <f>"2000006155590353"</f>
        <v>2000006155590353</v>
      </c>
      <c r="AH1682" s="1" t="s">
        <v>58</v>
      </c>
      <c r="AI1682" s="1" t="s">
        <v>59</v>
      </c>
      <c r="AJ1682" s="1" t="s">
        <v>59</v>
      </c>
      <c r="AK1682" s="1" t="s">
        <v>60</v>
      </c>
      <c r="AL1682" s="1" t="s">
        <v>60</v>
      </c>
      <c r="AW1682" s="1" t="s">
        <v>88</v>
      </c>
      <c r="AY1682" s="1">
        <v>1.0</v>
      </c>
      <c r="AZ1682" s="1">
        <v>64.99</v>
      </c>
      <c r="BB1682" s="1">
        <v>64.99</v>
      </c>
    </row>
    <row r="1683">
      <c r="A1683" s="1" t="s">
        <v>1137</v>
      </c>
      <c r="C1683" s="1" t="s">
        <v>56</v>
      </c>
      <c r="D1683" s="1" t="s">
        <v>2743</v>
      </c>
      <c r="Y1683" s="2">
        <v>45514.0</v>
      </c>
      <c r="AE1683" s="1">
        <v>79.99</v>
      </c>
      <c r="AG1683" s="3" t="str">
        <f>"2000006156033853"</f>
        <v>2000006156033853</v>
      </c>
      <c r="AH1683" s="1" t="s">
        <v>58</v>
      </c>
      <c r="AI1683" s="1" t="s">
        <v>59</v>
      </c>
      <c r="AJ1683" s="1" t="s">
        <v>59</v>
      </c>
      <c r="AK1683" s="1" t="s">
        <v>60</v>
      </c>
      <c r="AL1683" s="1" t="s">
        <v>60</v>
      </c>
      <c r="AW1683" s="1" t="s">
        <v>1139</v>
      </c>
      <c r="AY1683" s="1">
        <v>1.0</v>
      </c>
      <c r="AZ1683" s="1">
        <v>79.99</v>
      </c>
      <c r="BB1683" s="1">
        <v>79.99</v>
      </c>
    </row>
    <row r="1684">
      <c r="A1684" s="1" t="s">
        <v>2436</v>
      </c>
      <c r="C1684" s="1" t="s">
        <v>56</v>
      </c>
      <c r="D1684" s="1" t="s">
        <v>2744</v>
      </c>
      <c r="Y1684" s="2">
        <v>45514.0</v>
      </c>
      <c r="AE1684" s="1">
        <v>59.99</v>
      </c>
      <c r="AG1684" s="3" t="str">
        <f>"2000006156195971"</f>
        <v>2000006156195971</v>
      </c>
      <c r="AH1684" s="1" t="s">
        <v>58</v>
      </c>
      <c r="AI1684" s="1" t="s">
        <v>59</v>
      </c>
      <c r="AJ1684" s="1" t="s">
        <v>59</v>
      </c>
      <c r="AK1684" s="1" t="s">
        <v>60</v>
      </c>
      <c r="AL1684" s="1" t="s">
        <v>60</v>
      </c>
      <c r="AW1684" s="1" t="s">
        <v>2438</v>
      </c>
      <c r="AY1684" s="1">
        <v>1.0</v>
      </c>
      <c r="AZ1684" s="1">
        <v>59.99</v>
      </c>
      <c r="BB1684" s="1">
        <v>59.99</v>
      </c>
    </row>
    <row r="1685">
      <c r="A1685" s="1" t="s">
        <v>2745</v>
      </c>
      <c r="C1685" s="1" t="s">
        <v>56</v>
      </c>
      <c r="D1685" s="1" t="s">
        <v>2746</v>
      </c>
      <c r="Y1685" s="2">
        <v>45514.0</v>
      </c>
      <c r="AE1685" s="1">
        <v>69.99</v>
      </c>
      <c r="AG1685" s="3" t="str">
        <f>"2000006156163159"</f>
        <v>2000006156163159</v>
      </c>
      <c r="AH1685" s="1" t="s">
        <v>58</v>
      </c>
      <c r="AI1685" s="1" t="s">
        <v>59</v>
      </c>
      <c r="AJ1685" s="1" t="s">
        <v>59</v>
      </c>
      <c r="AK1685" s="1" t="s">
        <v>60</v>
      </c>
      <c r="AL1685" s="1" t="s">
        <v>60</v>
      </c>
      <c r="AW1685" s="1" t="s">
        <v>2747</v>
      </c>
      <c r="AY1685" s="1">
        <v>1.0</v>
      </c>
      <c r="AZ1685" s="1">
        <v>69.99</v>
      </c>
      <c r="BB1685" s="1">
        <v>69.99</v>
      </c>
    </row>
    <row r="1686">
      <c r="A1686" s="1" t="s">
        <v>819</v>
      </c>
      <c r="C1686" s="1" t="s">
        <v>56</v>
      </c>
      <c r="D1686" s="1" t="s">
        <v>2748</v>
      </c>
      <c r="Y1686" s="2">
        <v>45514.0</v>
      </c>
      <c r="AE1686" s="1">
        <v>449.99</v>
      </c>
      <c r="AG1686" s="3" t="str">
        <f>"2000009002010866"</f>
        <v>2000009002010866</v>
      </c>
      <c r="AH1686" s="1" t="s">
        <v>58</v>
      </c>
      <c r="AI1686" s="1" t="s">
        <v>59</v>
      </c>
      <c r="AJ1686" s="1" t="s">
        <v>59</v>
      </c>
      <c r="AK1686" s="1" t="s">
        <v>60</v>
      </c>
      <c r="AL1686" s="1" t="s">
        <v>60</v>
      </c>
      <c r="AW1686" s="1" t="s">
        <v>2749</v>
      </c>
      <c r="AY1686" s="1">
        <v>1.0</v>
      </c>
      <c r="AZ1686" s="1">
        <v>449.99</v>
      </c>
      <c r="BB1686" s="1">
        <v>449.99</v>
      </c>
    </row>
    <row r="1687">
      <c r="A1687" s="1" t="s">
        <v>1923</v>
      </c>
      <c r="C1687" s="1" t="s">
        <v>56</v>
      </c>
      <c r="D1687" s="1" t="s">
        <v>2750</v>
      </c>
      <c r="Y1687" s="2">
        <v>45514.0</v>
      </c>
      <c r="AE1687" s="1">
        <v>45.99</v>
      </c>
      <c r="AG1687" s="3" t="str">
        <f>"2000006156127769"</f>
        <v>2000006156127769</v>
      </c>
      <c r="AH1687" s="1" t="s">
        <v>58</v>
      </c>
      <c r="AI1687" s="1" t="s">
        <v>59</v>
      </c>
      <c r="AJ1687" s="1" t="s">
        <v>59</v>
      </c>
      <c r="AK1687" s="1" t="s">
        <v>60</v>
      </c>
      <c r="AL1687" s="1" t="s">
        <v>60</v>
      </c>
      <c r="AW1687" s="1" t="s">
        <v>1925</v>
      </c>
      <c r="AY1687" s="1">
        <v>1.0</v>
      </c>
      <c r="AZ1687" s="1">
        <v>45.99</v>
      </c>
      <c r="BB1687" s="1">
        <v>45.99</v>
      </c>
    </row>
    <row r="1688">
      <c r="A1688" s="1" t="s">
        <v>249</v>
      </c>
      <c r="C1688" s="1" t="s">
        <v>56</v>
      </c>
      <c r="D1688" s="1" t="s">
        <v>2751</v>
      </c>
      <c r="Y1688" s="2">
        <v>45514.0</v>
      </c>
      <c r="AE1688" s="1">
        <v>64.99</v>
      </c>
      <c r="AG1688" s="3" t="str">
        <f>"2000006155884159"</f>
        <v>2000006155884159</v>
      </c>
      <c r="AH1688" s="1" t="s">
        <v>58</v>
      </c>
      <c r="AI1688" s="1" t="s">
        <v>59</v>
      </c>
      <c r="AJ1688" s="1" t="s">
        <v>59</v>
      </c>
      <c r="AK1688" s="1" t="s">
        <v>60</v>
      </c>
      <c r="AL1688" s="1" t="s">
        <v>60</v>
      </c>
      <c r="AW1688" s="1" t="s">
        <v>251</v>
      </c>
      <c r="AY1688" s="1">
        <v>1.0</v>
      </c>
      <c r="AZ1688" s="1">
        <v>64.99</v>
      </c>
      <c r="BB1688" s="1">
        <v>64.99</v>
      </c>
    </row>
    <row r="1689">
      <c r="A1689" s="1" t="s">
        <v>602</v>
      </c>
      <c r="C1689" s="1" t="s">
        <v>235</v>
      </c>
      <c r="D1689" s="1" t="s">
        <v>2610</v>
      </c>
      <c r="Y1689" s="2">
        <v>45514.0</v>
      </c>
      <c r="AE1689" s="1">
        <v>84.99</v>
      </c>
      <c r="AG1689" s="3" t="str">
        <f>"2000006156107469"</f>
        <v>2000006156107469</v>
      </c>
      <c r="AH1689" s="1" t="s">
        <v>58</v>
      </c>
      <c r="AI1689" s="1" t="s">
        <v>59</v>
      </c>
      <c r="AJ1689" s="1" t="s">
        <v>59</v>
      </c>
      <c r="AK1689" s="1" t="s">
        <v>60</v>
      </c>
      <c r="AL1689" s="1" t="s">
        <v>60</v>
      </c>
      <c r="AW1689" s="1" t="s">
        <v>604</v>
      </c>
      <c r="AY1689" s="1">
        <v>1.0</v>
      </c>
      <c r="AZ1689" s="1">
        <v>84.99</v>
      </c>
      <c r="BB1689" s="1">
        <v>84.99</v>
      </c>
    </row>
    <row r="1690">
      <c r="A1690" s="1" t="s">
        <v>55</v>
      </c>
      <c r="C1690" s="1" t="s">
        <v>235</v>
      </c>
      <c r="D1690" s="1" t="s">
        <v>2744</v>
      </c>
      <c r="Y1690" s="2">
        <v>45514.0</v>
      </c>
      <c r="AE1690" s="1">
        <v>59.99</v>
      </c>
      <c r="AG1690" s="3" t="str">
        <f>"2000006156111797"</f>
        <v>2000006156111797</v>
      </c>
      <c r="AH1690" s="1" t="s">
        <v>58</v>
      </c>
      <c r="AI1690" s="1" t="s">
        <v>59</v>
      </c>
      <c r="AJ1690" s="1" t="s">
        <v>59</v>
      </c>
      <c r="AK1690" s="1" t="s">
        <v>60</v>
      </c>
      <c r="AL1690" s="1" t="s">
        <v>60</v>
      </c>
      <c r="AW1690" s="1" t="s">
        <v>61</v>
      </c>
      <c r="AY1690" s="1">
        <v>1.0</v>
      </c>
      <c r="AZ1690" s="1">
        <v>59.99</v>
      </c>
      <c r="BB1690" s="1">
        <v>59.99</v>
      </c>
    </row>
    <row r="1691">
      <c r="A1691" s="1" t="s">
        <v>2195</v>
      </c>
      <c r="C1691" s="1" t="s">
        <v>56</v>
      </c>
      <c r="D1691" s="1" t="s">
        <v>2752</v>
      </c>
      <c r="Y1691" s="2">
        <v>45514.0</v>
      </c>
      <c r="AE1691" s="1">
        <v>44.99</v>
      </c>
      <c r="AG1691" s="3" t="str">
        <f>"2000006156078233"</f>
        <v>2000006156078233</v>
      </c>
      <c r="AH1691" s="1" t="s">
        <v>58</v>
      </c>
      <c r="AI1691" s="1" t="s">
        <v>59</v>
      </c>
      <c r="AJ1691" s="1" t="s">
        <v>59</v>
      </c>
      <c r="AK1691" s="1" t="s">
        <v>60</v>
      </c>
      <c r="AL1691" s="1" t="s">
        <v>60</v>
      </c>
      <c r="AW1691" s="1" t="s">
        <v>2197</v>
      </c>
      <c r="AY1691" s="1">
        <v>1.0</v>
      </c>
      <c r="AZ1691" s="1">
        <v>44.99</v>
      </c>
      <c r="BB1691" s="1">
        <v>44.99</v>
      </c>
    </row>
    <row r="1692">
      <c r="A1692" s="1" t="s">
        <v>2753</v>
      </c>
      <c r="C1692" s="1" t="s">
        <v>56</v>
      </c>
      <c r="D1692" s="1" t="s">
        <v>2754</v>
      </c>
      <c r="Y1692" s="2">
        <v>45514.0</v>
      </c>
      <c r="AE1692" s="1">
        <v>72.99</v>
      </c>
      <c r="AG1692" s="3" t="str">
        <f>"2000006156097481"</f>
        <v>2000006156097481</v>
      </c>
      <c r="AH1692" s="1" t="s">
        <v>58</v>
      </c>
      <c r="AI1692" s="1" t="s">
        <v>59</v>
      </c>
      <c r="AJ1692" s="1" t="s">
        <v>59</v>
      </c>
      <c r="AK1692" s="1" t="s">
        <v>60</v>
      </c>
      <c r="AL1692" s="1" t="s">
        <v>60</v>
      </c>
      <c r="AW1692" s="1" t="s">
        <v>2755</v>
      </c>
      <c r="AY1692" s="1">
        <v>1.0</v>
      </c>
      <c r="AZ1692" s="1">
        <v>72.99</v>
      </c>
      <c r="BB1692" s="1">
        <v>72.99</v>
      </c>
    </row>
    <row r="1693">
      <c r="A1693" s="1" t="s">
        <v>991</v>
      </c>
      <c r="C1693" s="1" t="s">
        <v>56</v>
      </c>
      <c r="D1693" s="1" t="s">
        <v>2756</v>
      </c>
      <c r="Y1693" s="2">
        <v>45514.0</v>
      </c>
      <c r="AE1693" s="1">
        <v>64.99</v>
      </c>
      <c r="AG1693" s="3" t="str">
        <f>"2000006156091855"</f>
        <v>2000006156091855</v>
      </c>
      <c r="AH1693" s="1" t="s">
        <v>58</v>
      </c>
      <c r="AI1693" s="1" t="s">
        <v>59</v>
      </c>
      <c r="AJ1693" s="1" t="s">
        <v>59</v>
      </c>
      <c r="AK1693" s="1" t="s">
        <v>60</v>
      </c>
      <c r="AL1693" s="1" t="s">
        <v>60</v>
      </c>
      <c r="AW1693" s="1" t="s">
        <v>993</v>
      </c>
      <c r="AY1693" s="1">
        <v>1.0</v>
      </c>
      <c r="AZ1693" s="1">
        <v>64.99</v>
      </c>
      <c r="BB1693" s="1">
        <v>64.99</v>
      </c>
    </row>
    <row r="1694">
      <c r="A1694" s="1" t="s">
        <v>175</v>
      </c>
      <c r="C1694" s="1" t="s">
        <v>56</v>
      </c>
      <c r="D1694" s="1" t="s">
        <v>2757</v>
      </c>
      <c r="Y1694" s="2">
        <v>45514.0</v>
      </c>
      <c r="AE1694" s="1">
        <v>199.99</v>
      </c>
      <c r="AG1694" s="3" t="str">
        <f>"2000006156088885"</f>
        <v>2000006156088885</v>
      </c>
      <c r="AH1694" s="1" t="s">
        <v>58</v>
      </c>
      <c r="AI1694" s="1" t="s">
        <v>59</v>
      </c>
      <c r="AJ1694" s="1" t="s">
        <v>59</v>
      </c>
      <c r="AK1694" s="1" t="s">
        <v>60</v>
      </c>
      <c r="AL1694" s="1" t="s">
        <v>60</v>
      </c>
      <c r="AW1694" s="1" t="s">
        <v>177</v>
      </c>
      <c r="AY1694" s="1">
        <v>1.0</v>
      </c>
      <c r="AZ1694" s="1">
        <v>199.99</v>
      </c>
      <c r="BB1694" s="1">
        <v>199.99</v>
      </c>
    </row>
    <row r="1695">
      <c r="A1695" s="1" t="s">
        <v>1724</v>
      </c>
      <c r="C1695" s="1" t="s">
        <v>56</v>
      </c>
      <c r="D1695" s="1" t="s">
        <v>2758</v>
      </c>
      <c r="Y1695" s="2">
        <v>45514.0</v>
      </c>
      <c r="AE1695" s="1">
        <v>129.99</v>
      </c>
      <c r="AG1695" s="3" t="str">
        <f>"2000006156016413"</f>
        <v>2000006156016413</v>
      </c>
      <c r="AH1695" s="1" t="s">
        <v>58</v>
      </c>
      <c r="AI1695" s="1" t="s">
        <v>59</v>
      </c>
      <c r="AJ1695" s="1" t="s">
        <v>59</v>
      </c>
      <c r="AK1695" s="1" t="s">
        <v>60</v>
      </c>
      <c r="AL1695" s="1" t="s">
        <v>60</v>
      </c>
      <c r="AW1695" s="1" t="s">
        <v>1726</v>
      </c>
      <c r="AY1695" s="1">
        <v>1.0</v>
      </c>
      <c r="AZ1695" s="1">
        <v>129.99</v>
      </c>
      <c r="BB1695" s="1">
        <v>129.99</v>
      </c>
    </row>
    <row r="1696">
      <c r="A1696" s="1" t="s">
        <v>1253</v>
      </c>
      <c r="C1696" s="1" t="s">
        <v>56</v>
      </c>
      <c r="D1696" s="1" t="s">
        <v>2759</v>
      </c>
      <c r="Y1696" s="2">
        <v>45514.0</v>
      </c>
      <c r="AE1696" s="1">
        <v>139.98</v>
      </c>
      <c r="AG1696" s="3" t="str">
        <f>"2000006156088465"</f>
        <v>2000006156088465</v>
      </c>
      <c r="AH1696" s="1" t="s">
        <v>58</v>
      </c>
      <c r="AI1696" s="1" t="s">
        <v>59</v>
      </c>
      <c r="AJ1696" s="1" t="s">
        <v>59</v>
      </c>
      <c r="AK1696" s="1" t="s">
        <v>60</v>
      </c>
      <c r="AL1696" s="1" t="s">
        <v>60</v>
      </c>
      <c r="AW1696" s="1" t="s">
        <v>1254</v>
      </c>
      <c r="AY1696" s="1">
        <v>2.0</v>
      </c>
      <c r="AZ1696" s="1">
        <v>69.99</v>
      </c>
      <c r="BB1696" s="1">
        <v>139.98</v>
      </c>
    </row>
    <row r="1697">
      <c r="A1697" s="1" t="s">
        <v>1253</v>
      </c>
      <c r="C1697" s="1" t="s">
        <v>56</v>
      </c>
      <c r="D1697" s="1" t="s">
        <v>2760</v>
      </c>
      <c r="Y1697" s="2">
        <v>45514.0</v>
      </c>
      <c r="AE1697" s="1">
        <v>69.99</v>
      </c>
      <c r="AG1697" s="3" t="str">
        <f>"2000009001895880"</f>
        <v>2000009001895880</v>
      </c>
      <c r="AH1697" s="1" t="s">
        <v>58</v>
      </c>
      <c r="AI1697" s="1" t="s">
        <v>59</v>
      </c>
      <c r="AJ1697" s="1" t="s">
        <v>59</v>
      </c>
      <c r="AK1697" s="1" t="s">
        <v>60</v>
      </c>
      <c r="AL1697" s="1" t="s">
        <v>60</v>
      </c>
      <c r="AW1697" s="1" t="s">
        <v>1254</v>
      </c>
      <c r="AY1697" s="1">
        <v>1.0</v>
      </c>
      <c r="AZ1697" s="1">
        <v>69.99</v>
      </c>
      <c r="BB1697" s="1">
        <v>69.99</v>
      </c>
    </row>
    <row r="1698">
      <c r="A1698" s="1" t="s">
        <v>2761</v>
      </c>
      <c r="C1698" s="1" t="s">
        <v>56</v>
      </c>
      <c r="D1698" s="1" t="s">
        <v>2762</v>
      </c>
      <c r="Y1698" s="2">
        <v>45514.0</v>
      </c>
      <c r="AE1698" s="1">
        <v>104.98</v>
      </c>
      <c r="AG1698" s="3" t="str">
        <f>"2000009001863252"</f>
        <v>2000009001863252</v>
      </c>
      <c r="AH1698" s="1" t="s">
        <v>58</v>
      </c>
      <c r="AI1698" s="1" t="s">
        <v>59</v>
      </c>
      <c r="AJ1698" s="1" t="s">
        <v>59</v>
      </c>
      <c r="AK1698" s="1" t="s">
        <v>60</v>
      </c>
      <c r="AL1698" s="1" t="s">
        <v>60</v>
      </c>
      <c r="AW1698" s="1" t="s">
        <v>2763</v>
      </c>
      <c r="AY1698" s="1">
        <v>1.0</v>
      </c>
      <c r="AZ1698" s="1">
        <v>104.98</v>
      </c>
      <c r="BB1698" s="1">
        <v>104.98</v>
      </c>
    </row>
    <row r="1699">
      <c r="A1699" s="1" t="s">
        <v>636</v>
      </c>
      <c r="C1699" s="1" t="s">
        <v>56</v>
      </c>
      <c r="D1699" s="1" t="s">
        <v>2764</v>
      </c>
      <c r="Y1699" s="2">
        <v>45514.0</v>
      </c>
      <c r="AE1699" s="1">
        <v>109.99</v>
      </c>
      <c r="AG1699" s="3" t="str">
        <f>"2000009001842448"</f>
        <v>2000009001842448</v>
      </c>
      <c r="AH1699" s="1" t="s">
        <v>58</v>
      </c>
      <c r="AI1699" s="1" t="s">
        <v>59</v>
      </c>
      <c r="AJ1699" s="1" t="s">
        <v>59</v>
      </c>
      <c r="AK1699" s="1" t="s">
        <v>60</v>
      </c>
      <c r="AL1699" s="1" t="s">
        <v>60</v>
      </c>
      <c r="AW1699" s="1" t="s">
        <v>638</v>
      </c>
      <c r="AY1699" s="1">
        <v>1.0</v>
      </c>
      <c r="AZ1699" s="1">
        <v>109.99</v>
      </c>
      <c r="BB1699" s="1">
        <v>109.99</v>
      </c>
    </row>
    <row r="1700">
      <c r="A1700" s="1" t="s">
        <v>428</v>
      </c>
      <c r="C1700" s="1" t="s">
        <v>56</v>
      </c>
      <c r="D1700" s="1" t="s">
        <v>2765</v>
      </c>
      <c r="Y1700" s="2">
        <v>45514.0</v>
      </c>
      <c r="AE1700" s="1">
        <v>279.99</v>
      </c>
      <c r="AG1700" s="3" t="str">
        <f>"2000006156010401"</f>
        <v>2000006156010401</v>
      </c>
      <c r="AH1700" s="1" t="s">
        <v>58</v>
      </c>
      <c r="AI1700" s="1" t="s">
        <v>59</v>
      </c>
      <c r="AJ1700" s="1" t="s">
        <v>59</v>
      </c>
      <c r="AK1700" s="1" t="s">
        <v>60</v>
      </c>
      <c r="AL1700" s="1" t="s">
        <v>60</v>
      </c>
      <c r="AW1700" s="1" t="s">
        <v>430</v>
      </c>
      <c r="AY1700" s="1">
        <v>1.0</v>
      </c>
      <c r="AZ1700" s="1">
        <v>279.99</v>
      </c>
      <c r="BB1700" s="1">
        <v>279.99</v>
      </c>
    </row>
    <row r="1701">
      <c r="A1701" s="1" t="s">
        <v>1257</v>
      </c>
      <c r="C1701" s="1" t="s">
        <v>56</v>
      </c>
      <c r="D1701" s="1" t="s">
        <v>2766</v>
      </c>
      <c r="Y1701" s="2">
        <v>45514.0</v>
      </c>
      <c r="AE1701" s="1">
        <v>64.99</v>
      </c>
      <c r="AG1701" s="3" t="str">
        <f>"2000006155999341"</f>
        <v>2000006155999341</v>
      </c>
      <c r="AH1701" s="1" t="s">
        <v>58</v>
      </c>
      <c r="AI1701" s="1" t="s">
        <v>59</v>
      </c>
      <c r="AJ1701" s="1" t="s">
        <v>59</v>
      </c>
      <c r="AK1701" s="1" t="s">
        <v>60</v>
      </c>
      <c r="AL1701" s="1" t="s">
        <v>60</v>
      </c>
      <c r="AW1701" s="1" t="s">
        <v>1259</v>
      </c>
      <c r="AY1701" s="1">
        <v>1.0</v>
      </c>
      <c r="AZ1701" s="1">
        <v>64.99</v>
      </c>
      <c r="BB1701" s="1">
        <v>64.99</v>
      </c>
    </row>
    <row r="1702">
      <c r="A1702" s="1" t="s">
        <v>345</v>
      </c>
      <c r="C1702" s="1" t="s">
        <v>56</v>
      </c>
      <c r="D1702" s="1" t="s">
        <v>2767</v>
      </c>
      <c r="Y1702" s="2">
        <v>45514.0</v>
      </c>
      <c r="AE1702" s="1">
        <v>164.99</v>
      </c>
      <c r="AG1702" s="3" t="str">
        <f>"2000006155992731"</f>
        <v>2000006155992731</v>
      </c>
      <c r="AH1702" s="1" t="s">
        <v>58</v>
      </c>
      <c r="AI1702" s="1" t="s">
        <v>59</v>
      </c>
      <c r="AJ1702" s="1" t="s">
        <v>59</v>
      </c>
      <c r="AK1702" s="1" t="s">
        <v>60</v>
      </c>
      <c r="AL1702" s="1" t="s">
        <v>60</v>
      </c>
      <c r="AW1702" s="1" t="s">
        <v>347</v>
      </c>
      <c r="AY1702" s="1">
        <v>1.0</v>
      </c>
      <c r="AZ1702" s="1">
        <v>164.99</v>
      </c>
      <c r="BB1702" s="1">
        <v>164.99</v>
      </c>
    </row>
    <row r="1703">
      <c r="A1703" s="1" t="s">
        <v>2269</v>
      </c>
      <c r="C1703" s="1" t="s">
        <v>56</v>
      </c>
      <c r="D1703" s="1" t="s">
        <v>2768</v>
      </c>
      <c r="Y1703" s="2">
        <v>45514.0</v>
      </c>
      <c r="AE1703" s="1">
        <v>49.99</v>
      </c>
      <c r="AG1703" s="3" t="str">
        <f>"2000006155972497"</f>
        <v>2000006155972497</v>
      </c>
      <c r="AH1703" s="1" t="s">
        <v>58</v>
      </c>
      <c r="AI1703" s="1" t="s">
        <v>59</v>
      </c>
      <c r="AJ1703" s="1" t="s">
        <v>59</v>
      </c>
      <c r="AK1703" s="1" t="s">
        <v>60</v>
      </c>
      <c r="AL1703" s="1" t="s">
        <v>60</v>
      </c>
      <c r="AW1703" s="1" t="s">
        <v>1838</v>
      </c>
      <c r="AY1703" s="1">
        <v>1.0</v>
      </c>
      <c r="AZ1703" s="1">
        <v>49.99</v>
      </c>
      <c r="BB1703" s="1">
        <v>49.99</v>
      </c>
    </row>
    <row r="1704">
      <c r="A1704" s="1" t="s">
        <v>851</v>
      </c>
      <c r="C1704" s="1" t="s">
        <v>56</v>
      </c>
      <c r="D1704" s="1" t="s">
        <v>2769</v>
      </c>
      <c r="Y1704" s="2">
        <v>45514.0</v>
      </c>
      <c r="AE1704" s="1">
        <v>76.99</v>
      </c>
      <c r="AG1704" s="3" t="str">
        <f>"2000006155181317"</f>
        <v>2000006155181317</v>
      </c>
      <c r="AH1704" s="1" t="s">
        <v>58</v>
      </c>
      <c r="AI1704" s="1" t="s">
        <v>59</v>
      </c>
      <c r="AJ1704" s="1" t="s">
        <v>59</v>
      </c>
      <c r="AK1704" s="1" t="s">
        <v>60</v>
      </c>
      <c r="AL1704" s="1" t="s">
        <v>60</v>
      </c>
      <c r="AW1704" s="1" t="s">
        <v>853</v>
      </c>
      <c r="AY1704" s="1">
        <v>1.0</v>
      </c>
      <c r="AZ1704" s="1">
        <v>76.99</v>
      </c>
      <c r="BB1704" s="1">
        <v>76.99</v>
      </c>
    </row>
    <row r="1705">
      <c r="A1705" s="1" t="s">
        <v>1539</v>
      </c>
      <c r="C1705" s="1" t="s">
        <v>56</v>
      </c>
      <c r="D1705" s="1" t="s">
        <v>2770</v>
      </c>
      <c r="Y1705" s="2">
        <v>45514.0</v>
      </c>
      <c r="AE1705" s="1">
        <v>109.99</v>
      </c>
      <c r="AG1705" s="3" t="str">
        <f>"2000009001549744"</f>
        <v>2000009001549744</v>
      </c>
      <c r="AH1705" s="1" t="s">
        <v>58</v>
      </c>
      <c r="AI1705" s="1" t="s">
        <v>59</v>
      </c>
      <c r="AJ1705" s="1" t="s">
        <v>59</v>
      </c>
      <c r="AK1705" s="1" t="s">
        <v>60</v>
      </c>
      <c r="AL1705" s="1" t="s">
        <v>60</v>
      </c>
      <c r="AW1705" s="1" t="s">
        <v>2771</v>
      </c>
      <c r="AY1705" s="1">
        <v>1.0</v>
      </c>
      <c r="AZ1705" s="1">
        <v>109.99</v>
      </c>
      <c r="BB1705" s="1">
        <v>109.99</v>
      </c>
    </row>
    <row r="1706">
      <c r="A1706" s="1" t="s">
        <v>2772</v>
      </c>
      <c r="C1706" s="1" t="s">
        <v>56</v>
      </c>
      <c r="D1706" s="1" t="s">
        <v>2773</v>
      </c>
      <c r="Y1706" s="2">
        <v>45514.0</v>
      </c>
      <c r="AE1706" s="1">
        <v>99.99</v>
      </c>
      <c r="AG1706" s="3" t="str">
        <f>"2000006155875099"</f>
        <v>2000006155875099</v>
      </c>
      <c r="AH1706" s="1" t="s">
        <v>58</v>
      </c>
      <c r="AI1706" s="1" t="s">
        <v>59</v>
      </c>
      <c r="AJ1706" s="1" t="s">
        <v>59</v>
      </c>
      <c r="AK1706" s="1" t="s">
        <v>60</v>
      </c>
      <c r="AL1706" s="1" t="s">
        <v>60</v>
      </c>
      <c r="AW1706" s="1" t="s">
        <v>2774</v>
      </c>
      <c r="AY1706" s="1">
        <v>1.0</v>
      </c>
      <c r="AZ1706" s="1">
        <v>99.99</v>
      </c>
      <c r="BB1706" s="1">
        <v>99.99</v>
      </c>
    </row>
    <row r="1707">
      <c r="A1707" s="1" t="s">
        <v>2775</v>
      </c>
      <c r="C1707" s="1" t="s">
        <v>56</v>
      </c>
      <c r="D1707" s="1" t="s">
        <v>2776</v>
      </c>
      <c r="Y1707" s="2">
        <v>45514.0</v>
      </c>
      <c r="AE1707" s="1">
        <v>59.99</v>
      </c>
      <c r="AG1707" s="3" t="str">
        <f>"2000006155845017"</f>
        <v>2000006155845017</v>
      </c>
      <c r="AH1707" s="1" t="s">
        <v>58</v>
      </c>
      <c r="AI1707" s="1" t="s">
        <v>59</v>
      </c>
      <c r="AJ1707" s="1" t="s">
        <v>59</v>
      </c>
      <c r="AK1707" s="1" t="s">
        <v>60</v>
      </c>
      <c r="AL1707" s="1" t="s">
        <v>60</v>
      </c>
      <c r="AW1707" s="1" t="s">
        <v>648</v>
      </c>
      <c r="AY1707" s="1">
        <v>1.0</v>
      </c>
      <c r="AZ1707" s="1">
        <v>59.99</v>
      </c>
      <c r="BB1707" s="1">
        <v>59.99</v>
      </c>
    </row>
    <row r="1708">
      <c r="A1708" s="1" t="s">
        <v>2777</v>
      </c>
      <c r="C1708" s="1" t="s">
        <v>56</v>
      </c>
      <c r="D1708" s="1" t="s">
        <v>2778</v>
      </c>
      <c r="Y1708" s="2">
        <v>45514.0</v>
      </c>
      <c r="AE1708" s="1">
        <v>194.99</v>
      </c>
      <c r="AG1708" s="3" t="str">
        <f>"2000006155833559"</f>
        <v>2000006155833559</v>
      </c>
      <c r="AH1708" s="1" t="s">
        <v>58</v>
      </c>
      <c r="AI1708" s="1" t="s">
        <v>59</v>
      </c>
      <c r="AJ1708" s="1" t="s">
        <v>59</v>
      </c>
      <c r="AK1708" s="1" t="s">
        <v>60</v>
      </c>
      <c r="AL1708" s="1" t="s">
        <v>60</v>
      </c>
      <c r="AW1708" s="1" t="s">
        <v>2779</v>
      </c>
      <c r="AY1708" s="1">
        <v>1.0</v>
      </c>
      <c r="AZ1708" s="1">
        <v>194.99</v>
      </c>
      <c r="BB1708" s="1">
        <v>194.99</v>
      </c>
    </row>
    <row r="1709">
      <c r="A1709" s="1" t="s">
        <v>1290</v>
      </c>
      <c r="C1709" s="1" t="s">
        <v>56</v>
      </c>
      <c r="D1709" s="1" t="s">
        <v>2780</v>
      </c>
      <c r="Y1709" s="2">
        <v>45514.0</v>
      </c>
      <c r="AE1709" s="1">
        <v>429.99</v>
      </c>
      <c r="AG1709" s="3" t="str">
        <f>"2000009001446612"</f>
        <v>2000009001446612</v>
      </c>
      <c r="AH1709" s="1" t="s">
        <v>58</v>
      </c>
      <c r="AI1709" s="1" t="s">
        <v>59</v>
      </c>
      <c r="AJ1709" s="1" t="s">
        <v>59</v>
      </c>
      <c r="AK1709" s="1" t="s">
        <v>60</v>
      </c>
      <c r="AL1709" s="1" t="s">
        <v>60</v>
      </c>
      <c r="AW1709" s="1" t="s">
        <v>1292</v>
      </c>
      <c r="AY1709" s="1">
        <v>1.0</v>
      </c>
      <c r="AZ1709" s="1">
        <v>429.99</v>
      </c>
      <c r="BB1709" s="1">
        <v>429.99</v>
      </c>
    </row>
    <row r="1710">
      <c r="A1710" s="1" t="s">
        <v>195</v>
      </c>
      <c r="C1710" s="1" t="s">
        <v>56</v>
      </c>
      <c r="D1710" s="1" t="s">
        <v>2781</v>
      </c>
      <c r="Y1710" s="2">
        <v>45514.0</v>
      </c>
      <c r="AE1710" s="1">
        <v>47.99</v>
      </c>
      <c r="AG1710" s="3" t="str">
        <f>"2000006155827749"</f>
        <v>2000006155827749</v>
      </c>
      <c r="AH1710" s="1" t="s">
        <v>58</v>
      </c>
      <c r="AI1710" s="1" t="s">
        <v>59</v>
      </c>
      <c r="AJ1710" s="1" t="s">
        <v>59</v>
      </c>
      <c r="AK1710" s="1" t="s">
        <v>60</v>
      </c>
      <c r="AL1710" s="1" t="s">
        <v>60</v>
      </c>
      <c r="AW1710" s="1" t="s">
        <v>197</v>
      </c>
      <c r="AY1710" s="1">
        <v>1.0</v>
      </c>
      <c r="AZ1710" s="1">
        <v>47.99</v>
      </c>
      <c r="BB1710" s="1">
        <v>47.99</v>
      </c>
    </row>
    <row r="1711">
      <c r="A1711" s="1" t="s">
        <v>1045</v>
      </c>
      <c r="C1711" s="1" t="s">
        <v>56</v>
      </c>
      <c r="D1711" s="1" t="s">
        <v>2782</v>
      </c>
      <c r="Y1711" s="2">
        <v>45514.0</v>
      </c>
      <c r="AE1711" s="1">
        <v>89.99</v>
      </c>
      <c r="AG1711" s="3" t="str">
        <f>"2000009001408992"</f>
        <v>2000009001408992</v>
      </c>
      <c r="AH1711" s="1" t="s">
        <v>58</v>
      </c>
      <c r="AI1711" s="1" t="s">
        <v>59</v>
      </c>
      <c r="AJ1711" s="1" t="s">
        <v>59</v>
      </c>
      <c r="AK1711" s="1" t="s">
        <v>60</v>
      </c>
      <c r="AL1711" s="1" t="s">
        <v>60</v>
      </c>
      <c r="AW1711" s="1" t="s">
        <v>1047</v>
      </c>
      <c r="AY1711" s="1">
        <v>1.0</v>
      </c>
      <c r="AZ1711" s="1">
        <v>89.99</v>
      </c>
      <c r="BB1711" s="1">
        <v>89.99</v>
      </c>
    </row>
    <row r="1712">
      <c r="A1712" s="1" t="s">
        <v>1556</v>
      </c>
      <c r="C1712" s="1" t="s">
        <v>56</v>
      </c>
      <c r="D1712" s="1" t="s">
        <v>2783</v>
      </c>
      <c r="Y1712" s="2">
        <v>45514.0</v>
      </c>
      <c r="AE1712" s="1">
        <v>82.96</v>
      </c>
      <c r="AG1712" s="3" t="str">
        <f>"2000006155819115"</f>
        <v>2000006155819115</v>
      </c>
      <c r="AH1712" s="1" t="s">
        <v>58</v>
      </c>
      <c r="AI1712" s="1" t="s">
        <v>59</v>
      </c>
      <c r="AJ1712" s="1" t="s">
        <v>59</v>
      </c>
      <c r="AK1712" s="1" t="s">
        <v>60</v>
      </c>
      <c r="AL1712" s="1" t="s">
        <v>60</v>
      </c>
      <c r="AW1712" s="1" t="s">
        <v>1558</v>
      </c>
      <c r="AY1712" s="1">
        <v>2.0</v>
      </c>
      <c r="AZ1712" s="1">
        <v>41.48</v>
      </c>
      <c r="BB1712" s="1">
        <v>82.96</v>
      </c>
    </row>
    <row r="1713">
      <c r="A1713" s="1" t="s">
        <v>2784</v>
      </c>
      <c r="C1713" s="1" t="s">
        <v>56</v>
      </c>
      <c r="D1713" s="1" t="s">
        <v>2785</v>
      </c>
      <c r="Y1713" s="2">
        <v>45514.0</v>
      </c>
      <c r="AE1713" s="1">
        <v>39.99</v>
      </c>
      <c r="AG1713" s="3" t="str">
        <f>"2000006155794187"</f>
        <v>2000006155794187</v>
      </c>
      <c r="AH1713" s="1" t="s">
        <v>58</v>
      </c>
      <c r="AI1713" s="1" t="s">
        <v>59</v>
      </c>
      <c r="AJ1713" s="1" t="s">
        <v>59</v>
      </c>
      <c r="AK1713" s="1" t="s">
        <v>60</v>
      </c>
      <c r="AL1713" s="1" t="s">
        <v>60</v>
      </c>
      <c r="AW1713" s="1" t="s">
        <v>1529</v>
      </c>
      <c r="AY1713" s="1">
        <v>1.0</v>
      </c>
      <c r="AZ1713" s="1">
        <v>39.99</v>
      </c>
      <c r="BB1713" s="1">
        <v>39.99</v>
      </c>
    </row>
    <row r="1714">
      <c r="A1714" s="1" t="s">
        <v>1391</v>
      </c>
      <c r="C1714" s="1" t="s">
        <v>56</v>
      </c>
      <c r="D1714" s="1" t="s">
        <v>2786</v>
      </c>
      <c r="Y1714" s="2">
        <v>45514.0</v>
      </c>
      <c r="AE1714" s="1">
        <v>959.98</v>
      </c>
      <c r="AG1714" s="3" t="str">
        <f>"2000006155769181"</f>
        <v>2000006155769181</v>
      </c>
      <c r="AH1714" s="1" t="s">
        <v>58</v>
      </c>
      <c r="AI1714" s="1" t="s">
        <v>59</v>
      </c>
      <c r="AJ1714" s="1" t="s">
        <v>59</v>
      </c>
      <c r="AK1714" s="1" t="s">
        <v>60</v>
      </c>
      <c r="AL1714" s="1" t="s">
        <v>60</v>
      </c>
      <c r="AW1714" s="1" t="s">
        <v>1393</v>
      </c>
      <c r="AY1714" s="1">
        <v>2.0</v>
      </c>
      <c r="AZ1714" s="1">
        <v>479.99</v>
      </c>
      <c r="BB1714" s="1">
        <v>959.98</v>
      </c>
    </row>
    <row r="1715">
      <c r="A1715" s="1" t="s">
        <v>2787</v>
      </c>
      <c r="C1715" s="1" t="s">
        <v>56</v>
      </c>
      <c r="D1715" s="1" t="s">
        <v>2788</v>
      </c>
      <c r="Y1715" s="2">
        <v>45514.0</v>
      </c>
      <c r="AE1715" s="1">
        <v>79.99</v>
      </c>
      <c r="AG1715" s="3" t="str">
        <f>"2000009001289638"</f>
        <v>2000009001289638</v>
      </c>
      <c r="AH1715" s="1" t="s">
        <v>58</v>
      </c>
      <c r="AI1715" s="1" t="s">
        <v>59</v>
      </c>
      <c r="AJ1715" s="1" t="s">
        <v>59</v>
      </c>
      <c r="AK1715" s="1" t="s">
        <v>60</v>
      </c>
      <c r="AL1715" s="1" t="s">
        <v>60</v>
      </c>
      <c r="AW1715" s="1" t="s">
        <v>2789</v>
      </c>
      <c r="AY1715" s="1">
        <v>1.0</v>
      </c>
      <c r="AZ1715" s="1">
        <v>79.99</v>
      </c>
      <c r="BB1715" s="1">
        <v>79.99</v>
      </c>
    </row>
    <row r="1716">
      <c r="A1716" s="1" t="s">
        <v>141</v>
      </c>
      <c r="C1716" s="1" t="s">
        <v>56</v>
      </c>
      <c r="D1716" s="1" t="s">
        <v>2790</v>
      </c>
      <c r="Y1716" s="2">
        <v>45514.0</v>
      </c>
      <c r="AE1716" s="1">
        <v>139.99</v>
      </c>
      <c r="AG1716" s="3" t="str">
        <f>"2000006155714353"</f>
        <v>2000006155714353</v>
      </c>
      <c r="AH1716" s="1" t="s">
        <v>58</v>
      </c>
      <c r="AI1716" s="1" t="s">
        <v>59</v>
      </c>
      <c r="AJ1716" s="1" t="s">
        <v>59</v>
      </c>
      <c r="AK1716" s="1" t="s">
        <v>60</v>
      </c>
      <c r="AL1716" s="1" t="s">
        <v>60</v>
      </c>
      <c r="AW1716" s="1" t="s">
        <v>143</v>
      </c>
      <c r="AY1716" s="1">
        <v>1.0</v>
      </c>
      <c r="AZ1716" s="1">
        <v>139.99</v>
      </c>
      <c r="BB1716" s="1">
        <v>139.99</v>
      </c>
    </row>
    <row r="1717">
      <c r="A1717" s="1" t="s">
        <v>2791</v>
      </c>
      <c r="C1717" s="1" t="s">
        <v>56</v>
      </c>
      <c r="D1717" s="1" t="s">
        <v>2792</v>
      </c>
      <c r="Y1717" s="2">
        <v>45514.0</v>
      </c>
      <c r="AE1717" s="1">
        <v>119.99</v>
      </c>
      <c r="AG1717" s="3" t="str">
        <f>"2000009001177544"</f>
        <v>2000009001177544</v>
      </c>
      <c r="AH1717" s="1" t="s">
        <v>58</v>
      </c>
      <c r="AI1717" s="1" t="s">
        <v>59</v>
      </c>
      <c r="AJ1717" s="1" t="s">
        <v>59</v>
      </c>
      <c r="AK1717" s="1" t="s">
        <v>60</v>
      </c>
      <c r="AL1717" s="1" t="s">
        <v>60</v>
      </c>
      <c r="AW1717" s="1" t="s">
        <v>2793</v>
      </c>
      <c r="AY1717" s="1">
        <v>1.0</v>
      </c>
      <c r="AZ1717" s="1">
        <v>119.99</v>
      </c>
      <c r="BB1717" s="1">
        <v>119.99</v>
      </c>
    </row>
    <row r="1718">
      <c r="A1718" s="1" t="s">
        <v>1134</v>
      </c>
      <c r="C1718" s="1" t="s">
        <v>56</v>
      </c>
      <c r="D1718" s="1" t="s">
        <v>2794</v>
      </c>
      <c r="Y1718" s="2">
        <v>45514.0</v>
      </c>
      <c r="AE1718" s="1">
        <v>49.99</v>
      </c>
      <c r="AG1718" s="3" t="str">
        <f>"2000006155604413"</f>
        <v>2000006155604413</v>
      </c>
      <c r="AH1718" s="1" t="s">
        <v>58</v>
      </c>
      <c r="AI1718" s="1" t="s">
        <v>59</v>
      </c>
      <c r="AJ1718" s="1" t="s">
        <v>59</v>
      </c>
      <c r="AK1718" s="1" t="s">
        <v>60</v>
      </c>
      <c r="AL1718" s="1" t="s">
        <v>60</v>
      </c>
      <c r="AW1718" s="1" t="s">
        <v>1136</v>
      </c>
      <c r="AY1718" s="1">
        <v>1.0</v>
      </c>
      <c r="AZ1718" s="1">
        <v>49.99</v>
      </c>
      <c r="BB1718" s="1">
        <v>49.99</v>
      </c>
    </row>
    <row r="1719">
      <c r="A1719" s="1" t="s">
        <v>1978</v>
      </c>
      <c r="C1719" s="1" t="s">
        <v>56</v>
      </c>
      <c r="D1719" s="1" t="s">
        <v>263</v>
      </c>
      <c r="Y1719" s="2">
        <v>45514.0</v>
      </c>
      <c r="AE1719" s="1">
        <v>79.99</v>
      </c>
      <c r="AG1719" s="3" t="str">
        <f t="shared" ref="AG1719:AG1723" si="70">"2000006155680839"</f>
        <v>2000006155680839</v>
      </c>
      <c r="AH1719" s="1" t="s">
        <v>58</v>
      </c>
      <c r="AI1719" s="1" t="s">
        <v>59</v>
      </c>
      <c r="AJ1719" s="1" t="s">
        <v>59</v>
      </c>
      <c r="AK1719" s="1" t="s">
        <v>60</v>
      </c>
      <c r="AL1719" s="1" t="s">
        <v>60</v>
      </c>
      <c r="AW1719" s="1" t="s">
        <v>1980</v>
      </c>
      <c r="AY1719" s="1">
        <v>1.0</v>
      </c>
      <c r="AZ1719" s="1">
        <v>79.99</v>
      </c>
      <c r="BB1719" s="1">
        <v>79.99</v>
      </c>
    </row>
    <row r="1720">
      <c r="A1720" s="1" t="s">
        <v>323</v>
      </c>
      <c r="C1720" s="1" t="s">
        <v>56</v>
      </c>
      <c r="D1720" s="1" t="s">
        <v>263</v>
      </c>
      <c r="Y1720" s="2">
        <v>45514.0</v>
      </c>
      <c r="AE1720" s="1">
        <v>39.98</v>
      </c>
      <c r="AG1720" s="3" t="str">
        <f t="shared" si="70"/>
        <v>2000006155680839</v>
      </c>
      <c r="AH1720" s="1" t="s">
        <v>58</v>
      </c>
      <c r="AI1720" s="1" t="s">
        <v>59</v>
      </c>
      <c r="AJ1720" s="1" t="s">
        <v>59</v>
      </c>
      <c r="AK1720" s="1" t="s">
        <v>60</v>
      </c>
      <c r="AL1720" s="1" t="s">
        <v>60</v>
      </c>
      <c r="AW1720" s="1" t="s">
        <v>2795</v>
      </c>
      <c r="AY1720" s="1">
        <v>1.0</v>
      </c>
      <c r="AZ1720" s="1">
        <v>39.98</v>
      </c>
      <c r="BB1720" s="1">
        <v>39.98</v>
      </c>
    </row>
    <row r="1721">
      <c r="A1721" s="1" t="s">
        <v>2796</v>
      </c>
      <c r="C1721" s="1" t="s">
        <v>56</v>
      </c>
      <c r="D1721" s="1" t="s">
        <v>263</v>
      </c>
      <c r="Y1721" s="2">
        <v>45514.0</v>
      </c>
      <c r="AE1721" s="1">
        <v>39.99</v>
      </c>
      <c r="AG1721" s="3" t="str">
        <f t="shared" si="70"/>
        <v>2000006155680839</v>
      </c>
      <c r="AH1721" s="1" t="s">
        <v>58</v>
      </c>
      <c r="AI1721" s="1" t="s">
        <v>59</v>
      </c>
      <c r="AJ1721" s="1" t="s">
        <v>59</v>
      </c>
      <c r="AK1721" s="1" t="s">
        <v>60</v>
      </c>
      <c r="AL1721" s="1" t="s">
        <v>60</v>
      </c>
      <c r="AW1721" s="1" t="s">
        <v>2797</v>
      </c>
      <c r="AY1721" s="1">
        <v>1.0</v>
      </c>
      <c r="AZ1721" s="1">
        <v>39.99</v>
      </c>
      <c r="BB1721" s="1">
        <v>39.99</v>
      </c>
    </row>
    <row r="1722">
      <c r="A1722" s="1" t="s">
        <v>2798</v>
      </c>
      <c r="C1722" s="1" t="s">
        <v>56</v>
      </c>
      <c r="D1722" s="1" t="s">
        <v>263</v>
      </c>
      <c r="Y1722" s="2">
        <v>45514.0</v>
      </c>
      <c r="AE1722" s="1">
        <v>109.99</v>
      </c>
      <c r="AG1722" s="3" t="str">
        <f t="shared" si="70"/>
        <v>2000006155680839</v>
      </c>
      <c r="AH1722" s="1" t="s">
        <v>58</v>
      </c>
      <c r="AI1722" s="1" t="s">
        <v>59</v>
      </c>
      <c r="AJ1722" s="1" t="s">
        <v>59</v>
      </c>
      <c r="AK1722" s="1" t="s">
        <v>60</v>
      </c>
      <c r="AL1722" s="1" t="s">
        <v>60</v>
      </c>
      <c r="AW1722" s="1" t="s">
        <v>2799</v>
      </c>
      <c r="AY1722" s="1">
        <v>1.0</v>
      </c>
      <c r="AZ1722" s="1">
        <v>109.99</v>
      </c>
      <c r="BB1722" s="1">
        <v>109.99</v>
      </c>
    </row>
    <row r="1723">
      <c r="A1723" s="1" t="s">
        <v>2153</v>
      </c>
      <c r="C1723" s="1" t="s">
        <v>56</v>
      </c>
      <c r="D1723" s="1" t="s">
        <v>263</v>
      </c>
      <c r="Y1723" s="2">
        <v>45514.0</v>
      </c>
      <c r="AE1723" s="1">
        <v>59.99</v>
      </c>
      <c r="AG1723" s="3" t="str">
        <f t="shared" si="70"/>
        <v>2000006155680839</v>
      </c>
      <c r="AH1723" s="1" t="s">
        <v>58</v>
      </c>
      <c r="AI1723" s="1" t="s">
        <v>59</v>
      </c>
      <c r="AJ1723" s="1" t="s">
        <v>59</v>
      </c>
      <c r="AK1723" s="1" t="s">
        <v>60</v>
      </c>
      <c r="AL1723" s="1" t="s">
        <v>60</v>
      </c>
      <c r="AW1723" s="1" t="s">
        <v>2800</v>
      </c>
      <c r="AY1723" s="1">
        <v>1.0</v>
      </c>
      <c r="AZ1723" s="1">
        <v>59.99</v>
      </c>
      <c r="BB1723" s="1">
        <v>59.99</v>
      </c>
    </row>
    <row r="1724">
      <c r="A1724" s="1" t="s">
        <v>1521</v>
      </c>
      <c r="C1724" s="1" t="s">
        <v>56</v>
      </c>
      <c r="D1724" s="1" t="s">
        <v>2801</v>
      </c>
      <c r="Y1724" s="2">
        <v>45514.0</v>
      </c>
      <c r="AE1724" s="1">
        <v>49.99</v>
      </c>
      <c r="AG1724" s="3" t="str">
        <f>"2000006155664955"</f>
        <v>2000006155664955</v>
      </c>
      <c r="AH1724" s="1" t="s">
        <v>58</v>
      </c>
      <c r="AI1724" s="1" t="s">
        <v>59</v>
      </c>
      <c r="AJ1724" s="1" t="s">
        <v>59</v>
      </c>
      <c r="AK1724" s="1" t="s">
        <v>60</v>
      </c>
      <c r="AL1724" s="1" t="s">
        <v>60</v>
      </c>
      <c r="AW1724" s="1" t="s">
        <v>1523</v>
      </c>
      <c r="AY1724" s="1">
        <v>1.0</v>
      </c>
      <c r="AZ1724" s="1">
        <v>49.99</v>
      </c>
      <c r="BB1724" s="1">
        <v>49.99</v>
      </c>
    </row>
    <row r="1725">
      <c r="A1725" s="1" t="s">
        <v>986</v>
      </c>
      <c r="C1725" s="1" t="s">
        <v>56</v>
      </c>
      <c r="D1725" s="1" t="s">
        <v>2802</v>
      </c>
      <c r="Y1725" s="2">
        <v>45514.0</v>
      </c>
      <c r="AE1725" s="1">
        <v>84.99</v>
      </c>
      <c r="AG1725" s="3" t="str">
        <f>"2000006155657129"</f>
        <v>2000006155657129</v>
      </c>
      <c r="AH1725" s="1" t="s">
        <v>58</v>
      </c>
      <c r="AI1725" s="1" t="s">
        <v>59</v>
      </c>
      <c r="AJ1725" s="1" t="s">
        <v>59</v>
      </c>
      <c r="AK1725" s="1" t="s">
        <v>60</v>
      </c>
      <c r="AL1725" s="1" t="s">
        <v>60</v>
      </c>
      <c r="AW1725" s="1" t="s">
        <v>988</v>
      </c>
      <c r="AY1725" s="1">
        <v>1.0</v>
      </c>
      <c r="AZ1725" s="1">
        <v>84.99</v>
      </c>
      <c r="BB1725" s="1">
        <v>84.99</v>
      </c>
    </row>
    <row r="1726">
      <c r="A1726" s="1" t="s">
        <v>619</v>
      </c>
      <c r="C1726" s="1" t="s">
        <v>235</v>
      </c>
      <c r="D1726" s="1" t="s">
        <v>1661</v>
      </c>
      <c r="Y1726" s="2">
        <v>45514.0</v>
      </c>
      <c r="AE1726" s="1">
        <v>139.99</v>
      </c>
      <c r="AG1726" s="3" t="str">
        <f>"2000006155645981"</f>
        <v>2000006155645981</v>
      </c>
      <c r="AH1726" s="1" t="s">
        <v>58</v>
      </c>
      <c r="AI1726" s="1" t="s">
        <v>59</v>
      </c>
      <c r="AJ1726" s="1" t="s">
        <v>59</v>
      </c>
      <c r="AK1726" s="1" t="s">
        <v>60</v>
      </c>
      <c r="AL1726" s="1" t="s">
        <v>60</v>
      </c>
      <c r="AW1726" s="1" t="s">
        <v>621</v>
      </c>
      <c r="AY1726" s="1">
        <v>1.0</v>
      </c>
      <c r="AZ1726" s="1">
        <v>139.99</v>
      </c>
      <c r="BB1726" s="1">
        <v>139.99</v>
      </c>
    </row>
    <row r="1727">
      <c r="A1727" s="1" t="s">
        <v>2659</v>
      </c>
      <c r="C1727" s="1" t="s">
        <v>56</v>
      </c>
      <c r="D1727" s="1" t="s">
        <v>2803</v>
      </c>
      <c r="Y1727" s="2">
        <v>45514.0</v>
      </c>
      <c r="AE1727" s="1">
        <v>369.99</v>
      </c>
      <c r="AG1727" s="3" t="str">
        <f>"2000009000924958"</f>
        <v>2000009000924958</v>
      </c>
      <c r="AH1727" s="1" t="s">
        <v>58</v>
      </c>
      <c r="AI1727" s="1" t="s">
        <v>59</v>
      </c>
      <c r="AJ1727" s="1" t="s">
        <v>59</v>
      </c>
      <c r="AK1727" s="1" t="s">
        <v>60</v>
      </c>
      <c r="AL1727" s="1" t="s">
        <v>60</v>
      </c>
      <c r="AW1727" s="1" t="s">
        <v>2661</v>
      </c>
      <c r="AY1727" s="1">
        <v>1.0</v>
      </c>
      <c r="AZ1727" s="1">
        <v>369.99</v>
      </c>
      <c r="BB1727" s="1">
        <v>369.99</v>
      </c>
    </row>
    <row r="1728">
      <c r="A1728" s="1" t="s">
        <v>120</v>
      </c>
      <c r="C1728" s="1" t="s">
        <v>56</v>
      </c>
      <c r="D1728" s="1" t="s">
        <v>2804</v>
      </c>
      <c r="Y1728" s="2">
        <v>45514.0</v>
      </c>
      <c r="AE1728" s="1">
        <v>54.99</v>
      </c>
      <c r="AG1728" s="3" t="str">
        <f>"2000006155554339"</f>
        <v>2000006155554339</v>
      </c>
      <c r="AH1728" s="1" t="s">
        <v>58</v>
      </c>
      <c r="AI1728" s="1" t="s">
        <v>59</v>
      </c>
      <c r="AJ1728" s="1" t="s">
        <v>59</v>
      </c>
      <c r="AK1728" s="1" t="s">
        <v>60</v>
      </c>
      <c r="AL1728" s="1" t="s">
        <v>60</v>
      </c>
      <c r="AW1728" s="1" t="s">
        <v>110</v>
      </c>
      <c r="AY1728" s="1">
        <v>1.0</v>
      </c>
      <c r="AZ1728" s="1">
        <v>54.99</v>
      </c>
      <c r="BB1728" s="1">
        <v>54.99</v>
      </c>
    </row>
    <row r="1729">
      <c r="A1729" s="1" t="s">
        <v>918</v>
      </c>
      <c r="C1729" s="1" t="s">
        <v>56</v>
      </c>
      <c r="D1729" s="1" t="s">
        <v>2805</v>
      </c>
      <c r="Y1729" s="2">
        <v>45514.0</v>
      </c>
      <c r="AE1729" s="1">
        <v>139.99</v>
      </c>
      <c r="AG1729" s="3" t="str">
        <f>"2000009000889454"</f>
        <v>2000009000889454</v>
      </c>
      <c r="AH1729" s="1" t="s">
        <v>58</v>
      </c>
      <c r="AI1729" s="1" t="s">
        <v>59</v>
      </c>
      <c r="AJ1729" s="1" t="s">
        <v>59</v>
      </c>
      <c r="AK1729" s="1" t="s">
        <v>60</v>
      </c>
      <c r="AL1729" s="1" t="s">
        <v>60</v>
      </c>
      <c r="AW1729" s="1" t="s">
        <v>920</v>
      </c>
      <c r="AY1729" s="1">
        <v>1.0</v>
      </c>
      <c r="AZ1729" s="1">
        <v>139.99</v>
      </c>
      <c r="BB1729" s="1">
        <v>139.99</v>
      </c>
    </row>
    <row r="1730">
      <c r="A1730" s="1" t="s">
        <v>709</v>
      </c>
      <c r="C1730" s="1" t="s">
        <v>56</v>
      </c>
      <c r="D1730" s="1" t="s">
        <v>2806</v>
      </c>
      <c r="Y1730" s="2">
        <v>45514.0</v>
      </c>
      <c r="AE1730" s="1">
        <v>479.99</v>
      </c>
      <c r="AG1730" s="3" t="str">
        <f>"2000009000888552"</f>
        <v>2000009000888552</v>
      </c>
      <c r="AH1730" s="1" t="s">
        <v>58</v>
      </c>
      <c r="AI1730" s="1" t="s">
        <v>59</v>
      </c>
      <c r="AJ1730" s="1" t="s">
        <v>59</v>
      </c>
      <c r="AK1730" s="1" t="s">
        <v>60</v>
      </c>
      <c r="AL1730" s="1" t="s">
        <v>60</v>
      </c>
      <c r="AW1730" s="1" t="s">
        <v>711</v>
      </c>
      <c r="AY1730" s="1">
        <v>1.0</v>
      </c>
      <c r="AZ1730" s="1">
        <v>479.99</v>
      </c>
      <c r="BB1730" s="1">
        <v>479.99</v>
      </c>
    </row>
    <row r="1731">
      <c r="A1731" s="1" t="s">
        <v>2807</v>
      </c>
      <c r="C1731" s="1" t="s">
        <v>56</v>
      </c>
      <c r="D1731" s="1" t="s">
        <v>2808</v>
      </c>
      <c r="Y1731" s="2">
        <v>45514.0</v>
      </c>
      <c r="AE1731" s="1">
        <v>119.99</v>
      </c>
      <c r="AG1731" s="3" t="str">
        <f>"2000006155539329"</f>
        <v>2000006155539329</v>
      </c>
      <c r="AH1731" s="1" t="s">
        <v>58</v>
      </c>
      <c r="AI1731" s="1" t="s">
        <v>59</v>
      </c>
      <c r="AJ1731" s="1" t="s">
        <v>59</v>
      </c>
      <c r="AK1731" s="1" t="s">
        <v>60</v>
      </c>
      <c r="AL1731" s="1" t="s">
        <v>60</v>
      </c>
      <c r="AW1731" s="1" t="s">
        <v>2809</v>
      </c>
      <c r="AY1731" s="1">
        <v>1.0</v>
      </c>
      <c r="AZ1731" s="1">
        <v>119.99</v>
      </c>
      <c r="BB1731" s="1">
        <v>119.99</v>
      </c>
    </row>
    <row r="1732">
      <c r="A1732" s="1" t="s">
        <v>2810</v>
      </c>
      <c r="C1732" s="1" t="s">
        <v>56</v>
      </c>
      <c r="D1732" s="1" t="s">
        <v>2811</v>
      </c>
      <c r="Y1732" s="2">
        <v>45514.0</v>
      </c>
      <c r="AE1732" s="1">
        <v>289.99</v>
      </c>
      <c r="AG1732" s="3" t="str">
        <f>"2000006155524111"</f>
        <v>2000006155524111</v>
      </c>
      <c r="AH1732" s="1" t="s">
        <v>58</v>
      </c>
      <c r="AI1732" s="1" t="s">
        <v>59</v>
      </c>
      <c r="AJ1732" s="1" t="s">
        <v>59</v>
      </c>
      <c r="AK1732" s="1" t="s">
        <v>60</v>
      </c>
      <c r="AL1732" s="1" t="s">
        <v>60</v>
      </c>
      <c r="AW1732" s="1" t="s">
        <v>2812</v>
      </c>
      <c r="AY1732" s="1">
        <v>1.0</v>
      </c>
      <c r="AZ1732" s="1">
        <v>289.99</v>
      </c>
      <c r="BB1732" s="1">
        <v>289.99</v>
      </c>
    </row>
    <row r="1733">
      <c r="A1733" s="1" t="s">
        <v>761</v>
      </c>
      <c r="C1733" s="1" t="s">
        <v>56</v>
      </c>
      <c r="D1733" s="1" t="s">
        <v>2813</v>
      </c>
      <c r="Y1733" s="2">
        <v>45514.0</v>
      </c>
      <c r="AE1733" s="1">
        <v>129.99</v>
      </c>
      <c r="AG1733" s="3" t="str">
        <f>"2000006155513379"</f>
        <v>2000006155513379</v>
      </c>
      <c r="AH1733" s="1" t="s">
        <v>58</v>
      </c>
      <c r="AI1733" s="1" t="s">
        <v>59</v>
      </c>
      <c r="AJ1733" s="1" t="s">
        <v>59</v>
      </c>
      <c r="AK1733" s="1" t="s">
        <v>60</v>
      </c>
      <c r="AL1733" s="1" t="s">
        <v>60</v>
      </c>
      <c r="AW1733" s="1" t="s">
        <v>763</v>
      </c>
      <c r="AY1733" s="1">
        <v>1.0</v>
      </c>
      <c r="AZ1733" s="1">
        <v>129.99</v>
      </c>
      <c r="BB1733" s="1">
        <v>129.99</v>
      </c>
    </row>
    <row r="1734">
      <c r="A1734" s="1" t="s">
        <v>1788</v>
      </c>
      <c r="C1734" s="1" t="s">
        <v>56</v>
      </c>
      <c r="D1734" s="1" t="s">
        <v>2814</v>
      </c>
      <c r="Y1734" s="2">
        <v>45514.0</v>
      </c>
      <c r="AE1734" s="1">
        <v>99.99</v>
      </c>
      <c r="AG1734" s="3" t="str">
        <f>"2000006155498971"</f>
        <v>2000006155498971</v>
      </c>
      <c r="AH1734" s="1" t="s">
        <v>58</v>
      </c>
      <c r="AI1734" s="1" t="s">
        <v>59</v>
      </c>
      <c r="AJ1734" s="1" t="s">
        <v>59</v>
      </c>
      <c r="AK1734" s="1" t="s">
        <v>60</v>
      </c>
      <c r="AL1734" s="1" t="s">
        <v>60</v>
      </c>
      <c r="AW1734" s="1" t="s">
        <v>1790</v>
      </c>
      <c r="AY1734" s="1">
        <v>1.0</v>
      </c>
      <c r="AZ1734" s="1">
        <v>99.99</v>
      </c>
      <c r="BB1734" s="1">
        <v>99.99</v>
      </c>
    </row>
    <row r="1735">
      <c r="A1735" s="1" t="s">
        <v>2815</v>
      </c>
      <c r="C1735" s="1" t="s">
        <v>56</v>
      </c>
      <c r="D1735" s="1" t="s">
        <v>2816</v>
      </c>
      <c r="Y1735" s="2">
        <v>45514.0</v>
      </c>
      <c r="AE1735" s="1">
        <v>119.99</v>
      </c>
      <c r="AG1735" s="3" t="str">
        <f>"2000006155484301"</f>
        <v>2000006155484301</v>
      </c>
      <c r="AH1735" s="1" t="s">
        <v>58</v>
      </c>
      <c r="AI1735" s="1" t="s">
        <v>59</v>
      </c>
      <c r="AJ1735" s="1" t="s">
        <v>59</v>
      </c>
      <c r="AK1735" s="1" t="s">
        <v>60</v>
      </c>
      <c r="AL1735" s="1" t="s">
        <v>60</v>
      </c>
      <c r="AW1735" s="1" t="s">
        <v>2817</v>
      </c>
      <c r="AY1735" s="1">
        <v>1.0</v>
      </c>
      <c r="AZ1735" s="1">
        <v>119.99</v>
      </c>
      <c r="BB1735" s="1">
        <v>119.99</v>
      </c>
    </row>
    <row r="1736">
      <c r="A1736" s="1" t="s">
        <v>2070</v>
      </c>
      <c r="C1736" s="1" t="s">
        <v>56</v>
      </c>
      <c r="D1736" s="1" t="s">
        <v>2818</v>
      </c>
      <c r="Y1736" s="2">
        <v>45514.0</v>
      </c>
      <c r="AE1736" s="1">
        <v>49.99</v>
      </c>
      <c r="AG1736" s="3" t="str">
        <f>"2000006155482379"</f>
        <v>2000006155482379</v>
      </c>
      <c r="AH1736" s="1" t="s">
        <v>58</v>
      </c>
      <c r="AI1736" s="1" t="s">
        <v>59</v>
      </c>
      <c r="AJ1736" s="1" t="s">
        <v>59</v>
      </c>
      <c r="AK1736" s="1" t="s">
        <v>60</v>
      </c>
      <c r="AL1736" s="1" t="s">
        <v>60</v>
      </c>
      <c r="AW1736" s="1" t="s">
        <v>2593</v>
      </c>
      <c r="AY1736" s="1">
        <v>1.0</v>
      </c>
      <c r="AZ1736" s="1">
        <v>49.99</v>
      </c>
      <c r="BB1736" s="1">
        <v>49.99</v>
      </c>
    </row>
    <row r="1737">
      <c r="A1737" s="1" t="s">
        <v>649</v>
      </c>
      <c r="C1737" s="1" t="s">
        <v>56</v>
      </c>
      <c r="D1737" s="1" t="s">
        <v>2819</v>
      </c>
      <c r="Y1737" s="2">
        <v>45514.0</v>
      </c>
      <c r="AE1737" s="1">
        <v>69.99</v>
      </c>
      <c r="AG1737" s="3" t="str">
        <f>"2000006155472733"</f>
        <v>2000006155472733</v>
      </c>
      <c r="AH1737" s="1" t="s">
        <v>58</v>
      </c>
      <c r="AI1737" s="1" t="s">
        <v>59</v>
      </c>
      <c r="AJ1737" s="1" t="s">
        <v>59</v>
      </c>
      <c r="AK1737" s="1" t="s">
        <v>60</v>
      </c>
      <c r="AL1737" s="1" t="s">
        <v>60</v>
      </c>
      <c r="AW1737" s="1" t="s">
        <v>651</v>
      </c>
      <c r="AY1737" s="1">
        <v>1.0</v>
      </c>
      <c r="AZ1737" s="1">
        <v>69.99</v>
      </c>
      <c r="BB1737" s="1">
        <v>69.99</v>
      </c>
    </row>
    <row r="1738">
      <c r="A1738" s="1" t="s">
        <v>721</v>
      </c>
      <c r="C1738" s="1" t="s">
        <v>56</v>
      </c>
      <c r="D1738" s="1" t="s">
        <v>981</v>
      </c>
      <c r="Y1738" s="2">
        <v>45514.0</v>
      </c>
      <c r="AE1738" s="1">
        <v>54.99</v>
      </c>
      <c r="AG1738" s="3" t="str">
        <f t="shared" ref="AG1738:AG1739" si="71">"2000006155463869"</f>
        <v>2000006155463869</v>
      </c>
      <c r="AH1738" s="1" t="s">
        <v>58</v>
      </c>
      <c r="AI1738" s="1" t="s">
        <v>59</v>
      </c>
      <c r="AJ1738" s="1" t="s">
        <v>59</v>
      </c>
      <c r="AK1738" s="1" t="s">
        <v>60</v>
      </c>
      <c r="AL1738" s="1" t="s">
        <v>60</v>
      </c>
      <c r="AW1738" s="1" t="s">
        <v>723</v>
      </c>
      <c r="AY1738" s="1">
        <v>1.0</v>
      </c>
      <c r="AZ1738" s="1">
        <v>54.99</v>
      </c>
      <c r="BB1738" s="1">
        <v>54.99</v>
      </c>
    </row>
    <row r="1739">
      <c r="A1739" s="1" t="s">
        <v>1521</v>
      </c>
      <c r="C1739" s="1" t="s">
        <v>56</v>
      </c>
      <c r="D1739" s="1" t="s">
        <v>981</v>
      </c>
      <c r="Y1739" s="2">
        <v>45514.0</v>
      </c>
      <c r="AE1739" s="1">
        <v>49.99</v>
      </c>
      <c r="AG1739" s="3" t="str">
        <f t="shared" si="71"/>
        <v>2000006155463869</v>
      </c>
      <c r="AH1739" s="1" t="s">
        <v>58</v>
      </c>
      <c r="AI1739" s="1" t="s">
        <v>59</v>
      </c>
      <c r="AJ1739" s="1" t="s">
        <v>59</v>
      </c>
      <c r="AK1739" s="1" t="s">
        <v>60</v>
      </c>
      <c r="AL1739" s="1" t="s">
        <v>60</v>
      </c>
      <c r="AW1739" s="1" t="s">
        <v>1523</v>
      </c>
      <c r="AY1739" s="1">
        <v>1.0</v>
      </c>
      <c r="AZ1739" s="1">
        <v>49.99</v>
      </c>
      <c r="BB1739" s="1">
        <v>49.99</v>
      </c>
    </row>
    <row r="1740">
      <c r="A1740" s="1" t="s">
        <v>2057</v>
      </c>
      <c r="C1740" s="1" t="s">
        <v>56</v>
      </c>
      <c r="D1740" s="1" t="s">
        <v>2820</v>
      </c>
      <c r="Y1740" s="2">
        <v>45514.0</v>
      </c>
      <c r="AE1740" s="1">
        <v>89.99</v>
      </c>
      <c r="AG1740" s="3" t="str">
        <f>"2000006155459071"</f>
        <v>2000006155459071</v>
      </c>
      <c r="AH1740" s="1" t="s">
        <v>58</v>
      </c>
      <c r="AI1740" s="1" t="s">
        <v>59</v>
      </c>
      <c r="AJ1740" s="1" t="s">
        <v>59</v>
      </c>
      <c r="AK1740" s="1" t="s">
        <v>60</v>
      </c>
      <c r="AL1740" s="1" t="s">
        <v>60</v>
      </c>
      <c r="AW1740" s="1" t="s">
        <v>2059</v>
      </c>
      <c r="AY1740" s="1">
        <v>1.0</v>
      </c>
      <c r="AZ1740" s="1">
        <v>89.99</v>
      </c>
      <c r="BB1740" s="1">
        <v>89.99</v>
      </c>
    </row>
    <row r="1741">
      <c r="A1741" s="1" t="s">
        <v>2821</v>
      </c>
      <c r="C1741" s="1" t="s">
        <v>56</v>
      </c>
      <c r="D1741" s="1" t="s">
        <v>2822</v>
      </c>
      <c r="Y1741" s="2">
        <v>45514.0</v>
      </c>
      <c r="AE1741" s="1">
        <v>49.99</v>
      </c>
      <c r="AG1741" s="3" t="str">
        <f>"2000009000694732"</f>
        <v>2000009000694732</v>
      </c>
      <c r="AH1741" s="1" t="s">
        <v>58</v>
      </c>
      <c r="AI1741" s="1" t="s">
        <v>59</v>
      </c>
      <c r="AJ1741" s="1" t="s">
        <v>59</v>
      </c>
      <c r="AK1741" s="1" t="s">
        <v>60</v>
      </c>
      <c r="AL1741" s="1" t="s">
        <v>60</v>
      </c>
      <c r="AW1741" s="1" t="s">
        <v>2823</v>
      </c>
      <c r="AY1741" s="1">
        <v>1.0</v>
      </c>
      <c r="AZ1741" s="1">
        <v>49.99</v>
      </c>
      <c r="BB1741" s="1">
        <v>49.99</v>
      </c>
    </row>
    <row r="1742">
      <c r="A1742" s="1" t="s">
        <v>536</v>
      </c>
      <c r="C1742" s="1" t="s">
        <v>56</v>
      </c>
      <c r="D1742" s="1" t="s">
        <v>2824</v>
      </c>
      <c r="Y1742" s="2">
        <v>45514.0</v>
      </c>
      <c r="AE1742" s="1">
        <v>89.99</v>
      </c>
      <c r="AG1742" s="3" t="str">
        <f>"2000006154808453"</f>
        <v>2000006154808453</v>
      </c>
      <c r="AH1742" s="1" t="s">
        <v>58</v>
      </c>
      <c r="AI1742" s="1" t="s">
        <v>59</v>
      </c>
      <c r="AJ1742" s="1" t="s">
        <v>59</v>
      </c>
      <c r="AK1742" s="1" t="s">
        <v>60</v>
      </c>
      <c r="AL1742" s="1" t="s">
        <v>60</v>
      </c>
      <c r="AW1742" s="1" t="s">
        <v>538</v>
      </c>
      <c r="AY1742" s="1">
        <v>1.0</v>
      </c>
      <c r="AZ1742" s="1">
        <v>89.99</v>
      </c>
      <c r="BB1742" s="1">
        <v>89.99</v>
      </c>
    </row>
    <row r="1743">
      <c r="A1743" s="1" t="s">
        <v>502</v>
      </c>
      <c r="C1743" s="1" t="s">
        <v>56</v>
      </c>
      <c r="D1743" s="1" t="s">
        <v>2825</v>
      </c>
      <c r="Y1743" s="2">
        <v>45514.0</v>
      </c>
      <c r="AE1743" s="1">
        <v>299.97</v>
      </c>
      <c r="AG1743" s="3" t="str">
        <f>"2000006155414601"</f>
        <v>2000006155414601</v>
      </c>
      <c r="AH1743" s="1" t="s">
        <v>58</v>
      </c>
      <c r="AI1743" s="1" t="s">
        <v>59</v>
      </c>
      <c r="AJ1743" s="1" t="s">
        <v>59</v>
      </c>
      <c r="AK1743" s="1" t="s">
        <v>60</v>
      </c>
      <c r="AL1743" s="1" t="s">
        <v>60</v>
      </c>
      <c r="AW1743" s="1" t="s">
        <v>504</v>
      </c>
      <c r="AY1743" s="1">
        <v>3.0</v>
      </c>
      <c r="AZ1743" s="1">
        <v>99.99</v>
      </c>
      <c r="BB1743" s="1">
        <v>299.969999999999</v>
      </c>
    </row>
    <row r="1744">
      <c r="A1744" s="1" t="s">
        <v>2070</v>
      </c>
      <c r="C1744" s="1" t="s">
        <v>56</v>
      </c>
      <c r="D1744" s="1" t="s">
        <v>2826</v>
      </c>
      <c r="Y1744" s="2">
        <v>45514.0</v>
      </c>
      <c r="AE1744" s="1">
        <v>49.99</v>
      </c>
      <c r="AG1744" s="3" t="str">
        <f>"2000006155320391"</f>
        <v>2000006155320391</v>
      </c>
      <c r="AH1744" s="1" t="s">
        <v>58</v>
      </c>
      <c r="AI1744" s="1" t="s">
        <v>59</v>
      </c>
      <c r="AJ1744" s="1" t="s">
        <v>59</v>
      </c>
      <c r="AK1744" s="1" t="s">
        <v>60</v>
      </c>
      <c r="AL1744" s="1" t="s">
        <v>60</v>
      </c>
      <c r="AW1744" s="1" t="s">
        <v>2593</v>
      </c>
      <c r="AY1744" s="1">
        <v>1.0</v>
      </c>
      <c r="AZ1744" s="1">
        <v>49.99</v>
      </c>
      <c r="BB1744" s="1">
        <v>49.99</v>
      </c>
    </row>
    <row r="1745">
      <c r="A1745" s="1" t="s">
        <v>2827</v>
      </c>
      <c r="C1745" s="1" t="s">
        <v>56</v>
      </c>
      <c r="D1745" s="1" t="s">
        <v>2828</v>
      </c>
      <c r="Y1745" s="2">
        <v>45514.0</v>
      </c>
      <c r="AE1745" s="1">
        <v>89.99</v>
      </c>
      <c r="AG1745" s="3" t="str">
        <f>"2000006155312379"</f>
        <v>2000006155312379</v>
      </c>
      <c r="AH1745" s="1" t="s">
        <v>58</v>
      </c>
      <c r="AI1745" s="1" t="s">
        <v>59</v>
      </c>
      <c r="AJ1745" s="1" t="s">
        <v>59</v>
      </c>
      <c r="AK1745" s="1" t="s">
        <v>60</v>
      </c>
      <c r="AL1745" s="1" t="s">
        <v>60</v>
      </c>
      <c r="AW1745" s="1" t="s">
        <v>2829</v>
      </c>
      <c r="AY1745" s="1">
        <v>1.0</v>
      </c>
      <c r="AZ1745" s="1">
        <v>89.99</v>
      </c>
      <c r="BB1745" s="1">
        <v>89.99</v>
      </c>
    </row>
    <row r="1746">
      <c r="A1746" s="1" t="s">
        <v>785</v>
      </c>
      <c r="C1746" s="1" t="s">
        <v>56</v>
      </c>
      <c r="D1746" s="1" t="s">
        <v>2830</v>
      </c>
      <c r="Y1746" s="2">
        <v>45514.0</v>
      </c>
      <c r="AE1746" s="1">
        <v>169.99</v>
      </c>
      <c r="AG1746" s="3" t="str">
        <f>"2000006155295837"</f>
        <v>2000006155295837</v>
      </c>
      <c r="AH1746" s="1" t="s">
        <v>58</v>
      </c>
      <c r="AI1746" s="1" t="s">
        <v>59</v>
      </c>
      <c r="AJ1746" s="1" t="s">
        <v>59</v>
      </c>
      <c r="AK1746" s="1" t="s">
        <v>60</v>
      </c>
      <c r="AL1746" s="1" t="s">
        <v>60</v>
      </c>
      <c r="AW1746" s="1" t="s">
        <v>787</v>
      </c>
      <c r="AY1746" s="1">
        <v>1.0</v>
      </c>
      <c r="AZ1746" s="1">
        <v>169.99</v>
      </c>
      <c r="BB1746" s="1">
        <v>169.99</v>
      </c>
    </row>
    <row r="1747">
      <c r="A1747" s="1" t="s">
        <v>2277</v>
      </c>
      <c r="C1747" s="1" t="s">
        <v>56</v>
      </c>
      <c r="D1747" s="1" t="s">
        <v>2831</v>
      </c>
      <c r="Y1747" s="2">
        <v>45514.0</v>
      </c>
      <c r="AE1747" s="1">
        <v>99.99</v>
      </c>
      <c r="AG1747" s="3" t="str">
        <f>"2000006155280977"</f>
        <v>2000006155280977</v>
      </c>
      <c r="AH1747" s="1" t="s">
        <v>58</v>
      </c>
      <c r="AI1747" s="1" t="s">
        <v>59</v>
      </c>
      <c r="AJ1747" s="1" t="s">
        <v>59</v>
      </c>
      <c r="AK1747" s="1" t="s">
        <v>60</v>
      </c>
      <c r="AL1747" s="1" t="s">
        <v>60</v>
      </c>
      <c r="AW1747" s="1" t="s">
        <v>2832</v>
      </c>
      <c r="AY1747" s="1">
        <v>1.0</v>
      </c>
      <c r="AZ1747" s="1">
        <v>99.99</v>
      </c>
      <c r="BB1747" s="1">
        <v>99.99</v>
      </c>
    </row>
    <row r="1748">
      <c r="A1748" s="1" t="s">
        <v>68</v>
      </c>
      <c r="C1748" s="1" t="s">
        <v>56</v>
      </c>
      <c r="D1748" s="1" t="s">
        <v>2833</v>
      </c>
      <c r="Y1748" s="2">
        <v>45514.0</v>
      </c>
      <c r="AE1748" s="1">
        <v>49.99</v>
      </c>
      <c r="AG1748" s="3" t="str">
        <f>"2000009000347756"</f>
        <v>2000009000347756</v>
      </c>
      <c r="AH1748" s="1" t="s">
        <v>58</v>
      </c>
      <c r="AI1748" s="1" t="s">
        <v>59</v>
      </c>
      <c r="AJ1748" s="1" t="s">
        <v>59</v>
      </c>
      <c r="AK1748" s="1" t="s">
        <v>60</v>
      </c>
      <c r="AL1748" s="1" t="s">
        <v>60</v>
      </c>
      <c r="AW1748" s="1" t="s">
        <v>70</v>
      </c>
      <c r="AY1748" s="1">
        <v>1.0</v>
      </c>
      <c r="AZ1748" s="1">
        <v>49.99</v>
      </c>
      <c r="BB1748" s="1">
        <v>49.99</v>
      </c>
    </row>
    <row r="1749">
      <c r="A1749" s="1" t="s">
        <v>117</v>
      </c>
      <c r="C1749" s="1" t="s">
        <v>56</v>
      </c>
      <c r="D1749" s="1" t="s">
        <v>2834</v>
      </c>
      <c r="Y1749" s="2">
        <v>45514.0</v>
      </c>
      <c r="AE1749" s="1">
        <v>129.99</v>
      </c>
      <c r="AG1749" s="3" t="str">
        <f>"2000006155152029"</f>
        <v>2000006155152029</v>
      </c>
      <c r="AH1749" s="1" t="s">
        <v>58</v>
      </c>
      <c r="AI1749" s="1" t="s">
        <v>59</v>
      </c>
      <c r="AJ1749" s="1" t="s">
        <v>59</v>
      </c>
      <c r="AK1749" s="1" t="s">
        <v>60</v>
      </c>
      <c r="AL1749" s="1" t="s">
        <v>60</v>
      </c>
      <c r="AW1749" s="1" t="s">
        <v>763</v>
      </c>
      <c r="AY1749" s="1">
        <v>1.0</v>
      </c>
      <c r="AZ1749" s="1">
        <v>129.99</v>
      </c>
      <c r="BB1749" s="1">
        <v>129.99</v>
      </c>
    </row>
    <row r="1750">
      <c r="A1750" s="1" t="s">
        <v>896</v>
      </c>
      <c r="C1750" s="1" t="s">
        <v>56</v>
      </c>
      <c r="D1750" s="1" t="s">
        <v>2835</v>
      </c>
      <c r="Y1750" s="2">
        <v>45514.0</v>
      </c>
      <c r="AE1750" s="1">
        <v>54.99</v>
      </c>
      <c r="AG1750" s="3" t="str">
        <f>"2000006149398913"</f>
        <v>2000006149398913</v>
      </c>
      <c r="AH1750" s="1" t="s">
        <v>58</v>
      </c>
      <c r="AI1750" s="1" t="s">
        <v>59</v>
      </c>
      <c r="AJ1750" s="1" t="s">
        <v>59</v>
      </c>
      <c r="AK1750" s="1" t="s">
        <v>60</v>
      </c>
      <c r="AL1750" s="1" t="s">
        <v>60</v>
      </c>
      <c r="AW1750" s="1" t="s">
        <v>898</v>
      </c>
      <c r="AY1750" s="1">
        <v>1.0</v>
      </c>
      <c r="AZ1750" s="1">
        <v>54.99</v>
      </c>
      <c r="BB1750" s="1">
        <v>54.99</v>
      </c>
    </row>
    <row r="1751">
      <c r="A1751" s="1" t="s">
        <v>2018</v>
      </c>
      <c r="C1751" s="1" t="s">
        <v>56</v>
      </c>
      <c r="D1751" s="1" t="s">
        <v>2836</v>
      </c>
      <c r="Y1751" s="2">
        <v>45514.0</v>
      </c>
      <c r="AE1751" s="1">
        <v>74.99</v>
      </c>
      <c r="AG1751" s="3" t="str">
        <f>"2000006155125357"</f>
        <v>2000006155125357</v>
      </c>
      <c r="AH1751" s="1" t="s">
        <v>58</v>
      </c>
      <c r="AI1751" s="1" t="s">
        <v>59</v>
      </c>
      <c r="AJ1751" s="1" t="s">
        <v>59</v>
      </c>
      <c r="AK1751" s="1" t="s">
        <v>60</v>
      </c>
      <c r="AL1751" s="1" t="s">
        <v>60</v>
      </c>
      <c r="AW1751" s="1" t="s">
        <v>473</v>
      </c>
      <c r="AY1751" s="1">
        <v>1.0</v>
      </c>
      <c r="AZ1751" s="1">
        <v>74.99</v>
      </c>
      <c r="BB1751" s="1">
        <v>74.99</v>
      </c>
    </row>
    <row r="1752">
      <c r="A1752" s="1" t="s">
        <v>262</v>
      </c>
      <c r="C1752" s="1" t="s">
        <v>56</v>
      </c>
      <c r="D1752" s="1" t="s">
        <v>2837</v>
      </c>
      <c r="Y1752" s="2">
        <v>45514.0</v>
      </c>
      <c r="AE1752" s="1">
        <v>129.99</v>
      </c>
      <c r="AG1752" s="3" t="str">
        <f>"2000006155083187"</f>
        <v>2000006155083187</v>
      </c>
      <c r="AH1752" s="1" t="s">
        <v>58</v>
      </c>
      <c r="AI1752" s="1" t="s">
        <v>59</v>
      </c>
      <c r="AJ1752" s="1" t="s">
        <v>59</v>
      </c>
      <c r="AK1752" s="1" t="s">
        <v>60</v>
      </c>
      <c r="AL1752" s="1" t="s">
        <v>60</v>
      </c>
      <c r="AW1752" s="1" t="s">
        <v>264</v>
      </c>
      <c r="AY1752" s="1">
        <v>1.0</v>
      </c>
      <c r="AZ1752" s="1">
        <v>129.99</v>
      </c>
      <c r="BB1752" s="1">
        <v>129.99</v>
      </c>
    </row>
    <row r="1753">
      <c r="A1753" s="1" t="s">
        <v>125</v>
      </c>
      <c r="C1753" s="1" t="s">
        <v>56</v>
      </c>
      <c r="D1753" s="1" t="s">
        <v>2838</v>
      </c>
      <c r="Y1753" s="2">
        <v>45514.0</v>
      </c>
      <c r="AE1753" s="1">
        <v>49.99</v>
      </c>
      <c r="AG1753" s="3" t="str">
        <f>"2000006155051435"</f>
        <v>2000006155051435</v>
      </c>
      <c r="AH1753" s="1" t="s">
        <v>58</v>
      </c>
      <c r="AI1753" s="1" t="s">
        <v>59</v>
      </c>
      <c r="AJ1753" s="1" t="s">
        <v>59</v>
      </c>
      <c r="AK1753" s="1" t="s">
        <v>60</v>
      </c>
      <c r="AL1753" s="1" t="s">
        <v>60</v>
      </c>
      <c r="AW1753" s="1" t="s">
        <v>127</v>
      </c>
      <c r="AY1753" s="1">
        <v>1.0</v>
      </c>
      <c r="AZ1753" s="1">
        <v>49.99</v>
      </c>
      <c r="BB1753" s="1">
        <v>49.99</v>
      </c>
    </row>
    <row r="1754">
      <c r="A1754" s="1" t="s">
        <v>2490</v>
      </c>
      <c r="C1754" s="1" t="s">
        <v>235</v>
      </c>
      <c r="D1754" s="1" t="s">
        <v>2638</v>
      </c>
      <c r="Y1754" s="2">
        <v>45514.0</v>
      </c>
      <c r="AE1754" s="1">
        <v>64.99</v>
      </c>
      <c r="AG1754" s="3" t="str">
        <f>"2000006149978073"</f>
        <v>2000006149978073</v>
      </c>
      <c r="AH1754" s="1" t="s">
        <v>58</v>
      </c>
      <c r="AI1754" s="1" t="s">
        <v>59</v>
      </c>
      <c r="AJ1754" s="1" t="s">
        <v>59</v>
      </c>
      <c r="AK1754" s="1" t="s">
        <v>60</v>
      </c>
      <c r="AL1754" s="1" t="s">
        <v>60</v>
      </c>
      <c r="AW1754" s="1" t="s">
        <v>2492</v>
      </c>
      <c r="AY1754" s="1">
        <v>1.0</v>
      </c>
      <c r="AZ1754" s="1">
        <v>64.99</v>
      </c>
      <c r="BB1754" s="1">
        <v>64.99</v>
      </c>
    </row>
    <row r="1755">
      <c r="A1755" s="1" t="s">
        <v>1316</v>
      </c>
      <c r="C1755" s="1" t="s">
        <v>56</v>
      </c>
      <c r="D1755" s="1" t="s">
        <v>2839</v>
      </c>
      <c r="Y1755" s="2">
        <v>45514.0</v>
      </c>
      <c r="AE1755" s="1">
        <v>91.98</v>
      </c>
      <c r="AG1755" s="3" t="str">
        <f>"2000006154990131"</f>
        <v>2000006154990131</v>
      </c>
      <c r="AH1755" s="1" t="s">
        <v>58</v>
      </c>
      <c r="AI1755" s="1" t="s">
        <v>59</v>
      </c>
      <c r="AJ1755" s="1" t="s">
        <v>59</v>
      </c>
      <c r="AK1755" s="1" t="s">
        <v>60</v>
      </c>
      <c r="AL1755" s="1" t="s">
        <v>60</v>
      </c>
      <c r="AW1755" s="1" t="s">
        <v>100</v>
      </c>
      <c r="AY1755" s="1">
        <v>2.0</v>
      </c>
      <c r="AZ1755" s="1">
        <v>45.99</v>
      </c>
      <c r="BB1755" s="1">
        <v>91.98</v>
      </c>
    </row>
    <row r="1756">
      <c r="A1756" s="1" t="s">
        <v>622</v>
      </c>
      <c r="C1756" s="1" t="s">
        <v>56</v>
      </c>
      <c r="D1756" s="1" t="s">
        <v>2840</v>
      </c>
      <c r="Y1756" s="2">
        <v>45514.0</v>
      </c>
      <c r="AE1756" s="1">
        <v>649.99</v>
      </c>
      <c r="AG1756" s="3" t="str">
        <f>"2000008999826082"</f>
        <v>2000008999826082</v>
      </c>
      <c r="AH1756" s="1" t="s">
        <v>58</v>
      </c>
      <c r="AI1756" s="1" t="s">
        <v>59</v>
      </c>
      <c r="AJ1756" s="1" t="s">
        <v>59</v>
      </c>
      <c r="AK1756" s="1" t="s">
        <v>60</v>
      </c>
      <c r="AL1756" s="1" t="s">
        <v>60</v>
      </c>
      <c r="AW1756" s="1" t="s">
        <v>624</v>
      </c>
      <c r="AY1756" s="1">
        <v>1.0</v>
      </c>
      <c r="AZ1756" s="1">
        <v>649.99</v>
      </c>
      <c r="BB1756" s="1">
        <v>649.99</v>
      </c>
    </row>
    <row r="1757">
      <c r="A1757" s="1" t="s">
        <v>2841</v>
      </c>
      <c r="C1757" s="1" t="s">
        <v>56</v>
      </c>
      <c r="D1757" s="1" t="s">
        <v>2842</v>
      </c>
      <c r="Y1757" s="2">
        <v>45514.0</v>
      </c>
      <c r="AE1757" s="1">
        <v>94.99</v>
      </c>
      <c r="AG1757" s="3" t="str">
        <f>"2000006154968547"</f>
        <v>2000006154968547</v>
      </c>
      <c r="AH1757" s="1" t="s">
        <v>58</v>
      </c>
      <c r="AI1757" s="1" t="s">
        <v>59</v>
      </c>
      <c r="AJ1757" s="1" t="s">
        <v>59</v>
      </c>
      <c r="AK1757" s="1" t="s">
        <v>60</v>
      </c>
      <c r="AL1757" s="1" t="s">
        <v>60</v>
      </c>
      <c r="AW1757" s="1" t="s">
        <v>2843</v>
      </c>
      <c r="AY1757" s="1">
        <v>1.0</v>
      </c>
      <c r="AZ1757" s="1">
        <v>94.99</v>
      </c>
      <c r="BB1757" s="1">
        <v>94.99</v>
      </c>
    </row>
    <row r="1758">
      <c r="A1758" s="1" t="s">
        <v>1517</v>
      </c>
      <c r="C1758" s="1" t="s">
        <v>56</v>
      </c>
      <c r="D1758" s="1" t="s">
        <v>2844</v>
      </c>
      <c r="Y1758" s="2">
        <v>45514.0</v>
      </c>
      <c r="AE1758" s="1">
        <v>69.99</v>
      </c>
      <c r="AG1758" s="3" t="str">
        <f>"2000006154910245"</f>
        <v>2000006154910245</v>
      </c>
      <c r="AH1758" s="1" t="s">
        <v>58</v>
      </c>
      <c r="AI1758" s="1" t="s">
        <v>59</v>
      </c>
      <c r="AJ1758" s="1" t="s">
        <v>59</v>
      </c>
      <c r="AK1758" s="1" t="s">
        <v>60</v>
      </c>
      <c r="AL1758" s="1" t="s">
        <v>60</v>
      </c>
      <c r="AW1758" s="1" t="s">
        <v>1519</v>
      </c>
      <c r="AY1758" s="1">
        <v>1.0</v>
      </c>
      <c r="AZ1758" s="1">
        <v>69.99</v>
      </c>
      <c r="BB1758" s="1">
        <v>69.99</v>
      </c>
    </row>
    <row r="1759">
      <c r="A1759" s="1" t="s">
        <v>953</v>
      </c>
      <c r="C1759" s="1" t="s">
        <v>235</v>
      </c>
      <c r="D1759" s="1" t="s">
        <v>2845</v>
      </c>
      <c r="Y1759" s="2">
        <v>45514.0</v>
      </c>
      <c r="AE1759" s="1">
        <v>39.99</v>
      </c>
      <c r="AG1759" s="3" t="str">
        <f>"2000006154853611"</f>
        <v>2000006154853611</v>
      </c>
      <c r="AH1759" s="1" t="s">
        <v>58</v>
      </c>
      <c r="AI1759" s="1" t="s">
        <v>59</v>
      </c>
      <c r="AJ1759" s="1" t="s">
        <v>59</v>
      </c>
      <c r="AK1759" s="1" t="s">
        <v>60</v>
      </c>
      <c r="AL1759" s="1" t="s">
        <v>60</v>
      </c>
      <c r="AW1759" s="1" t="s">
        <v>955</v>
      </c>
      <c r="AY1759" s="1">
        <v>1.0</v>
      </c>
      <c r="AZ1759" s="1">
        <v>39.99</v>
      </c>
      <c r="BB1759" s="1">
        <v>39.99</v>
      </c>
    </row>
    <row r="1760">
      <c r="A1760" s="1" t="s">
        <v>1112</v>
      </c>
      <c r="C1760" s="1" t="s">
        <v>56</v>
      </c>
      <c r="D1760" s="1" t="s">
        <v>2846</v>
      </c>
      <c r="Y1760" s="2">
        <v>45514.0</v>
      </c>
      <c r="AE1760" s="1">
        <v>69.99</v>
      </c>
      <c r="AG1760" s="3" t="str">
        <f>"2000006154821303"</f>
        <v>2000006154821303</v>
      </c>
      <c r="AH1760" s="1" t="s">
        <v>58</v>
      </c>
      <c r="AI1760" s="1" t="s">
        <v>59</v>
      </c>
      <c r="AJ1760" s="1" t="s">
        <v>59</v>
      </c>
      <c r="AK1760" s="1" t="s">
        <v>60</v>
      </c>
      <c r="AL1760" s="1" t="s">
        <v>60</v>
      </c>
      <c r="AW1760" s="1" t="s">
        <v>1114</v>
      </c>
      <c r="AY1760" s="1">
        <v>1.0</v>
      </c>
      <c r="AZ1760" s="1">
        <v>69.99</v>
      </c>
      <c r="BB1760" s="1">
        <v>69.99</v>
      </c>
    </row>
    <row r="1761">
      <c r="A1761" s="1" t="s">
        <v>1371</v>
      </c>
      <c r="C1761" s="1" t="s">
        <v>56</v>
      </c>
      <c r="D1761" s="1" t="s">
        <v>2847</v>
      </c>
      <c r="Y1761" s="2">
        <v>45514.0</v>
      </c>
      <c r="AE1761" s="1">
        <v>99.99</v>
      </c>
      <c r="AG1761" s="3" t="str">
        <f>"2000006154760687"</f>
        <v>2000006154760687</v>
      </c>
      <c r="AH1761" s="1" t="s">
        <v>58</v>
      </c>
      <c r="AI1761" s="1" t="s">
        <v>59</v>
      </c>
      <c r="AJ1761" s="1" t="s">
        <v>59</v>
      </c>
      <c r="AK1761" s="1" t="s">
        <v>60</v>
      </c>
      <c r="AL1761" s="1" t="s">
        <v>60</v>
      </c>
      <c r="AW1761" s="1" t="s">
        <v>1373</v>
      </c>
      <c r="AY1761" s="1">
        <v>1.0</v>
      </c>
      <c r="AZ1761" s="1">
        <v>99.99</v>
      </c>
      <c r="BB1761" s="1">
        <v>99.99</v>
      </c>
    </row>
    <row r="1762">
      <c r="A1762" s="1" t="s">
        <v>933</v>
      </c>
      <c r="C1762" s="1" t="s">
        <v>56</v>
      </c>
      <c r="D1762" s="1" t="s">
        <v>2848</v>
      </c>
      <c r="Y1762" s="2">
        <v>45514.0</v>
      </c>
      <c r="AE1762" s="1">
        <v>79.99</v>
      </c>
      <c r="AG1762" s="3" t="str">
        <f>"2000008999348398"</f>
        <v>2000008999348398</v>
      </c>
      <c r="AH1762" s="1" t="s">
        <v>58</v>
      </c>
      <c r="AI1762" s="1" t="s">
        <v>59</v>
      </c>
      <c r="AJ1762" s="1" t="s">
        <v>59</v>
      </c>
      <c r="AK1762" s="1" t="s">
        <v>60</v>
      </c>
      <c r="AL1762" s="1" t="s">
        <v>60</v>
      </c>
      <c r="AW1762" s="1" t="s">
        <v>935</v>
      </c>
      <c r="AY1762" s="1">
        <v>1.0</v>
      </c>
      <c r="AZ1762" s="1">
        <v>79.99</v>
      </c>
      <c r="BB1762" s="1">
        <v>79.99</v>
      </c>
    </row>
    <row r="1763">
      <c r="A1763" s="1" t="s">
        <v>1724</v>
      </c>
      <c r="C1763" s="1" t="s">
        <v>56</v>
      </c>
      <c r="D1763" s="1" t="s">
        <v>2849</v>
      </c>
      <c r="Y1763" s="2">
        <v>45514.0</v>
      </c>
      <c r="AE1763" s="1">
        <v>129.99</v>
      </c>
      <c r="AG1763" s="3" t="str">
        <f>"2000006154720833"</f>
        <v>2000006154720833</v>
      </c>
      <c r="AH1763" s="1" t="s">
        <v>58</v>
      </c>
      <c r="AI1763" s="1" t="s">
        <v>59</v>
      </c>
      <c r="AJ1763" s="1" t="s">
        <v>59</v>
      </c>
      <c r="AK1763" s="1" t="s">
        <v>60</v>
      </c>
      <c r="AL1763" s="1" t="s">
        <v>60</v>
      </c>
      <c r="AW1763" s="1" t="s">
        <v>1726</v>
      </c>
      <c r="AY1763" s="1">
        <v>1.0</v>
      </c>
      <c r="AZ1763" s="1">
        <v>129.99</v>
      </c>
      <c r="BB1763" s="1">
        <v>129.99</v>
      </c>
    </row>
    <row r="1764">
      <c r="A1764" s="1" t="s">
        <v>2850</v>
      </c>
      <c r="C1764" s="1" t="s">
        <v>56</v>
      </c>
      <c r="D1764" s="1" t="s">
        <v>2851</v>
      </c>
      <c r="Y1764" s="2">
        <v>45514.0</v>
      </c>
      <c r="AE1764" s="1">
        <v>119.99</v>
      </c>
      <c r="AG1764" s="3" t="str">
        <f>"2000006153899233"</f>
        <v>2000006153899233</v>
      </c>
      <c r="AH1764" s="1" t="s">
        <v>58</v>
      </c>
      <c r="AI1764" s="1" t="s">
        <v>59</v>
      </c>
      <c r="AJ1764" s="1" t="s">
        <v>59</v>
      </c>
      <c r="AK1764" s="1" t="s">
        <v>60</v>
      </c>
      <c r="AL1764" s="1" t="s">
        <v>60</v>
      </c>
      <c r="AW1764" s="1" t="s">
        <v>2852</v>
      </c>
      <c r="AY1764" s="1">
        <v>1.0</v>
      </c>
      <c r="AZ1764" s="1">
        <v>119.99</v>
      </c>
      <c r="BB1764" s="1">
        <v>119.99</v>
      </c>
    </row>
    <row r="1765">
      <c r="A1765" s="1" t="s">
        <v>2853</v>
      </c>
      <c r="C1765" s="1" t="s">
        <v>56</v>
      </c>
      <c r="D1765" s="1" t="s">
        <v>2854</v>
      </c>
      <c r="Y1765" s="2">
        <v>45514.0</v>
      </c>
      <c r="AE1765" s="1">
        <v>39.99</v>
      </c>
      <c r="AG1765" s="3" t="str">
        <f>"2000006154533383"</f>
        <v>2000006154533383</v>
      </c>
      <c r="AH1765" s="1" t="s">
        <v>58</v>
      </c>
      <c r="AI1765" s="1" t="s">
        <v>59</v>
      </c>
      <c r="AJ1765" s="1" t="s">
        <v>59</v>
      </c>
      <c r="AK1765" s="1" t="s">
        <v>60</v>
      </c>
      <c r="AL1765" s="1" t="s">
        <v>60</v>
      </c>
      <c r="AW1765" s="1" t="s">
        <v>2855</v>
      </c>
      <c r="AY1765" s="1">
        <v>1.0</v>
      </c>
      <c r="AZ1765" s="1">
        <v>39.99</v>
      </c>
      <c r="BB1765" s="1">
        <v>39.99</v>
      </c>
    </row>
    <row r="1766">
      <c r="A1766" s="1" t="s">
        <v>2856</v>
      </c>
      <c r="C1766" s="1" t="s">
        <v>56</v>
      </c>
      <c r="D1766" s="1" t="s">
        <v>2857</v>
      </c>
      <c r="Y1766" s="2">
        <v>45514.0</v>
      </c>
      <c r="AE1766" s="1">
        <v>39.99</v>
      </c>
      <c r="AG1766" s="3" t="str">
        <f>"2000006154429635"</f>
        <v>2000006154429635</v>
      </c>
      <c r="AH1766" s="1" t="s">
        <v>58</v>
      </c>
      <c r="AI1766" s="1" t="s">
        <v>59</v>
      </c>
      <c r="AJ1766" s="1" t="s">
        <v>59</v>
      </c>
      <c r="AK1766" s="1" t="s">
        <v>60</v>
      </c>
      <c r="AL1766" s="1" t="s">
        <v>60</v>
      </c>
      <c r="AW1766" s="1" t="s">
        <v>673</v>
      </c>
      <c r="AY1766" s="1">
        <v>1.0</v>
      </c>
      <c r="AZ1766" s="1">
        <v>39.99</v>
      </c>
      <c r="BB1766" s="1">
        <v>39.99</v>
      </c>
    </row>
    <row r="1767">
      <c r="A1767" s="1" t="s">
        <v>175</v>
      </c>
      <c r="C1767" s="1" t="s">
        <v>56</v>
      </c>
      <c r="D1767" s="1" t="s">
        <v>2858</v>
      </c>
      <c r="Y1767" s="2">
        <v>45514.0</v>
      </c>
      <c r="AE1767" s="1">
        <v>199.99</v>
      </c>
      <c r="AG1767" s="3" t="str">
        <f>"2000006154339957"</f>
        <v>2000006154339957</v>
      </c>
      <c r="AH1767" s="1" t="s">
        <v>58</v>
      </c>
      <c r="AI1767" s="1" t="s">
        <v>59</v>
      </c>
      <c r="AJ1767" s="1" t="s">
        <v>59</v>
      </c>
      <c r="AK1767" s="1" t="s">
        <v>60</v>
      </c>
      <c r="AL1767" s="1" t="s">
        <v>60</v>
      </c>
      <c r="AW1767" s="1" t="s">
        <v>177</v>
      </c>
      <c r="AY1767" s="1">
        <v>1.0</v>
      </c>
      <c r="AZ1767" s="1">
        <v>199.99</v>
      </c>
      <c r="BB1767" s="1">
        <v>199.99</v>
      </c>
    </row>
    <row r="1768">
      <c r="A1768" s="1" t="s">
        <v>1836</v>
      </c>
      <c r="C1768" s="1" t="s">
        <v>56</v>
      </c>
      <c r="D1768" s="1" t="s">
        <v>2859</v>
      </c>
      <c r="Y1768" s="2">
        <v>45514.0</v>
      </c>
      <c r="AE1768" s="1">
        <v>49.99</v>
      </c>
      <c r="AG1768" s="3" t="str">
        <f>"2000006154204409"</f>
        <v>2000006154204409</v>
      </c>
      <c r="AH1768" s="1" t="s">
        <v>58</v>
      </c>
      <c r="AI1768" s="1" t="s">
        <v>59</v>
      </c>
      <c r="AJ1768" s="1" t="s">
        <v>59</v>
      </c>
      <c r="AK1768" s="1" t="s">
        <v>60</v>
      </c>
      <c r="AL1768" s="1" t="s">
        <v>60</v>
      </c>
      <c r="AW1768" s="1" t="s">
        <v>1838</v>
      </c>
      <c r="AY1768" s="1">
        <v>1.0</v>
      </c>
      <c r="AZ1768" s="1">
        <v>49.99</v>
      </c>
      <c r="BB1768" s="1">
        <v>49.99</v>
      </c>
    </row>
    <row r="1769">
      <c r="A1769" s="1" t="s">
        <v>2860</v>
      </c>
      <c r="C1769" s="1" t="s">
        <v>56</v>
      </c>
      <c r="D1769" s="1" t="s">
        <v>2861</v>
      </c>
      <c r="Y1769" s="2">
        <v>45514.0</v>
      </c>
      <c r="AE1769" s="1">
        <v>109.99</v>
      </c>
      <c r="AG1769" s="3" t="str">
        <f>"2000006154152963"</f>
        <v>2000006154152963</v>
      </c>
      <c r="AH1769" s="1" t="s">
        <v>58</v>
      </c>
      <c r="AI1769" s="1" t="s">
        <v>59</v>
      </c>
      <c r="AJ1769" s="1" t="s">
        <v>59</v>
      </c>
      <c r="AK1769" s="1" t="s">
        <v>60</v>
      </c>
      <c r="AL1769" s="1" t="s">
        <v>60</v>
      </c>
      <c r="AW1769" s="1" t="s">
        <v>2862</v>
      </c>
      <c r="AY1769" s="1">
        <v>1.0</v>
      </c>
      <c r="AZ1769" s="1">
        <v>109.99</v>
      </c>
      <c r="BB1769" s="1">
        <v>109.99</v>
      </c>
    </row>
    <row r="1770">
      <c r="A1770" s="1" t="s">
        <v>243</v>
      </c>
      <c r="C1770" s="1" t="s">
        <v>56</v>
      </c>
      <c r="D1770" s="1" t="s">
        <v>2863</v>
      </c>
      <c r="Y1770" s="2">
        <v>45514.0</v>
      </c>
      <c r="AE1770" s="1">
        <v>119.99</v>
      </c>
      <c r="AG1770" s="3" t="str">
        <f>"2000006154131689"</f>
        <v>2000006154131689</v>
      </c>
      <c r="AH1770" s="1" t="s">
        <v>58</v>
      </c>
      <c r="AI1770" s="1" t="s">
        <v>59</v>
      </c>
      <c r="AJ1770" s="1" t="s">
        <v>59</v>
      </c>
      <c r="AK1770" s="1" t="s">
        <v>60</v>
      </c>
      <c r="AL1770" s="1" t="s">
        <v>60</v>
      </c>
      <c r="AW1770" s="1" t="s">
        <v>2864</v>
      </c>
      <c r="AY1770" s="1">
        <v>1.0</v>
      </c>
      <c r="AZ1770" s="1">
        <v>119.99</v>
      </c>
      <c r="BB1770" s="1">
        <v>119.99</v>
      </c>
    </row>
    <row r="1771">
      <c r="A1771" s="1" t="s">
        <v>125</v>
      </c>
      <c r="C1771" s="1" t="s">
        <v>56</v>
      </c>
      <c r="D1771" s="1" t="s">
        <v>2865</v>
      </c>
      <c r="Y1771" s="2">
        <v>45514.0</v>
      </c>
      <c r="AE1771" s="1">
        <v>49.99</v>
      </c>
      <c r="AG1771" s="3" t="str">
        <f>"2000006154131231"</f>
        <v>2000006154131231</v>
      </c>
      <c r="AH1771" s="1" t="s">
        <v>58</v>
      </c>
      <c r="AI1771" s="1" t="s">
        <v>59</v>
      </c>
      <c r="AJ1771" s="1" t="s">
        <v>59</v>
      </c>
      <c r="AK1771" s="1" t="s">
        <v>60</v>
      </c>
      <c r="AL1771" s="1" t="s">
        <v>60</v>
      </c>
      <c r="AW1771" s="1" t="s">
        <v>127</v>
      </c>
      <c r="AY1771" s="1">
        <v>1.0</v>
      </c>
      <c r="AZ1771" s="1">
        <v>49.99</v>
      </c>
      <c r="BB1771" s="1">
        <v>49.99</v>
      </c>
    </row>
    <row r="1772">
      <c r="A1772" s="1" t="s">
        <v>529</v>
      </c>
      <c r="C1772" s="1" t="s">
        <v>56</v>
      </c>
      <c r="D1772" s="1" t="s">
        <v>2866</v>
      </c>
      <c r="Y1772" s="2">
        <v>45514.0</v>
      </c>
      <c r="AE1772" s="1">
        <v>54.99</v>
      </c>
      <c r="AG1772" s="3" t="str">
        <f>"2000006154129325"</f>
        <v>2000006154129325</v>
      </c>
      <c r="AH1772" s="1" t="s">
        <v>58</v>
      </c>
      <c r="AI1772" s="1" t="s">
        <v>59</v>
      </c>
      <c r="AJ1772" s="1" t="s">
        <v>59</v>
      </c>
      <c r="AK1772" s="1" t="s">
        <v>60</v>
      </c>
      <c r="AL1772" s="1" t="s">
        <v>60</v>
      </c>
      <c r="AW1772" s="1" t="s">
        <v>110</v>
      </c>
      <c r="AY1772" s="1">
        <v>1.0</v>
      </c>
      <c r="AZ1772" s="1">
        <v>54.99</v>
      </c>
      <c r="BB1772" s="1">
        <v>54.99</v>
      </c>
    </row>
    <row r="1773">
      <c r="A1773" s="1" t="s">
        <v>2784</v>
      </c>
      <c r="C1773" s="1" t="s">
        <v>56</v>
      </c>
      <c r="D1773" s="1" t="s">
        <v>2867</v>
      </c>
      <c r="Y1773" s="2">
        <v>45514.0</v>
      </c>
      <c r="AE1773" s="1">
        <v>39.99</v>
      </c>
      <c r="AG1773" s="3" t="str">
        <f>"2000006154123129"</f>
        <v>2000006154123129</v>
      </c>
      <c r="AH1773" s="1" t="s">
        <v>58</v>
      </c>
      <c r="AI1773" s="1" t="s">
        <v>59</v>
      </c>
      <c r="AJ1773" s="1" t="s">
        <v>59</v>
      </c>
      <c r="AK1773" s="1" t="s">
        <v>60</v>
      </c>
      <c r="AL1773" s="1" t="s">
        <v>60</v>
      </c>
      <c r="AW1773" s="1" t="s">
        <v>1529</v>
      </c>
      <c r="AY1773" s="1">
        <v>1.0</v>
      </c>
      <c r="AZ1773" s="1">
        <v>39.99</v>
      </c>
      <c r="BB1773" s="1">
        <v>39.99</v>
      </c>
    </row>
    <row r="1774">
      <c r="A1774" s="1" t="s">
        <v>474</v>
      </c>
      <c r="C1774" s="1" t="s">
        <v>56</v>
      </c>
      <c r="D1774" s="1" t="s">
        <v>2868</v>
      </c>
      <c r="Y1774" s="2">
        <v>45514.0</v>
      </c>
      <c r="AE1774" s="1">
        <v>159.99</v>
      </c>
      <c r="AG1774" s="3" t="str">
        <f>"2000006154098805"</f>
        <v>2000006154098805</v>
      </c>
      <c r="AH1774" s="1" t="s">
        <v>58</v>
      </c>
      <c r="AI1774" s="1" t="s">
        <v>59</v>
      </c>
      <c r="AJ1774" s="1" t="s">
        <v>59</v>
      </c>
      <c r="AK1774" s="1" t="s">
        <v>60</v>
      </c>
      <c r="AL1774" s="1" t="s">
        <v>60</v>
      </c>
      <c r="AW1774" s="1" t="s">
        <v>476</v>
      </c>
      <c r="AY1774" s="1">
        <v>1.0</v>
      </c>
      <c r="AZ1774" s="1">
        <v>159.99</v>
      </c>
      <c r="BB1774" s="1">
        <v>159.99</v>
      </c>
    </row>
    <row r="1775">
      <c r="A1775" s="1" t="s">
        <v>764</v>
      </c>
      <c r="C1775" s="1" t="s">
        <v>56</v>
      </c>
      <c r="D1775" s="1" t="s">
        <v>2869</v>
      </c>
      <c r="Y1775" s="2">
        <v>45514.0</v>
      </c>
      <c r="AE1775" s="1">
        <v>66.99</v>
      </c>
      <c r="AG1775" s="3" t="str">
        <f>"2000006154100817"</f>
        <v>2000006154100817</v>
      </c>
      <c r="AH1775" s="1" t="s">
        <v>58</v>
      </c>
      <c r="AI1775" s="1" t="s">
        <v>59</v>
      </c>
      <c r="AJ1775" s="1" t="s">
        <v>59</v>
      </c>
      <c r="AK1775" s="1" t="s">
        <v>60</v>
      </c>
      <c r="AL1775" s="1" t="s">
        <v>60</v>
      </c>
      <c r="AW1775" s="1" t="s">
        <v>766</v>
      </c>
      <c r="AY1775" s="1">
        <v>1.0</v>
      </c>
      <c r="AZ1775" s="1">
        <v>66.99</v>
      </c>
      <c r="BB1775" s="1">
        <v>66.99</v>
      </c>
    </row>
    <row r="1776">
      <c r="A1776" s="1" t="s">
        <v>1527</v>
      </c>
      <c r="C1776" s="1" t="s">
        <v>56</v>
      </c>
      <c r="D1776" s="1" t="s">
        <v>2870</v>
      </c>
      <c r="Y1776" s="2">
        <v>45514.0</v>
      </c>
      <c r="AE1776" s="1">
        <v>39.99</v>
      </c>
      <c r="AG1776" s="3" t="str">
        <f>"2000006154086917"</f>
        <v>2000006154086917</v>
      </c>
      <c r="AH1776" s="1" t="s">
        <v>58</v>
      </c>
      <c r="AI1776" s="1" t="s">
        <v>59</v>
      </c>
      <c r="AJ1776" s="1" t="s">
        <v>59</v>
      </c>
      <c r="AK1776" s="1" t="s">
        <v>60</v>
      </c>
      <c r="AL1776" s="1" t="s">
        <v>60</v>
      </c>
      <c r="AW1776" s="1" t="s">
        <v>1529</v>
      </c>
      <c r="AY1776" s="1">
        <v>1.0</v>
      </c>
      <c r="AZ1776" s="1">
        <v>39.99</v>
      </c>
      <c r="BB1776" s="1">
        <v>39.99</v>
      </c>
    </row>
    <row r="1777">
      <c r="A1777" s="1" t="s">
        <v>166</v>
      </c>
      <c r="C1777" s="1" t="s">
        <v>56</v>
      </c>
      <c r="D1777" s="1" t="s">
        <v>2871</v>
      </c>
      <c r="Y1777" s="2">
        <v>45514.0</v>
      </c>
      <c r="AE1777" s="1">
        <v>59.99</v>
      </c>
      <c r="AG1777" s="3" t="str">
        <f>"2000006154088591"</f>
        <v>2000006154088591</v>
      </c>
      <c r="AH1777" s="1" t="s">
        <v>58</v>
      </c>
      <c r="AI1777" s="1" t="s">
        <v>59</v>
      </c>
      <c r="AJ1777" s="1" t="s">
        <v>59</v>
      </c>
      <c r="AK1777" s="1" t="s">
        <v>60</v>
      </c>
      <c r="AL1777" s="1" t="s">
        <v>60</v>
      </c>
      <c r="AW1777" s="1" t="s">
        <v>165</v>
      </c>
      <c r="AY1777" s="1">
        <v>1.0</v>
      </c>
      <c r="AZ1777" s="1">
        <v>59.99</v>
      </c>
      <c r="BB1777" s="1">
        <v>59.99</v>
      </c>
    </row>
    <row r="1778">
      <c r="A1778" s="1" t="s">
        <v>1217</v>
      </c>
      <c r="C1778" s="1" t="s">
        <v>56</v>
      </c>
      <c r="D1778" s="1" t="s">
        <v>2872</v>
      </c>
      <c r="Y1778" s="2">
        <v>45514.0</v>
      </c>
      <c r="AE1778" s="1">
        <v>37.49</v>
      </c>
      <c r="AG1778" s="3" t="str">
        <f>"2000006154089939"</f>
        <v>2000006154089939</v>
      </c>
      <c r="AH1778" s="1" t="s">
        <v>58</v>
      </c>
      <c r="AI1778" s="1" t="s">
        <v>59</v>
      </c>
      <c r="AJ1778" s="1" t="s">
        <v>59</v>
      </c>
      <c r="AK1778" s="1" t="s">
        <v>60</v>
      </c>
      <c r="AL1778" s="1" t="s">
        <v>60</v>
      </c>
      <c r="AW1778" s="1" t="s">
        <v>373</v>
      </c>
      <c r="AY1778" s="1">
        <v>1.0</v>
      </c>
      <c r="AZ1778" s="1">
        <v>37.49</v>
      </c>
      <c r="BB1778" s="1">
        <v>37.49</v>
      </c>
    </row>
    <row r="1779">
      <c r="A1779" s="1" t="s">
        <v>462</v>
      </c>
      <c r="C1779" s="1" t="s">
        <v>56</v>
      </c>
      <c r="D1779" s="1" t="s">
        <v>2873</v>
      </c>
      <c r="Y1779" s="2">
        <v>45514.0</v>
      </c>
      <c r="AE1779" s="1">
        <v>89.99</v>
      </c>
      <c r="AG1779" s="3" t="str">
        <f>"2000006154082827"</f>
        <v>2000006154082827</v>
      </c>
      <c r="AH1779" s="1" t="s">
        <v>58</v>
      </c>
      <c r="AI1779" s="1" t="s">
        <v>59</v>
      </c>
      <c r="AJ1779" s="1" t="s">
        <v>59</v>
      </c>
      <c r="AK1779" s="1" t="s">
        <v>60</v>
      </c>
      <c r="AL1779" s="1" t="s">
        <v>60</v>
      </c>
      <c r="AW1779" s="1" t="s">
        <v>464</v>
      </c>
      <c r="AY1779" s="1">
        <v>1.0</v>
      </c>
      <c r="AZ1779" s="1">
        <v>89.99</v>
      </c>
      <c r="BB1779" s="1">
        <v>89.99</v>
      </c>
    </row>
    <row r="1780">
      <c r="A1780" s="1" t="s">
        <v>1217</v>
      </c>
      <c r="C1780" s="1" t="s">
        <v>56</v>
      </c>
      <c r="D1780" s="1" t="s">
        <v>2874</v>
      </c>
      <c r="Y1780" s="2">
        <v>45514.0</v>
      </c>
      <c r="AE1780" s="1">
        <v>74.98</v>
      </c>
      <c r="AG1780" s="3" t="str">
        <f>"2000006154070863"</f>
        <v>2000006154070863</v>
      </c>
      <c r="AH1780" s="1" t="s">
        <v>58</v>
      </c>
      <c r="AI1780" s="1" t="s">
        <v>59</v>
      </c>
      <c r="AJ1780" s="1" t="s">
        <v>59</v>
      </c>
      <c r="AK1780" s="1" t="s">
        <v>60</v>
      </c>
      <c r="AL1780" s="1" t="s">
        <v>60</v>
      </c>
      <c r="AW1780" s="1" t="s">
        <v>373</v>
      </c>
      <c r="AY1780" s="1">
        <v>2.0</v>
      </c>
      <c r="AZ1780" s="1">
        <v>37.49</v>
      </c>
      <c r="BB1780" s="1">
        <v>74.98</v>
      </c>
    </row>
    <row r="1781">
      <c r="A1781" s="1" t="s">
        <v>457</v>
      </c>
      <c r="C1781" s="1" t="s">
        <v>56</v>
      </c>
      <c r="D1781" s="1" t="s">
        <v>2875</v>
      </c>
      <c r="Y1781" s="2">
        <v>45514.0</v>
      </c>
      <c r="AE1781" s="1">
        <v>139.99</v>
      </c>
      <c r="AG1781" s="3" t="str">
        <f>"2000006154073557"</f>
        <v>2000006154073557</v>
      </c>
      <c r="AH1781" s="1" t="s">
        <v>58</v>
      </c>
      <c r="AI1781" s="1" t="s">
        <v>59</v>
      </c>
      <c r="AJ1781" s="1" t="s">
        <v>59</v>
      </c>
      <c r="AK1781" s="1" t="s">
        <v>60</v>
      </c>
      <c r="AL1781" s="1" t="s">
        <v>60</v>
      </c>
      <c r="AW1781" s="1" t="s">
        <v>279</v>
      </c>
      <c r="AY1781" s="1">
        <v>1.0</v>
      </c>
      <c r="AZ1781" s="1">
        <v>139.99</v>
      </c>
      <c r="BB1781" s="1">
        <v>139.99</v>
      </c>
    </row>
    <row r="1782">
      <c r="A1782" s="1" t="s">
        <v>2876</v>
      </c>
      <c r="C1782" s="1" t="s">
        <v>56</v>
      </c>
      <c r="D1782" s="1" t="s">
        <v>2877</v>
      </c>
      <c r="Y1782" s="2">
        <v>45514.0</v>
      </c>
      <c r="AE1782" s="1">
        <v>59.99</v>
      </c>
      <c r="AG1782" s="3" t="str">
        <f>"2000006154070125"</f>
        <v>2000006154070125</v>
      </c>
      <c r="AH1782" s="1" t="s">
        <v>58</v>
      </c>
      <c r="AI1782" s="1" t="s">
        <v>59</v>
      </c>
      <c r="AJ1782" s="1" t="s">
        <v>59</v>
      </c>
      <c r="AK1782" s="1" t="s">
        <v>60</v>
      </c>
      <c r="AL1782" s="1" t="s">
        <v>60</v>
      </c>
      <c r="AW1782" s="1" t="s">
        <v>2878</v>
      </c>
      <c r="AY1782" s="1">
        <v>1.0</v>
      </c>
      <c r="AZ1782" s="1">
        <v>59.99</v>
      </c>
      <c r="BB1782" s="1">
        <v>59.99</v>
      </c>
    </row>
    <row r="1783">
      <c r="A1783" s="1" t="s">
        <v>2879</v>
      </c>
      <c r="C1783" s="1" t="s">
        <v>56</v>
      </c>
      <c r="D1783" s="1" t="s">
        <v>2880</v>
      </c>
      <c r="Y1783" s="2">
        <v>45514.0</v>
      </c>
      <c r="AE1783" s="1">
        <v>35.0</v>
      </c>
      <c r="AG1783" s="3" t="str">
        <f>"2000006154030171"</f>
        <v>2000006154030171</v>
      </c>
      <c r="AH1783" s="1" t="s">
        <v>58</v>
      </c>
      <c r="AI1783" s="1" t="s">
        <v>59</v>
      </c>
      <c r="AJ1783" s="1" t="s">
        <v>59</v>
      </c>
      <c r="AK1783" s="1" t="s">
        <v>60</v>
      </c>
      <c r="AL1783" s="1" t="s">
        <v>60</v>
      </c>
      <c r="AW1783" s="1" t="s">
        <v>341</v>
      </c>
      <c r="AY1783" s="1">
        <v>1.0</v>
      </c>
      <c r="AZ1783" s="1">
        <v>35.0</v>
      </c>
      <c r="BB1783" s="1">
        <v>35.0</v>
      </c>
    </row>
    <row r="1784">
      <c r="A1784" s="1" t="s">
        <v>2881</v>
      </c>
      <c r="C1784" s="1" t="s">
        <v>56</v>
      </c>
      <c r="D1784" s="1" t="s">
        <v>2882</v>
      </c>
      <c r="Y1784" s="2">
        <v>45514.0</v>
      </c>
      <c r="AE1784" s="1">
        <v>69.99</v>
      </c>
      <c r="AG1784" s="3" t="str">
        <f>"2000008997939742"</f>
        <v>2000008997939742</v>
      </c>
      <c r="AH1784" s="1" t="s">
        <v>58</v>
      </c>
      <c r="AI1784" s="1" t="s">
        <v>59</v>
      </c>
      <c r="AJ1784" s="1" t="s">
        <v>59</v>
      </c>
      <c r="AK1784" s="1" t="s">
        <v>60</v>
      </c>
      <c r="AL1784" s="1" t="s">
        <v>60</v>
      </c>
      <c r="AW1784" s="1" t="s">
        <v>2883</v>
      </c>
      <c r="AY1784" s="1">
        <v>1.0</v>
      </c>
      <c r="AZ1784" s="1">
        <v>69.99</v>
      </c>
      <c r="BB1784" s="1">
        <v>69.99</v>
      </c>
    </row>
    <row r="1785">
      <c r="A1785" s="1" t="s">
        <v>1073</v>
      </c>
      <c r="C1785" s="1" t="s">
        <v>56</v>
      </c>
      <c r="D1785" s="1" t="s">
        <v>2884</v>
      </c>
      <c r="Y1785" s="2">
        <v>45514.0</v>
      </c>
      <c r="AE1785" s="1">
        <v>129.99</v>
      </c>
      <c r="AG1785" s="3" t="str">
        <f>"2000006154008679"</f>
        <v>2000006154008679</v>
      </c>
      <c r="AH1785" s="1" t="s">
        <v>58</v>
      </c>
      <c r="AI1785" s="1" t="s">
        <v>59</v>
      </c>
      <c r="AJ1785" s="1" t="s">
        <v>59</v>
      </c>
      <c r="AK1785" s="1" t="s">
        <v>60</v>
      </c>
      <c r="AL1785" s="1" t="s">
        <v>60</v>
      </c>
      <c r="AW1785" s="1" t="s">
        <v>1075</v>
      </c>
      <c r="AY1785" s="1">
        <v>1.0</v>
      </c>
      <c r="AZ1785" s="1">
        <v>129.99</v>
      </c>
      <c r="BB1785" s="1">
        <v>129.99</v>
      </c>
    </row>
    <row r="1786">
      <c r="A1786" s="1" t="s">
        <v>108</v>
      </c>
      <c r="C1786" s="1" t="s">
        <v>56</v>
      </c>
      <c r="D1786" s="1" t="s">
        <v>2885</v>
      </c>
      <c r="Y1786" s="2">
        <v>45514.0</v>
      </c>
      <c r="AE1786" s="1">
        <v>54.99</v>
      </c>
      <c r="AG1786" s="3" t="str">
        <f>"2000006154005573"</f>
        <v>2000006154005573</v>
      </c>
      <c r="AH1786" s="1" t="s">
        <v>58</v>
      </c>
      <c r="AI1786" s="1" t="s">
        <v>59</v>
      </c>
      <c r="AJ1786" s="1" t="s">
        <v>59</v>
      </c>
      <c r="AK1786" s="1" t="s">
        <v>60</v>
      </c>
      <c r="AL1786" s="1" t="s">
        <v>60</v>
      </c>
      <c r="AW1786" s="1" t="s">
        <v>110</v>
      </c>
      <c r="AY1786" s="1">
        <v>1.0</v>
      </c>
      <c r="AZ1786" s="1">
        <v>54.99</v>
      </c>
      <c r="BB1786" s="1">
        <v>54.99</v>
      </c>
    </row>
    <row r="1787">
      <c r="A1787" s="1" t="s">
        <v>2886</v>
      </c>
      <c r="C1787" s="1" t="s">
        <v>56</v>
      </c>
      <c r="D1787" s="1" t="s">
        <v>2887</v>
      </c>
      <c r="Y1787" s="2">
        <v>45514.0</v>
      </c>
      <c r="AE1787" s="1">
        <v>389.99</v>
      </c>
      <c r="AG1787" s="3" t="str">
        <f>"2000008997896420"</f>
        <v>2000008997896420</v>
      </c>
      <c r="AH1787" s="1" t="s">
        <v>58</v>
      </c>
      <c r="AI1787" s="1" t="s">
        <v>59</v>
      </c>
      <c r="AJ1787" s="1" t="s">
        <v>59</v>
      </c>
      <c r="AK1787" s="1" t="s">
        <v>60</v>
      </c>
      <c r="AL1787" s="1" t="s">
        <v>60</v>
      </c>
      <c r="AW1787" s="1" t="s">
        <v>2888</v>
      </c>
      <c r="AY1787" s="1">
        <v>1.0</v>
      </c>
      <c r="AZ1787" s="1">
        <v>389.99</v>
      </c>
      <c r="BB1787" s="1">
        <v>389.99</v>
      </c>
    </row>
    <row r="1788">
      <c r="A1788" s="1" t="s">
        <v>1318</v>
      </c>
      <c r="C1788" s="1" t="s">
        <v>235</v>
      </c>
      <c r="D1788" s="1" t="s">
        <v>2889</v>
      </c>
      <c r="Y1788" s="2">
        <v>45514.0</v>
      </c>
      <c r="AE1788" s="1">
        <v>64.99</v>
      </c>
      <c r="AG1788" s="3" t="str">
        <f>"2000006162335129"</f>
        <v>2000006162335129</v>
      </c>
      <c r="AH1788" s="1" t="s">
        <v>58</v>
      </c>
      <c r="AI1788" s="1" t="s">
        <v>59</v>
      </c>
      <c r="AJ1788" s="1" t="s">
        <v>59</v>
      </c>
      <c r="AK1788" s="1" t="s">
        <v>60</v>
      </c>
      <c r="AL1788" s="1" t="s">
        <v>60</v>
      </c>
      <c r="AW1788" s="1" t="s">
        <v>1320</v>
      </c>
      <c r="AY1788" s="1">
        <v>1.0</v>
      </c>
      <c r="AZ1788" s="1">
        <v>64.99</v>
      </c>
      <c r="BB1788" s="1">
        <v>64.99</v>
      </c>
    </row>
    <row r="1789">
      <c r="A1789" s="1" t="s">
        <v>1031</v>
      </c>
      <c r="C1789" s="1" t="s">
        <v>56</v>
      </c>
      <c r="D1789" s="1" t="s">
        <v>2890</v>
      </c>
      <c r="Y1789" s="2">
        <v>45514.0</v>
      </c>
      <c r="AE1789" s="1">
        <v>69.99</v>
      </c>
      <c r="AG1789" s="3" t="str">
        <f>"2000006153981257"</f>
        <v>2000006153981257</v>
      </c>
      <c r="AH1789" s="1" t="s">
        <v>58</v>
      </c>
      <c r="AI1789" s="1" t="s">
        <v>59</v>
      </c>
      <c r="AJ1789" s="1" t="s">
        <v>59</v>
      </c>
      <c r="AK1789" s="1" t="s">
        <v>60</v>
      </c>
      <c r="AL1789" s="1" t="s">
        <v>60</v>
      </c>
      <c r="AW1789" s="1" t="s">
        <v>1033</v>
      </c>
      <c r="AY1789" s="1">
        <v>1.0</v>
      </c>
      <c r="AZ1789" s="1">
        <v>69.99</v>
      </c>
      <c r="BB1789" s="1">
        <v>69.99</v>
      </c>
    </row>
    <row r="1790">
      <c r="A1790" s="1" t="s">
        <v>880</v>
      </c>
      <c r="C1790" s="1" t="s">
        <v>56</v>
      </c>
      <c r="D1790" s="1" t="s">
        <v>2891</v>
      </c>
      <c r="Y1790" s="2">
        <v>45514.0</v>
      </c>
      <c r="AE1790" s="1">
        <v>99.99</v>
      </c>
      <c r="AG1790" s="3" t="str">
        <f>"2000006153976697"</f>
        <v>2000006153976697</v>
      </c>
      <c r="AH1790" s="1" t="s">
        <v>58</v>
      </c>
      <c r="AI1790" s="1" t="s">
        <v>59</v>
      </c>
      <c r="AJ1790" s="1" t="s">
        <v>59</v>
      </c>
      <c r="AK1790" s="1" t="s">
        <v>60</v>
      </c>
      <c r="AL1790" s="1" t="s">
        <v>60</v>
      </c>
      <c r="AW1790" s="1" t="s">
        <v>882</v>
      </c>
      <c r="AY1790" s="1">
        <v>1.0</v>
      </c>
      <c r="AZ1790" s="1">
        <v>99.99</v>
      </c>
      <c r="BB1790" s="1">
        <v>99.99</v>
      </c>
    </row>
    <row r="1791">
      <c r="A1791" s="1" t="s">
        <v>1844</v>
      </c>
      <c r="C1791" s="1" t="s">
        <v>56</v>
      </c>
      <c r="D1791" s="1" t="s">
        <v>2892</v>
      </c>
      <c r="Y1791" s="2">
        <v>45514.0</v>
      </c>
      <c r="AE1791" s="1">
        <v>54.99</v>
      </c>
      <c r="AG1791" s="3" t="str">
        <f>"2000006153973853"</f>
        <v>2000006153973853</v>
      </c>
      <c r="AH1791" s="1" t="s">
        <v>58</v>
      </c>
      <c r="AI1791" s="1" t="s">
        <v>59</v>
      </c>
      <c r="AJ1791" s="1" t="s">
        <v>59</v>
      </c>
      <c r="AK1791" s="1" t="s">
        <v>60</v>
      </c>
      <c r="AL1791" s="1" t="s">
        <v>60</v>
      </c>
      <c r="AW1791" s="1" t="s">
        <v>1846</v>
      </c>
      <c r="AY1791" s="1">
        <v>1.0</v>
      </c>
      <c r="AZ1791" s="1">
        <v>54.99</v>
      </c>
      <c r="BB1791" s="1">
        <v>54.99</v>
      </c>
    </row>
    <row r="1792">
      <c r="A1792" s="1" t="s">
        <v>1316</v>
      </c>
      <c r="C1792" s="1" t="s">
        <v>56</v>
      </c>
      <c r="D1792" s="1" t="s">
        <v>2893</v>
      </c>
      <c r="Y1792" s="2">
        <v>45514.0</v>
      </c>
      <c r="AE1792" s="1">
        <v>45.99</v>
      </c>
      <c r="AG1792" s="3" t="str">
        <f>"2000006153959841"</f>
        <v>2000006153959841</v>
      </c>
      <c r="AH1792" s="1" t="s">
        <v>58</v>
      </c>
      <c r="AI1792" s="1" t="s">
        <v>59</v>
      </c>
      <c r="AJ1792" s="1" t="s">
        <v>59</v>
      </c>
      <c r="AK1792" s="1" t="s">
        <v>60</v>
      </c>
      <c r="AL1792" s="1" t="s">
        <v>60</v>
      </c>
      <c r="AW1792" s="1" t="s">
        <v>100</v>
      </c>
      <c r="AY1792" s="1">
        <v>1.0</v>
      </c>
      <c r="AZ1792" s="1">
        <v>45.99</v>
      </c>
      <c r="BB1792" s="1">
        <v>45.99</v>
      </c>
    </row>
    <row r="1793">
      <c r="A1793" s="1" t="s">
        <v>2894</v>
      </c>
      <c r="C1793" s="1" t="s">
        <v>56</v>
      </c>
      <c r="D1793" s="1" t="s">
        <v>2895</v>
      </c>
      <c r="Y1793" s="2">
        <v>45514.0</v>
      </c>
      <c r="AE1793" s="1">
        <v>64.99</v>
      </c>
      <c r="AG1793" s="3" t="str">
        <f>"2000006153950051"</f>
        <v>2000006153950051</v>
      </c>
      <c r="AH1793" s="1" t="s">
        <v>58</v>
      </c>
      <c r="AI1793" s="1" t="s">
        <v>59</v>
      </c>
      <c r="AJ1793" s="1" t="s">
        <v>59</v>
      </c>
      <c r="AK1793" s="1" t="s">
        <v>60</v>
      </c>
      <c r="AL1793" s="1" t="s">
        <v>60</v>
      </c>
      <c r="AW1793" s="1" t="s">
        <v>905</v>
      </c>
      <c r="AY1793" s="1">
        <v>1.0</v>
      </c>
      <c r="AZ1793" s="1">
        <v>64.99</v>
      </c>
      <c r="BB1793" s="1">
        <v>64.99</v>
      </c>
    </row>
    <row r="1794">
      <c r="A1794" s="1" t="s">
        <v>438</v>
      </c>
      <c r="C1794" s="1" t="s">
        <v>56</v>
      </c>
      <c r="D1794" s="1" t="s">
        <v>2896</v>
      </c>
      <c r="Y1794" s="2">
        <v>45514.0</v>
      </c>
      <c r="AE1794" s="1">
        <v>64.99</v>
      </c>
      <c r="AG1794" s="3" t="str">
        <f>"2000006153926341"</f>
        <v>2000006153926341</v>
      </c>
      <c r="AH1794" s="1" t="s">
        <v>58</v>
      </c>
      <c r="AI1794" s="1" t="s">
        <v>59</v>
      </c>
      <c r="AJ1794" s="1" t="s">
        <v>59</v>
      </c>
      <c r="AK1794" s="1" t="s">
        <v>60</v>
      </c>
      <c r="AL1794" s="1" t="s">
        <v>60</v>
      </c>
      <c r="AW1794" s="1" t="s">
        <v>440</v>
      </c>
      <c r="AY1794" s="1">
        <v>1.0</v>
      </c>
      <c r="AZ1794" s="1">
        <v>64.99</v>
      </c>
      <c r="BB1794" s="1">
        <v>64.99</v>
      </c>
    </row>
    <row r="1795">
      <c r="A1795" s="1" t="s">
        <v>175</v>
      </c>
      <c r="C1795" s="1" t="s">
        <v>56</v>
      </c>
      <c r="D1795" s="1" t="s">
        <v>2897</v>
      </c>
      <c r="Y1795" s="2">
        <v>45514.0</v>
      </c>
      <c r="AE1795" s="1">
        <v>199.99</v>
      </c>
      <c r="AG1795" s="3" t="str">
        <f>"2000006153920383"</f>
        <v>2000006153920383</v>
      </c>
      <c r="AH1795" s="1" t="s">
        <v>58</v>
      </c>
      <c r="AI1795" s="1" t="s">
        <v>59</v>
      </c>
      <c r="AJ1795" s="1" t="s">
        <v>59</v>
      </c>
      <c r="AK1795" s="1" t="s">
        <v>60</v>
      </c>
      <c r="AL1795" s="1" t="s">
        <v>60</v>
      </c>
      <c r="AW1795" s="1" t="s">
        <v>177</v>
      </c>
      <c r="AY1795" s="1">
        <v>1.0</v>
      </c>
      <c r="AZ1795" s="1">
        <v>199.99</v>
      </c>
      <c r="BB1795" s="1">
        <v>199.99</v>
      </c>
    </row>
    <row r="1796">
      <c r="A1796" s="1" t="s">
        <v>1324</v>
      </c>
      <c r="C1796" s="1" t="s">
        <v>56</v>
      </c>
      <c r="D1796" s="1" t="s">
        <v>2898</v>
      </c>
      <c r="Y1796" s="2">
        <v>45514.0</v>
      </c>
      <c r="AE1796" s="1">
        <v>36.68</v>
      </c>
      <c r="AG1796" s="3" t="str">
        <f>"2000006153903359"</f>
        <v>2000006153903359</v>
      </c>
      <c r="AH1796" s="1" t="s">
        <v>58</v>
      </c>
      <c r="AI1796" s="1" t="s">
        <v>59</v>
      </c>
      <c r="AJ1796" s="1" t="s">
        <v>59</v>
      </c>
      <c r="AK1796" s="1" t="s">
        <v>60</v>
      </c>
      <c r="AL1796" s="1" t="s">
        <v>60</v>
      </c>
      <c r="AW1796" s="1" t="s">
        <v>923</v>
      </c>
      <c r="AY1796" s="1">
        <v>1.0</v>
      </c>
      <c r="AZ1796" s="1">
        <v>36.68</v>
      </c>
      <c r="BB1796" s="1">
        <v>36.68</v>
      </c>
    </row>
    <row r="1797">
      <c r="A1797" s="1" t="s">
        <v>2876</v>
      </c>
      <c r="C1797" s="1" t="s">
        <v>56</v>
      </c>
      <c r="D1797" s="1" t="s">
        <v>2899</v>
      </c>
      <c r="Y1797" s="2">
        <v>45514.0</v>
      </c>
      <c r="AE1797" s="1">
        <v>59.99</v>
      </c>
      <c r="AG1797" s="3" t="str">
        <f t="shared" ref="AG1797:AG1798" si="72">"2000006153891651"</f>
        <v>2000006153891651</v>
      </c>
      <c r="AH1797" s="1" t="s">
        <v>58</v>
      </c>
      <c r="AI1797" s="1" t="s">
        <v>59</v>
      </c>
      <c r="AJ1797" s="1" t="s">
        <v>59</v>
      </c>
      <c r="AK1797" s="1" t="s">
        <v>60</v>
      </c>
      <c r="AL1797" s="1" t="s">
        <v>60</v>
      </c>
      <c r="AW1797" s="1" t="s">
        <v>2878</v>
      </c>
      <c r="AY1797" s="1">
        <v>1.0</v>
      </c>
      <c r="AZ1797" s="1">
        <v>59.99</v>
      </c>
      <c r="BB1797" s="1">
        <v>59.99</v>
      </c>
    </row>
    <row r="1798">
      <c r="A1798" s="1" t="s">
        <v>185</v>
      </c>
      <c r="C1798" s="1" t="s">
        <v>56</v>
      </c>
      <c r="D1798" s="1" t="s">
        <v>2899</v>
      </c>
      <c r="Y1798" s="2">
        <v>45514.0</v>
      </c>
      <c r="AE1798" s="1">
        <v>124.99</v>
      </c>
      <c r="AG1798" s="3" t="str">
        <f t="shared" si="72"/>
        <v>2000006153891651</v>
      </c>
      <c r="AH1798" s="1" t="s">
        <v>58</v>
      </c>
      <c r="AI1798" s="1" t="s">
        <v>59</v>
      </c>
      <c r="AJ1798" s="1" t="s">
        <v>59</v>
      </c>
      <c r="AK1798" s="1" t="s">
        <v>60</v>
      </c>
      <c r="AL1798" s="1" t="s">
        <v>60</v>
      </c>
      <c r="AW1798" s="1" t="s">
        <v>187</v>
      </c>
      <c r="AY1798" s="1">
        <v>1.0</v>
      </c>
      <c r="AZ1798" s="1">
        <v>124.99</v>
      </c>
      <c r="BB1798" s="1">
        <v>124.99</v>
      </c>
    </row>
    <row r="1799">
      <c r="A1799" s="1" t="s">
        <v>556</v>
      </c>
      <c r="C1799" s="1" t="s">
        <v>56</v>
      </c>
      <c r="D1799" s="1" t="s">
        <v>2900</v>
      </c>
      <c r="Y1799" s="2">
        <v>45514.0</v>
      </c>
      <c r="AE1799" s="1">
        <v>59.99</v>
      </c>
      <c r="AG1799" s="3" t="str">
        <f>"2000006153849853"</f>
        <v>2000006153849853</v>
      </c>
      <c r="AH1799" s="1" t="s">
        <v>58</v>
      </c>
      <c r="AI1799" s="1" t="s">
        <v>59</v>
      </c>
      <c r="AJ1799" s="1" t="s">
        <v>59</v>
      </c>
      <c r="AK1799" s="1" t="s">
        <v>60</v>
      </c>
      <c r="AL1799" s="1" t="s">
        <v>60</v>
      </c>
      <c r="AW1799" s="1" t="s">
        <v>558</v>
      </c>
      <c r="AY1799" s="1">
        <v>1.0</v>
      </c>
      <c r="AZ1799" s="1">
        <v>59.99</v>
      </c>
      <c r="BB1799" s="1">
        <v>59.99</v>
      </c>
    </row>
    <row r="1800">
      <c r="A1800" s="1" t="s">
        <v>329</v>
      </c>
      <c r="C1800" s="1" t="s">
        <v>56</v>
      </c>
      <c r="D1800" s="1" t="s">
        <v>2901</v>
      </c>
      <c r="Y1800" s="2">
        <v>45514.0</v>
      </c>
      <c r="AE1800" s="1">
        <v>429.99</v>
      </c>
      <c r="AG1800" s="3" t="str">
        <f>"2000006153829617"</f>
        <v>2000006153829617</v>
      </c>
      <c r="AH1800" s="1" t="s">
        <v>58</v>
      </c>
      <c r="AI1800" s="1" t="s">
        <v>59</v>
      </c>
      <c r="AJ1800" s="1" t="s">
        <v>59</v>
      </c>
      <c r="AK1800" s="1" t="s">
        <v>60</v>
      </c>
      <c r="AL1800" s="1" t="s">
        <v>60</v>
      </c>
      <c r="AW1800" s="1" t="s">
        <v>331</v>
      </c>
      <c r="AY1800" s="1">
        <v>1.0</v>
      </c>
      <c r="AZ1800" s="1">
        <v>429.99</v>
      </c>
      <c r="BB1800" s="1">
        <v>429.99</v>
      </c>
    </row>
    <row r="1801">
      <c r="A1801" s="1" t="s">
        <v>474</v>
      </c>
      <c r="C1801" s="1" t="s">
        <v>235</v>
      </c>
      <c r="D1801" s="1" t="s">
        <v>2902</v>
      </c>
      <c r="Y1801" s="2">
        <v>45513.0</v>
      </c>
      <c r="AE1801" s="1">
        <v>159.99</v>
      </c>
      <c r="AG1801" s="3" t="str">
        <f>"2000006153835611"</f>
        <v>2000006153835611</v>
      </c>
      <c r="AH1801" s="1" t="s">
        <v>58</v>
      </c>
      <c r="AI1801" s="1" t="s">
        <v>59</v>
      </c>
      <c r="AJ1801" s="1" t="s">
        <v>59</v>
      </c>
      <c r="AK1801" s="1" t="s">
        <v>60</v>
      </c>
      <c r="AL1801" s="1" t="s">
        <v>60</v>
      </c>
      <c r="AW1801" s="1" t="s">
        <v>476</v>
      </c>
      <c r="AY1801" s="1">
        <v>1.0</v>
      </c>
      <c r="AZ1801" s="1">
        <v>159.99</v>
      </c>
      <c r="BB1801" s="1">
        <v>159.99</v>
      </c>
    </row>
    <row r="1802">
      <c r="A1802" s="1" t="s">
        <v>2106</v>
      </c>
      <c r="C1802" s="1" t="s">
        <v>56</v>
      </c>
      <c r="D1802" s="1" t="s">
        <v>2903</v>
      </c>
      <c r="Y1802" s="2">
        <v>45513.0</v>
      </c>
      <c r="AE1802" s="1">
        <v>129.99</v>
      </c>
      <c r="AG1802" s="3" t="str">
        <f>"2000006153775999"</f>
        <v>2000006153775999</v>
      </c>
      <c r="AH1802" s="1" t="s">
        <v>58</v>
      </c>
      <c r="AI1802" s="1" t="s">
        <v>59</v>
      </c>
      <c r="AJ1802" s="1" t="s">
        <v>59</v>
      </c>
      <c r="AK1802" s="1" t="s">
        <v>60</v>
      </c>
      <c r="AL1802" s="1" t="s">
        <v>60</v>
      </c>
      <c r="AW1802" s="1" t="s">
        <v>763</v>
      </c>
      <c r="AY1802" s="1">
        <v>1.0</v>
      </c>
      <c r="AZ1802" s="1">
        <v>129.99</v>
      </c>
      <c r="BB1802" s="1">
        <v>129.99</v>
      </c>
    </row>
    <row r="1803">
      <c r="A1803" s="1" t="s">
        <v>1360</v>
      </c>
      <c r="C1803" s="1" t="s">
        <v>56</v>
      </c>
      <c r="D1803" s="1" t="s">
        <v>2904</v>
      </c>
      <c r="Y1803" s="2">
        <v>45513.0</v>
      </c>
      <c r="AE1803" s="1">
        <v>499.99</v>
      </c>
      <c r="AG1803" s="3" t="str">
        <f>"2000008997616926"</f>
        <v>2000008997616926</v>
      </c>
      <c r="AH1803" s="1" t="s">
        <v>58</v>
      </c>
      <c r="AI1803" s="1" t="s">
        <v>59</v>
      </c>
      <c r="AJ1803" s="1" t="s">
        <v>59</v>
      </c>
      <c r="AK1803" s="1" t="s">
        <v>60</v>
      </c>
      <c r="AL1803" s="1" t="s">
        <v>60</v>
      </c>
      <c r="AW1803" s="1" t="s">
        <v>1362</v>
      </c>
      <c r="AY1803" s="1">
        <v>1.0</v>
      </c>
      <c r="AZ1803" s="1">
        <v>499.99</v>
      </c>
      <c r="BB1803" s="1">
        <v>499.99</v>
      </c>
    </row>
    <row r="1804">
      <c r="A1804" s="1" t="s">
        <v>2582</v>
      </c>
      <c r="C1804" s="1" t="s">
        <v>56</v>
      </c>
      <c r="D1804" s="1" t="s">
        <v>2905</v>
      </c>
      <c r="Y1804" s="2">
        <v>45513.0</v>
      </c>
      <c r="AE1804" s="1">
        <v>109.99</v>
      </c>
      <c r="AG1804" s="3" t="str">
        <f>"2000006153822359"</f>
        <v>2000006153822359</v>
      </c>
      <c r="AH1804" s="1" t="s">
        <v>58</v>
      </c>
      <c r="AI1804" s="1" t="s">
        <v>59</v>
      </c>
      <c r="AJ1804" s="1" t="s">
        <v>59</v>
      </c>
      <c r="AK1804" s="1" t="s">
        <v>60</v>
      </c>
      <c r="AL1804" s="1" t="s">
        <v>60</v>
      </c>
      <c r="AW1804" s="1" t="s">
        <v>2584</v>
      </c>
      <c r="AY1804" s="1">
        <v>1.0</v>
      </c>
      <c r="AZ1804" s="1">
        <v>109.99</v>
      </c>
      <c r="BB1804" s="1">
        <v>109.99</v>
      </c>
    </row>
    <row r="1805">
      <c r="A1805" s="1" t="s">
        <v>709</v>
      </c>
      <c r="C1805" s="1" t="s">
        <v>56</v>
      </c>
      <c r="D1805" s="1" t="s">
        <v>2906</v>
      </c>
      <c r="Y1805" s="2">
        <v>45513.0</v>
      </c>
      <c r="AE1805" s="1">
        <v>479.99</v>
      </c>
      <c r="AG1805" s="3" t="str">
        <f>"2000006153817227"</f>
        <v>2000006153817227</v>
      </c>
      <c r="AH1805" s="1" t="s">
        <v>58</v>
      </c>
      <c r="AI1805" s="1" t="s">
        <v>59</v>
      </c>
      <c r="AJ1805" s="1" t="s">
        <v>59</v>
      </c>
      <c r="AK1805" s="1" t="s">
        <v>60</v>
      </c>
      <c r="AL1805" s="1" t="s">
        <v>60</v>
      </c>
      <c r="AW1805" s="1" t="s">
        <v>711</v>
      </c>
      <c r="AY1805" s="1">
        <v>1.0</v>
      </c>
      <c r="AZ1805" s="1">
        <v>479.99</v>
      </c>
      <c r="BB1805" s="1">
        <v>479.99</v>
      </c>
    </row>
    <row r="1806">
      <c r="A1806" s="1" t="s">
        <v>428</v>
      </c>
      <c r="C1806" s="1" t="s">
        <v>56</v>
      </c>
      <c r="D1806" s="1" t="s">
        <v>2907</v>
      </c>
      <c r="Y1806" s="2">
        <v>45513.0</v>
      </c>
      <c r="AE1806" s="1">
        <v>279.99</v>
      </c>
      <c r="AG1806" s="3" t="str">
        <f>"2000006153803569"</f>
        <v>2000006153803569</v>
      </c>
      <c r="AH1806" s="1" t="s">
        <v>58</v>
      </c>
      <c r="AI1806" s="1" t="s">
        <v>59</v>
      </c>
      <c r="AJ1806" s="1" t="s">
        <v>59</v>
      </c>
      <c r="AK1806" s="1" t="s">
        <v>60</v>
      </c>
      <c r="AL1806" s="1" t="s">
        <v>60</v>
      </c>
      <c r="AW1806" s="1" t="s">
        <v>430</v>
      </c>
      <c r="AY1806" s="1">
        <v>1.0</v>
      </c>
      <c r="AZ1806" s="1">
        <v>279.99</v>
      </c>
      <c r="BB1806" s="1">
        <v>279.99</v>
      </c>
    </row>
    <row r="1807">
      <c r="A1807" s="1" t="s">
        <v>2908</v>
      </c>
      <c r="C1807" s="1" t="s">
        <v>56</v>
      </c>
      <c r="D1807" s="1" t="s">
        <v>2909</v>
      </c>
      <c r="Y1807" s="2">
        <v>45513.0</v>
      </c>
      <c r="AE1807" s="1">
        <v>289.99</v>
      </c>
      <c r="AG1807" s="3" t="str">
        <f>"2000006153796145"</f>
        <v>2000006153796145</v>
      </c>
      <c r="AH1807" s="1" t="s">
        <v>58</v>
      </c>
      <c r="AI1807" s="1" t="s">
        <v>59</v>
      </c>
      <c r="AJ1807" s="1" t="s">
        <v>59</v>
      </c>
      <c r="AK1807" s="1" t="s">
        <v>60</v>
      </c>
      <c r="AL1807" s="1" t="s">
        <v>60</v>
      </c>
      <c r="AW1807" s="1" t="s">
        <v>2910</v>
      </c>
      <c r="AY1807" s="1">
        <v>1.0</v>
      </c>
      <c r="AZ1807" s="1">
        <v>289.99</v>
      </c>
      <c r="BB1807" s="1">
        <v>289.99</v>
      </c>
    </row>
    <row r="1808">
      <c r="A1808" s="1" t="s">
        <v>163</v>
      </c>
      <c r="C1808" s="1" t="s">
        <v>56</v>
      </c>
      <c r="D1808" s="1" t="s">
        <v>2911</v>
      </c>
      <c r="Y1808" s="2">
        <v>45513.0</v>
      </c>
      <c r="AE1808" s="1">
        <v>59.99</v>
      </c>
      <c r="AG1808" s="3" t="str">
        <f>"2000006153793007"</f>
        <v>2000006153793007</v>
      </c>
      <c r="AH1808" s="1" t="s">
        <v>58</v>
      </c>
      <c r="AI1808" s="1" t="s">
        <v>59</v>
      </c>
      <c r="AJ1808" s="1" t="s">
        <v>59</v>
      </c>
      <c r="AK1808" s="1" t="s">
        <v>60</v>
      </c>
      <c r="AL1808" s="1" t="s">
        <v>60</v>
      </c>
      <c r="AW1808" s="1" t="s">
        <v>165</v>
      </c>
      <c r="AY1808" s="1">
        <v>1.0</v>
      </c>
      <c r="AZ1808" s="1">
        <v>59.99</v>
      </c>
      <c r="BB1808" s="1">
        <v>59.99</v>
      </c>
    </row>
    <row r="1809">
      <c r="A1809" s="1" t="s">
        <v>345</v>
      </c>
      <c r="C1809" s="1" t="s">
        <v>56</v>
      </c>
      <c r="D1809" s="1" t="s">
        <v>2912</v>
      </c>
      <c r="Y1809" s="2">
        <v>45513.0</v>
      </c>
      <c r="AE1809" s="1">
        <v>164.99</v>
      </c>
      <c r="AG1809" s="3" t="str">
        <f>"2000006153751509"</f>
        <v>2000006153751509</v>
      </c>
      <c r="AH1809" s="1" t="s">
        <v>58</v>
      </c>
      <c r="AI1809" s="1" t="s">
        <v>59</v>
      </c>
      <c r="AJ1809" s="1" t="s">
        <v>59</v>
      </c>
      <c r="AK1809" s="1" t="s">
        <v>60</v>
      </c>
      <c r="AL1809" s="1" t="s">
        <v>60</v>
      </c>
      <c r="AW1809" s="1" t="s">
        <v>347</v>
      </c>
      <c r="AY1809" s="1">
        <v>1.0</v>
      </c>
      <c r="AZ1809" s="1">
        <v>164.99</v>
      </c>
      <c r="BB1809" s="1">
        <v>164.99</v>
      </c>
    </row>
    <row r="1810">
      <c r="A1810" s="1" t="s">
        <v>2913</v>
      </c>
      <c r="C1810" s="1" t="s">
        <v>56</v>
      </c>
      <c r="D1810" s="1" t="s">
        <v>2914</v>
      </c>
      <c r="Y1810" s="2">
        <v>45513.0</v>
      </c>
      <c r="AE1810" s="1">
        <v>89.99</v>
      </c>
      <c r="AG1810" s="3" t="str">
        <f>"2000006153747951"</f>
        <v>2000006153747951</v>
      </c>
      <c r="AH1810" s="1" t="s">
        <v>58</v>
      </c>
      <c r="AI1810" s="1" t="s">
        <v>59</v>
      </c>
      <c r="AJ1810" s="1" t="s">
        <v>59</v>
      </c>
      <c r="AK1810" s="1" t="s">
        <v>60</v>
      </c>
      <c r="AL1810" s="1" t="s">
        <v>60</v>
      </c>
      <c r="AW1810" s="1" t="s">
        <v>2915</v>
      </c>
      <c r="AY1810" s="1">
        <v>1.0</v>
      </c>
      <c r="AZ1810" s="1">
        <v>89.99</v>
      </c>
      <c r="BB1810" s="1">
        <v>89.99</v>
      </c>
    </row>
    <row r="1811">
      <c r="A1811" s="1" t="s">
        <v>602</v>
      </c>
      <c r="C1811" s="1" t="s">
        <v>235</v>
      </c>
      <c r="D1811" s="1" t="s">
        <v>2610</v>
      </c>
      <c r="Y1811" s="2">
        <v>45513.0</v>
      </c>
      <c r="AE1811" s="1">
        <v>84.99</v>
      </c>
      <c r="AG1811" s="3" t="str">
        <f>"2000006153710833"</f>
        <v>2000006153710833</v>
      </c>
      <c r="AH1811" s="1" t="s">
        <v>58</v>
      </c>
      <c r="AI1811" s="1" t="s">
        <v>59</v>
      </c>
      <c r="AJ1811" s="1" t="s">
        <v>59</v>
      </c>
      <c r="AK1811" s="1" t="s">
        <v>60</v>
      </c>
      <c r="AL1811" s="1" t="s">
        <v>60</v>
      </c>
      <c r="AW1811" s="1" t="s">
        <v>604</v>
      </c>
      <c r="AY1811" s="1">
        <v>1.0</v>
      </c>
      <c r="AZ1811" s="1">
        <v>84.99</v>
      </c>
      <c r="BB1811" s="1">
        <v>84.99</v>
      </c>
    </row>
    <row r="1812">
      <c r="A1812" s="1" t="s">
        <v>567</v>
      </c>
      <c r="C1812" s="1" t="s">
        <v>56</v>
      </c>
      <c r="D1812" s="1" t="s">
        <v>2916</v>
      </c>
      <c r="Y1812" s="2">
        <v>45513.0</v>
      </c>
      <c r="AE1812" s="1">
        <v>44.99</v>
      </c>
      <c r="AG1812" s="3" t="str">
        <f>"2000006153720753"</f>
        <v>2000006153720753</v>
      </c>
      <c r="AH1812" s="1" t="s">
        <v>58</v>
      </c>
      <c r="AI1812" s="1" t="s">
        <v>59</v>
      </c>
      <c r="AJ1812" s="1" t="s">
        <v>59</v>
      </c>
      <c r="AK1812" s="1" t="s">
        <v>60</v>
      </c>
      <c r="AL1812" s="1" t="s">
        <v>60</v>
      </c>
      <c r="AW1812" s="1" t="s">
        <v>569</v>
      </c>
      <c r="AY1812" s="1">
        <v>1.0</v>
      </c>
      <c r="AZ1812" s="1">
        <v>44.99</v>
      </c>
      <c r="BB1812" s="1">
        <v>44.99</v>
      </c>
    </row>
    <row r="1813">
      <c r="A1813" s="1" t="s">
        <v>1336</v>
      </c>
      <c r="C1813" s="1" t="s">
        <v>56</v>
      </c>
      <c r="D1813" s="1" t="s">
        <v>2917</v>
      </c>
      <c r="Y1813" s="2">
        <v>45513.0</v>
      </c>
      <c r="AE1813" s="1">
        <v>149.97</v>
      </c>
      <c r="AG1813" s="3" t="str">
        <f>"2000006153692605"</f>
        <v>2000006153692605</v>
      </c>
      <c r="AH1813" s="1" t="s">
        <v>58</v>
      </c>
      <c r="AI1813" s="1" t="s">
        <v>59</v>
      </c>
      <c r="AJ1813" s="1" t="s">
        <v>59</v>
      </c>
      <c r="AK1813" s="1" t="s">
        <v>60</v>
      </c>
      <c r="AL1813" s="1" t="s">
        <v>60</v>
      </c>
      <c r="AW1813" s="1" t="s">
        <v>1338</v>
      </c>
      <c r="AY1813" s="1">
        <v>3.0</v>
      </c>
      <c r="AZ1813" s="1">
        <v>49.99</v>
      </c>
      <c r="BB1813" s="1">
        <v>149.97</v>
      </c>
    </row>
    <row r="1814">
      <c r="A1814" s="1" t="s">
        <v>2008</v>
      </c>
      <c r="C1814" s="1" t="s">
        <v>56</v>
      </c>
      <c r="D1814" s="1" t="s">
        <v>2918</v>
      </c>
      <c r="Y1814" s="2">
        <v>45513.0</v>
      </c>
      <c r="AE1814" s="1">
        <v>109.99</v>
      </c>
      <c r="AG1814" s="3" t="str">
        <f>"2000006153681661"</f>
        <v>2000006153681661</v>
      </c>
      <c r="AH1814" s="1" t="s">
        <v>58</v>
      </c>
      <c r="AI1814" s="1" t="s">
        <v>59</v>
      </c>
      <c r="AJ1814" s="1" t="s">
        <v>59</v>
      </c>
      <c r="AK1814" s="1" t="s">
        <v>60</v>
      </c>
      <c r="AL1814" s="1" t="s">
        <v>60</v>
      </c>
      <c r="AW1814" s="1" t="s">
        <v>2010</v>
      </c>
      <c r="AY1814" s="1">
        <v>1.0</v>
      </c>
      <c r="AZ1814" s="1">
        <v>109.99</v>
      </c>
      <c r="BB1814" s="1">
        <v>109.99</v>
      </c>
    </row>
    <row r="1815">
      <c r="A1815" s="1" t="s">
        <v>428</v>
      </c>
      <c r="C1815" s="1" t="s">
        <v>56</v>
      </c>
      <c r="D1815" s="1" t="s">
        <v>2919</v>
      </c>
      <c r="Y1815" s="2">
        <v>45513.0</v>
      </c>
      <c r="AE1815" s="1">
        <v>279.99</v>
      </c>
      <c r="AG1815" s="3" t="str">
        <f>"2000008996987192"</f>
        <v>2000008996987192</v>
      </c>
      <c r="AH1815" s="1" t="s">
        <v>58</v>
      </c>
      <c r="AI1815" s="1" t="s">
        <v>59</v>
      </c>
      <c r="AJ1815" s="1" t="s">
        <v>59</v>
      </c>
      <c r="AK1815" s="1" t="s">
        <v>60</v>
      </c>
      <c r="AL1815" s="1" t="s">
        <v>60</v>
      </c>
      <c r="AW1815" s="1" t="s">
        <v>430</v>
      </c>
      <c r="AY1815" s="1">
        <v>1.0</v>
      </c>
      <c r="AZ1815" s="1">
        <v>279.99</v>
      </c>
      <c r="BB1815" s="1">
        <v>279.99</v>
      </c>
    </row>
    <row r="1816">
      <c r="A1816" s="1" t="s">
        <v>567</v>
      </c>
      <c r="C1816" s="1" t="s">
        <v>235</v>
      </c>
      <c r="D1816" s="1" t="s">
        <v>2916</v>
      </c>
      <c r="Y1816" s="2">
        <v>45513.0</v>
      </c>
      <c r="AE1816" s="1">
        <v>44.99</v>
      </c>
      <c r="AG1816" s="3" t="str">
        <f>"2000006153673367"</f>
        <v>2000006153673367</v>
      </c>
      <c r="AH1816" s="1" t="s">
        <v>58</v>
      </c>
      <c r="AI1816" s="1" t="s">
        <v>59</v>
      </c>
      <c r="AJ1816" s="1" t="s">
        <v>59</v>
      </c>
      <c r="AK1816" s="1" t="s">
        <v>60</v>
      </c>
      <c r="AL1816" s="1" t="s">
        <v>60</v>
      </c>
      <c r="AW1816" s="1" t="s">
        <v>569</v>
      </c>
      <c r="AY1816" s="1">
        <v>1.0</v>
      </c>
      <c r="AZ1816" s="1">
        <v>44.99</v>
      </c>
      <c r="BB1816" s="1">
        <v>44.99</v>
      </c>
    </row>
    <row r="1817">
      <c r="A1817" s="1" t="s">
        <v>652</v>
      </c>
      <c r="C1817" s="1" t="s">
        <v>56</v>
      </c>
      <c r="D1817" s="1" t="s">
        <v>2920</v>
      </c>
      <c r="Y1817" s="2">
        <v>45513.0</v>
      </c>
      <c r="AE1817" s="1">
        <v>64.99</v>
      </c>
      <c r="AG1817" s="3" t="str">
        <f>"2000006153594021"</f>
        <v>2000006153594021</v>
      </c>
      <c r="AH1817" s="1" t="s">
        <v>58</v>
      </c>
      <c r="AI1817" s="1" t="s">
        <v>59</v>
      </c>
      <c r="AJ1817" s="1" t="s">
        <v>59</v>
      </c>
      <c r="AK1817" s="1" t="s">
        <v>60</v>
      </c>
      <c r="AL1817" s="1" t="s">
        <v>60</v>
      </c>
      <c r="AW1817" s="1" t="s">
        <v>654</v>
      </c>
      <c r="AY1817" s="1">
        <v>1.0</v>
      </c>
      <c r="AZ1817" s="1">
        <v>64.99</v>
      </c>
      <c r="BB1817" s="1">
        <v>64.99</v>
      </c>
    </row>
    <row r="1818">
      <c r="A1818" s="1" t="s">
        <v>360</v>
      </c>
      <c r="C1818" s="1" t="s">
        <v>56</v>
      </c>
      <c r="D1818" s="1" t="s">
        <v>2921</v>
      </c>
      <c r="Y1818" s="2">
        <v>45513.0</v>
      </c>
      <c r="AE1818" s="1">
        <v>47.18</v>
      </c>
      <c r="AG1818" s="3" t="str">
        <f>"2000006153624493"</f>
        <v>2000006153624493</v>
      </c>
      <c r="AH1818" s="1" t="s">
        <v>58</v>
      </c>
      <c r="AI1818" s="1" t="s">
        <v>59</v>
      </c>
      <c r="AJ1818" s="1" t="s">
        <v>59</v>
      </c>
      <c r="AK1818" s="1" t="s">
        <v>60</v>
      </c>
      <c r="AL1818" s="1" t="s">
        <v>60</v>
      </c>
      <c r="AW1818" s="1" t="s">
        <v>155</v>
      </c>
      <c r="AY1818" s="1">
        <v>1.0</v>
      </c>
      <c r="AZ1818" s="1">
        <v>47.18</v>
      </c>
      <c r="BB1818" s="1">
        <v>47.18</v>
      </c>
    </row>
    <row r="1819">
      <c r="A1819" s="1" t="s">
        <v>785</v>
      </c>
      <c r="C1819" s="1" t="s">
        <v>235</v>
      </c>
      <c r="D1819" s="1" t="s">
        <v>2922</v>
      </c>
      <c r="Y1819" s="2">
        <v>45513.0</v>
      </c>
      <c r="AE1819" s="1">
        <v>169.99</v>
      </c>
      <c r="AG1819" s="3" t="str">
        <f>"2000006153620299"</f>
        <v>2000006153620299</v>
      </c>
      <c r="AH1819" s="1" t="s">
        <v>58</v>
      </c>
      <c r="AI1819" s="1" t="s">
        <v>59</v>
      </c>
      <c r="AJ1819" s="1" t="s">
        <v>59</v>
      </c>
      <c r="AK1819" s="1" t="s">
        <v>60</v>
      </c>
      <c r="AL1819" s="1" t="s">
        <v>60</v>
      </c>
      <c r="AW1819" s="1" t="s">
        <v>787</v>
      </c>
      <c r="AY1819" s="1">
        <v>1.0</v>
      </c>
      <c r="AZ1819" s="1">
        <v>169.99</v>
      </c>
      <c r="BB1819" s="1">
        <v>169.99</v>
      </c>
    </row>
    <row r="1820">
      <c r="A1820" s="1" t="s">
        <v>98</v>
      </c>
      <c r="C1820" s="1" t="s">
        <v>56</v>
      </c>
      <c r="D1820" s="1" t="s">
        <v>2923</v>
      </c>
      <c r="Y1820" s="2">
        <v>45513.0</v>
      </c>
      <c r="AE1820" s="1">
        <v>45.99</v>
      </c>
      <c r="AG1820" s="3" t="str">
        <f t="shared" ref="AG1820:AG1821" si="73">"2000006153599059"</f>
        <v>2000006153599059</v>
      </c>
      <c r="AH1820" s="1" t="s">
        <v>58</v>
      </c>
      <c r="AI1820" s="1" t="s">
        <v>59</v>
      </c>
      <c r="AJ1820" s="1" t="s">
        <v>59</v>
      </c>
      <c r="AK1820" s="1" t="s">
        <v>60</v>
      </c>
      <c r="AL1820" s="1" t="s">
        <v>60</v>
      </c>
      <c r="AW1820" s="1" t="s">
        <v>100</v>
      </c>
      <c r="AY1820" s="1">
        <v>1.0</v>
      </c>
      <c r="AZ1820" s="1">
        <v>45.99</v>
      </c>
      <c r="BB1820" s="1">
        <v>45.99</v>
      </c>
    </row>
    <row r="1821">
      <c r="A1821" s="1" t="s">
        <v>1316</v>
      </c>
      <c r="C1821" s="1" t="s">
        <v>56</v>
      </c>
      <c r="D1821" s="1" t="s">
        <v>2923</v>
      </c>
      <c r="Y1821" s="2">
        <v>45513.0</v>
      </c>
      <c r="AE1821" s="1">
        <v>45.99</v>
      </c>
      <c r="AG1821" s="3" t="str">
        <f t="shared" si="73"/>
        <v>2000006153599059</v>
      </c>
      <c r="AH1821" s="1" t="s">
        <v>58</v>
      </c>
      <c r="AI1821" s="1" t="s">
        <v>59</v>
      </c>
      <c r="AJ1821" s="1" t="s">
        <v>59</v>
      </c>
      <c r="AK1821" s="1" t="s">
        <v>60</v>
      </c>
      <c r="AL1821" s="1" t="s">
        <v>60</v>
      </c>
      <c r="AW1821" s="1" t="s">
        <v>100</v>
      </c>
      <c r="AY1821" s="1">
        <v>1.0</v>
      </c>
      <c r="AZ1821" s="1">
        <v>45.99</v>
      </c>
      <c r="BB1821" s="1">
        <v>45.99</v>
      </c>
    </row>
    <row r="1822">
      <c r="A1822" s="1" t="s">
        <v>1209</v>
      </c>
      <c r="C1822" s="1" t="s">
        <v>56</v>
      </c>
      <c r="D1822" s="1" t="s">
        <v>2924</v>
      </c>
      <c r="Y1822" s="2">
        <v>45513.0</v>
      </c>
      <c r="AE1822" s="1">
        <v>49.99</v>
      </c>
      <c r="AG1822" s="3" t="str">
        <f>"2000006153599085"</f>
        <v>2000006153599085</v>
      </c>
      <c r="AH1822" s="1" t="s">
        <v>58</v>
      </c>
      <c r="AI1822" s="1" t="s">
        <v>59</v>
      </c>
      <c r="AJ1822" s="1" t="s">
        <v>59</v>
      </c>
      <c r="AK1822" s="1" t="s">
        <v>60</v>
      </c>
      <c r="AL1822" s="1" t="s">
        <v>60</v>
      </c>
      <c r="AW1822" s="1" t="s">
        <v>1211</v>
      </c>
      <c r="AY1822" s="1">
        <v>1.0</v>
      </c>
      <c r="AZ1822" s="1">
        <v>49.99</v>
      </c>
      <c r="BB1822" s="1">
        <v>49.99</v>
      </c>
    </row>
    <row r="1823">
      <c r="A1823" s="1" t="s">
        <v>2925</v>
      </c>
      <c r="C1823" s="1" t="s">
        <v>56</v>
      </c>
      <c r="D1823" s="1" t="s">
        <v>2926</v>
      </c>
      <c r="Y1823" s="2">
        <v>45513.0</v>
      </c>
      <c r="AE1823" s="1">
        <v>159.99</v>
      </c>
      <c r="AG1823" s="3" t="str">
        <f>"2000008997159518"</f>
        <v>2000008997159518</v>
      </c>
      <c r="AH1823" s="1" t="s">
        <v>58</v>
      </c>
      <c r="AI1823" s="1" t="s">
        <v>59</v>
      </c>
      <c r="AJ1823" s="1" t="s">
        <v>59</v>
      </c>
      <c r="AK1823" s="1" t="s">
        <v>60</v>
      </c>
      <c r="AL1823" s="1" t="s">
        <v>60</v>
      </c>
      <c r="AW1823" s="1" t="s">
        <v>2927</v>
      </c>
      <c r="AY1823" s="1">
        <v>1.0</v>
      </c>
      <c r="AZ1823" s="1">
        <v>159.99</v>
      </c>
      <c r="BB1823" s="1">
        <v>159.99</v>
      </c>
    </row>
    <row r="1824">
      <c r="A1824" s="1" t="s">
        <v>2493</v>
      </c>
      <c r="C1824" s="1" t="s">
        <v>56</v>
      </c>
      <c r="D1824" s="1" t="s">
        <v>2928</v>
      </c>
      <c r="Y1824" s="2">
        <v>45513.0</v>
      </c>
      <c r="AE1824" s="1">
        <v>54.99</v>
      </c>
      <c r="AG1824" s="3" t="str">
        <f>"2000006153544697"</f>
        <v>2000006153544697</v>
      </c>
      <c r="AH1824" s="1" t="s">
        <v>58</v>
      </c>
      <c r="AI1824" s="1" t="s">
        <v>59</v>
      </c>
      <c r="AJ1824" s="1" t="s">
        <v>59</v>
      </c>
      <c r="AK1824" s="1" t="s">
        <v>60</v>
      </c>
      <c r="AL1824" s="1" t="s">
        <v>60</v>
      </c>
      <c r="AW1824" s="1" t="s">
        <v>2495</v>
      </c>
      <c r="AY1824" s="1">
        <v>1.0</v>
      </c>
      <c r="AZ1824" s="1">
        <v>54.99</v>
      </c>
      <c r="BB1824" s="1">
        <v>54.99</v>
      </c>
    </row>
    <row r="1825">
      <c r="A1825" s="1" t="s">
        <v>2929</v>
      </c>
      <c r="C1825" s="1" t="s">
        <v>56</v>
      </c>
      <c r="D1825" s="1" t="s">
        <v>2930</v>
      </c>
      <c r="Y1825" s="2">
        <v>45513.0</v>
      </c>
      <c r="AE1825" s="1">
        <v>59.99</v>
      </c>
      <c r="AG1825" s="3" t="str">
        <f>"2000006153544765"</f>
        <v>2000006153544765</v>
      </c>
      <c r="AH1825" s="1" t="s">
        <v>58</v>
      </c>
      <c r="AI1825" s="1" t="s">
        <v>59</v>
      </c>
      <c r="AJ1825" s="1" t="s">
        <v>59</v>
      </c>
      <c r="AK1825" s="1" t="s">
        <v>60</v>
      </c>
      <c r="AL1825" s="1" t="s">
        <v>60</v>
      </c>
      <c r="AW1825" s="1" t="s">
        <v>2931</v>
      </c>
      <c r="AY1825" s="1">
        <v>1.0</v>
      </c>
      <c r="AZ1825" s="1">
        <v>59.99</v>
      </c>
      <c r="BB1825" s="1">
        <v>59.99</v>
      </c>
    </row>
    <row r="1826">
      <c r="A1826" s="1" t="s">
        <v>940</v>
      </c>
      <c r="C1826" s="1" t="s">
        <v>56</v>
      </c>
      <c r="D1826" s="1" t="s">
        <v>2932</v>
      </c>
      <c r="Y1826" s="2">
        <v>45513.0</v>
      </c>
      <c r="AE1826" s="1">
        <v>79.99</v>
      </c>
      <c r="AG1826" s="3" t="str">
        <f>"2000006153539267"</f>
        <v>2000006153539267</v>
      </c>
      <c r="AH1826" s="1" t="s">
        <v>58</v>
      </c>
      <c r="AI1826" s="1" t="s">
        <v>59</v>
      </c>
      <c r="AJ1826" s="1" t="s">
        <v>59</v>
      </c>
      <c r="AK1826" s="1" t="s">
        <v>60</v>
      </c>
      <c r="AL1826" s="1" t="s">
        <v>60</v>
      </c>
      <c r="AW1826" s="1" t="s">
        <v>146</v>
      </c>
      <c r="AY1826" s="1">
        <v>1.0</v>
      </c>
      <c r="AZ1826" s="1">
        <v>79.99</v>
      </c>
      <c r="BB1826" s="1">
        <v>79.99</v>
      </c>
    </row>
    <row r="1827">
      <c r="A1827" s="1" t="s">
        <v>525</v>
      </c>
      <c r="C1827" s="1" t="s">
        <v>56</v>
      </c>
      <c r="D1827" s="1" t="s">
        <v>2933</v>
      </c>
      <c r="Y1827" s="2">
        <v>45513.0</v>
      </c>
      <c r="AE1827" s="1">
        <v>109.98</v>
      </c>
      <c r="AG1827" s="3" t="str">
        <f>"2000006153538497"</f>
        <v>2000006153538497</v>
      </c>
      <c r="AH1827" s="1" t="s">
        <v>58</v>
      </c>
      <c r="AI1827" s="1" t="s">
        <v>59</v>
      </c>
      <c r="AJ1827" s="1" t="s">
        <v>59</v>
      </c>
      <c r="AK1827" s="1" t="s">
        <v>60</v>
      </c>
      <c r="AL1827" s="1" t="s">
        <v>60</v>
      </c>
      <c r="AW1827" s="1" t="s">
        <v>497</v>
      </c>
      <c r="AY1827" s="1">
        <v>2.0</v>
      </c>
      <c r="AZ1827" s="1">
        <v>54.99</v>
      </c>
      <c r="BB1827" s="1">
        <v>109.98</v>
      </c>
    </row>
    <row r="1828">
      <c r="A1828" s="1" t="s">
        <v>1336</v>
      </c>
      <c r="C1828" s="1" t="s">
        <v>56</v>
      </c>
      <c r="D1828" s="1" t="s">
        <v>2934</v>
      </c>
      <c r="Y1828" s="2">
        <v>45513.0</v>
      </c>
      <c r="AE1828" s="1">
        <v>49.99</v>
      </c>
      <c r="AG1828" s="3" t="str">
        <f>"2000006153531275"</f>
        <v>2000006153531275</v>
      </c>
      <c r="AH1828" s="1" t="s">
        <v>58</v>
      </c>
      <c r="AI1828" s="1" t="s">
        <v>59</v>
      </c>
      <c r="AJ1828" s="1" t="s">
        <v>59</v>
      </c>
      <c r="AK1828" s="1" t="s">
        <v>60</v>
      </c>
      <c r="AL1828" s="1" t="s">
        <v>60</v>
      </c>
      <c r="AW1828" s="1" t="s">
        <v>1338</v>
      </c>
      <c r="AY1828" s="1">
        <v>1.0</v>
      </c>
      <c r="AZ1828" s="1">
        <v>49.99</v>
      </c>
      <c r="BB1828" s="1">
        <v>49.99</v>
      </c>
    </row>
    <row r="1829">
      <c r="A1829" s="1" t="s">
        <v>2182</v>
      </c>
      <c r="C1829" s="1" t="s">
        <v>56</v>
      </c>
      <c r="D1829" s="1" t="s">
        <v>2935</v>
      </c>
      <c r="Y1829" s="2">
        <v>45513.0</v>
      </c>
      <c r="AE1829" s="1">
        <v>94.99</v>
      </c>
      <c r="AG1829" s="3" t="str">
        <f>"2000006153522345"</f>
        <v>2000006153522345</v>
      </c>
      <c r="AH1829" s="1" t="s">
        <v>58</v>
      </c>
      <c r="AI1829" s="1" t="s">
        <v>59</v>
      </c>
      <c r="AJ1829" s="1" t="s">
        <v>59</v>
      </c>
      <c r="AK1829" s="1" t="s">
        <v>60</v>
      </c>
      <c r="AL1829" s="1" t="s">
        <v>60</v>
      </c>
      <c r="AW1829" s="1" t="s">
        <v>2184</v>
      </c>
      <c r="AY1829" s="1">
        <v>1.0</v>
      </c>
      <c r="AZ1829" s="1">
        <v>94.99</v>
      </c>
      <c r="BB1829" s="1">
        <v>94.99</v>
      </c>
    </row>
    <row r="1830">
      <c r="A1830" s="1" t="s">
        <v>407</v>
      </c>
      <c r="C1830" s="1" t="s">
        <v>56</v>
      </c>
      <c r="D1830" s="1" t="s">
        <v>2936</v>
      </c>
      <c r="Y1830" s="2">
        <v>45513.0</v>
      </c>
      <c r="AE1830" s="1">
        <v>94.99</v>
      </c>
      <c r="AG1830" s="3" t="str">
        <f>"2000008997097364"</f>
        <v>2000008997097364</v>
      </c>
      <c r="AH1830" s="1" t="s">
        <v>58</v>
      </c>
      <c r="AI1830" s="1" t="s">
        <v>59</v>
      </c>
      <c r="AJ1830" s="1" t="s">
        <v>59</v>
      </c>
      <c r="AK1830" s="1" t="s">
        <v>60</v>
      </c>
      <c r="AL1830" s="1" t="s">
        <v>60</v>
      </c>
      <c r="AW1830" s="1" t="s">
        <v>409</v>
      </c>
      <c r="AY1830" s="1">
        <v>1.0</v>
      </c>
      <c r="AZ1830" s="1">
        <v>94.99</v>
      </c>
      <c r="BB1830" s="1">
        <v>94.99</v>
      </c>
    </row>
    <row r="1831">
      <c r="A1831" s="1" t="s">
        <v>62</v>
      </c>
      <c r="C1831" s="1" t="s">
        <v>56</v>
      </c>
      <c r="D1831" s="1" t="s">
        <v>2937</v>
      </c>
      <c r="Y1831" s="2">
        <v>45513.0</v>
      </c>
      <c r="AE1831" s="1">
        <v>249.49</v>
      </c>
      <c r="AG1831" s="3" t="str">
        <f>"2000006153504705"</f>
        <v>2000006153504705</v>
      </c>
      <c r="AH1831" s="1" t="s">
        <v>58</v>
      </c>
      <c r="AI1831" s="1" t="s">
        <v>59</v>
      </c>
      <c r="AJ1831" s="1" t="s">
        <v>59</v>
      </c>
      <c r="AK1831" s="1" t="s">
        <v>60</v>
      </c>
      <c r="AL1831" s="1" t="s">
        <v>60</v>
      </c>
      <c r="AW1831" s="1" t="s">
        <v>64</v>
      </c>
      <c r="AY1831" s="1">
        <v>1.0</v>
      </c>
      <c r="AZ1831" s="1">
        <v>249.49</v>
      </c>
      <c r="BB1831" s="1">
        <v>249.49</v>
      </c>
    </row>
    <row r="1832">
      <c r="A1832" s="1" t="s">
        <v>2681</v>
      </c>
      <c r="C1832" s="1" t="s">
        <v>56</v>
      </c>
      <c r="D1832" s="1" t="s">
        <v>2938</v>
      </c>
      <c r="Y1832" s="2">
        <v>45513.0</v>
      </c>
      <c r="AE1832" s="1">
        <v>129.99</v>
      </c>
      <c r="AG1832" s="3" t="str">
        <f>"2000008997082036"</f>
        <v>2000008997082036</v>
      </c>
      <c r="AH1832" s="1" t="s">
        <v>58</v>
      </c>
      <c r="AI1832" s="1" t="s">
        <v>59</v>
      </c>
      <c r="AJ1832" s="1" t="s">
        <v>59</v>
      </c>
      <c r="AK1832" s="1" t="s">
        <v>60</v>
      </c>
      <c r="AL1832" s="1" t="s">
        <v>60</v>
      </c>
      <c r="AW1832" s="1" t="s">
        <v>1332</v>
      </c>
      <c r="AY1832" s="1">
        <v>1.0</v>
      </c>
      <c r="AZ1832" s="1">
        <v>129.99</v>
      </c>
      <c r="BB1832" s="1">
        <v>129.99</v>
      </c>
    </row>
    <row r="1833">
      <c r="A1833" s="1" t="s">
        <v>1836</v>
      </c>
      <c r="C1833" s="1" t="s">
        <v>56</v>
      </c>
      <c r="D1833" s="1" t="s">
        <v>2939</v>
      </c>
      <c r="Y1833" s="2">
        <v>45513.0</v>
      </c>
      <c r="AE1833" s="1">
        <v>99.98</v>
      </c>
      <c r="AG1833" s="3" t="str">
        <f>"2000006153482127"</f>
        <v>2000006153482127</v>
      </c>
      <c r="AH1833" s="1" t="s">
        <v>58</v>
      </c>
      <c r="AI1833" s="1" t="s">
        <v>59</v>
      </c>
      <c r="AJ1833" s="1" t="s">
        <v>59</v>
      </c>
      <c r="AK1833" s="1" t="s">
        <v>60</v>
      </c>
      <c r="AL1833" s="1" t="s">
        <v>60</v>
      </c>
      <c r="AW1833" s="1" t="s">
        <v>1838</v>
      </c>
      <c r="AY1833" s="1">
        <v>2.0</v>
      </c>
      <c r="AZ1833" s="1">
        <v>49.99</v>
      </c>
      <c r="BB1833" s="1">
        <v>99.98</v>
      </c>
    </row>
    <row r="1834">
      <c r="A1834" s="1" t="s">
        <v>1818</v>
      </c>
      <c r="C1834" s="1" t="s">
        <v>56</v>
      </c>
      <c r="D1834" s="1" t="s">
        <v>2940</v>
      </c>
      <c r="Y1834" s="2">
        <v>45513.0</v>
      </c>
      <c r="AE1834" s="1">
        <v>49.99</v>
      </c>
      <c r="AG1834" s="3" t="str">
        <f>"2000006153419945"</f>
        <v>2000006153419945</v>
      </c>
      <c r="AH1834" s="1" t="s">
        <v>58</v>
      </c>
      <c r="AI1834" s="1" t="s">
        <v>59</v>
      </c>
      <c r="AJ1834" s="1" t="s">
        <v>59</v>
      </c>
      <c r="AK1834" s="1" t="s">
        <v>60</v>
      </c>
      <c r="AL1834" s="1" t="s">
        <v>60</v>
      </c>
      <c r="AW1834" s="1" t="s">
        <v>97</v>
      </c>
      <c r="AY1834" s="1">
        <v>1.0</v>
      </c>
      <c r="AZ1834" s="1">
        <v>49.99</v>
      </c>
      <c r="BB1834" s="1">
        <v>49.99</v>
      </c>
    </row>
    <row r="1835">
      <c r="A1835" s="1" t="s">
        <v>1788</v>
      </c>
      <c r="C1835" s="1" t="s">
        <v>56</v>
      </c>
      <c r="D1835" s="1" t="s">
        <v>2941</v>
      </c>
      <c r="Y1835" s="2">
        <v>45513.0</v>
      </c>
      <c r="AE1835" s="1">
        <v>99.99</v>
      </c>
      <c r="AG1835" s="3" t="str">
        <f>"2000006153364801"</f>
        <v>2000006153364801</v>
      </c>
      <c r="AH1835" s="1" t="s">
        <v>58</v>
      </c>
      <c r="AI1835" s="1" t="s">
        <v>59</v>
      </c>
      <c r="AJ1835" s="1" t="s">
        <v>59</v>
      </c>
      <c r="AK1835" s="1" t="s">
        <v>60</v>
      </c>
      <c r="AL1835" s="1" t="s">
        <v>60</v>
      </c>
      <c r="AW1835" s="1" t="s">
        <v>1790</v>
      </c>
      <c r="AY1835" s="1">
        <v>1.0</v>
      </c>
      <c r="AZ1835" s="1">
        <v>99.99</v>
      </c>
      <c r="BB1835" s="1">
        <v>99.99</v>
      </c>
    </row>
    <row r="1836">
      <c r="A1836" s="1" t="s">
        <v>2942</v>
      </c>
      <c r="C1836" s="1" t="s">
        <v>56</v>
      </c>
      <c r="D1836" s="1" t="s">
        <v>2943</v>
      </c>
      <c r="Y1836" s="2">
        <v>45513.0</v>
      </c>
      <c r="AE1836" s="1">
        <v>49.99</v>
      </c>
      <c r="AG1836" s="3" t="str">
        <f>"2000006153361337"</f>
        <v>2000006153361337</v>
      </c>
      <c r="AH1836" s="1" t="s">
        <v>58</v>
      </c>
      <c r="AI1836" s="1" t="s">
        <v>59</v>
      </c>
      <c r="AJ1836" s="1" t="s">
        <v>59</v>
      </c>
      <c r="AK1836" s="1" t="s">
        <v>60</v>
      </c>
      <c r="AL1836" s="1" t="s">
        <v>60</v>
      </c>
      <c r="AW1836" s="1" t="s">
        <v>2944</v>
      </c>
      <c r="AY1836" s="1">
        <v>1.0</v>
      </c>
      <c r="AZ1836" s="1">
        <v>49.99</v>
      </c>
      <c r="BB1836" s="1">
        <v>49.99</v>
      </c>
    </row>
    <row r="1837">
      <c r="A1837" s="1" t="s">
        <v>111</v>
      </c>
      <c r="C1837" s="1" t="s">
        <v>56</v>
      </c>
      <c r="D1837" s="1" t="s">
        <v>2945</v>
      </c>
      <c r="Y1837" s="2">
        <v>45513.0</v>
      </c>
      <c r="AE1837" s="1">
        <v>79.99</v>
      </c>
      <c r="AG1837" s="3" t="str">
        <f t="shared" ref="AG1837:AG1838" si="74">"2000006153345325"</f>
        <v>2000006153345325</v>
      </c>
      <c r="AH1837" s="1" t="s">
        <v>58</v>
      </c>
      <c r="AI1837" s="1" t="s">
        <v>59</v>
      </c>
      <c r="AJ1837" s="1" t="s">
        <v>59</v>
      </c>
      <c r="AK1837" s="1" t="s">
        <v>60</v>
      </c>
      <c r="AL1837" s="1" t="s">
        <v>60</v>
      </c>
      <c r="AW1837" s="1" t="s">
        <v>113</v>
      </c>
      <c r="AY1837" s="1">
        <v>1.0</v>
      </c>
      <c r="AZ1837" s="1">
        <v>79.99</v>
      </c>
      <c r="BB1837" s="1">
        <v>79.99</v>
      </c>
    </row>
    <row r="1838">
      <c r="A1838" s="1" t="s">
        <v>1011</v>
      </c>
      <c r="C1838" s="1" t="s">
        <v>56</v>
      </c>
      <c r="D1838" s="1" t="s">
        <v>2945</v>
      </c>
      <c r="Y1838" s="2">
        <v>45513.0</v>
      </c>
      <c r="AE1838" s="1">
        <v>54.99</v>
      </c>
      <c r="AG1838" s="3" t="str">
        <f t="shared" si="74"/>
        <v>2000006153345325</v>
      </c>
      <c r="AH1838" s="1" t="s">
        <v>58</v>
      </c>
      <c r="AI1838" s="1" t="s">
        <v>59</v>
      </c>
      <c r="AJ1838" s="1" t="s">
        <v>59</v>
      </c>
      <c r="AK1838" s="1" t="s">
        <v>60</v>
      </c>
      <c r="AL1838" s="1" t="s">
        <v>60</v>
      </c>
      <c r="AW1838" s="1" t="s">
        <v>1013</v>
      </c>
      <c r="AY1838" s="1">
        <v>1.0</v>
      </c>
      <c r="AZ1838" s="1">
        <v>54.99</v>
      </c>
      <c r="BB1838" s="1">
        <v>54.99</v>
      </c>
    </row>
    <row r="1839">
      <c r="A1839" s="1" t="s">
        <v>2493</v>
      </c>
      <c r="C1839" s="1" t="s">
        <v>56</v>
      </c>
      <c r="D1839" s="1" t="s">
        <v>2946</v>
      </c>
      <c r="Y1839" s="2">
        <v>45513.0</v>
      </c>
      <c r="AE1839" s="1">
        <v>54.99</v>
      </c>
      <c r="AG1839" s="3" t="str">
        <f>"2000008996783268"</f>
        <v>2000008996783268</v>
      </c>
      <c r="AH1839" s="1" t="s">
        <v>58</v>
      </c>
      <c r="AI1839" s="1" t="s">
        <v>59</v>
      </c>
      <c r="AJ1839" s="1" t="s">
        <v>59</v>
      </c>
      <c r="AK1839" s="1" t="s">
        <v>60</v>
      </c>
      <c r="AL1839" s="1" t="s">
        <v>60</v>
      </c>
      <c r="AW1839" s="1" t="s">
        <v>2495</v>
      </c>
      <c r="AY1839" s="1">
        <v>1.0</v>
      </c>
      <c r="AZ1839" s="1">
        <v>54.99</v>
      </c>
      <c r="BB1839" s="1">
        <v>54.99</v>
      </c>
    </row>
    <row r="1840">
      <c r="A1840" s="1" t="s">
        <v>236</v>
      </c>
      <c r="C1840" s="1" t="s">
        <v>56</v>
      </c>
      <c r="D1840" s="1" t="s">
        <v>2947</v>
      </c>
      <c r="Y1840" s="2">
        <v>45513.0</v>
      </c>
      <c r="AE1840" s="1">
        <v>119.99</v>
      </c>
      <c r="AG1840" s="3" t="str">
        <f>"2000006153323335"</f>
        <v>2000006153323335</v>
      </c>
      <c r="AH1840" s="1" t="s">
        <v>58</v>
      </c>
      <c r="AI1840" s="1" t="s">
        <v>59</v>
      </c>
      <c r="AJ1840" s="1" t="s">
        <v>59</v>
      </c>
      <c r="AK1840" s="1" t="s">
        <v>60</v>
      </c>
      <c r="AL1840" s="1" t="s">
        <v>60</v>
      </c>
      <c r="AW1840" s="1" t="s">
        <v>238</v>
      </c>
      <c r="AY1840" s="1">
        <v>1.0</v>
      </c>
      <c r="AZ1840" s="1">
        <v>119.99</v>
      </c>
      <c r="BB1840" s="1">
        <v>119.99</v>
      </c>
    </row>
    <row r="1841">
      <c r="A1841" s="1" t="s">
        <v>1057</v>
      </c>
      <c r="C1841" s="1" t="s">
        <v>56</v>
      </c>
      <c r="D1841" s="1" t="s">
        <v>2948</v>
      </c>
      <c r="Y1841" s="2">
        <v>45513.0</v>
      </c>
      <c r="AE1841" s="1">
        <v>289.99</v>
      </c>
      <c r="AG1841" s="3" t="str">
        <f>"2000008996735822"</f>
        <v>2000008996735822</v>
      </c>
      <c r="AH1841" s="1" t="s">
        <v>58</v>
      </c>
      <c r="AI1841" s="1" t="s">
        <v>59</v>
      </c>
      <c r="AJ1841" s="1" t="s">
        <v>59</v>
      </c>
      <c r="AK1841" s="1" t="s">
        <v>60</v>
      </c>
      <c r="AL1841" s="1" t="s">
        <v>60</v>
      </c>
      <c r="AW1841" s="1" t="s">
        <v>1059</v>
      </c>
      <c r="AY1841" s="1">
        <v>1.0</v>
      </c>
      <c r="AZ1841" s="1">
        <v>289.99</v>
      </c>
      <c r="BB1841" s="1">
        <v>289.99</v>
      </c>
    </row>
    <row r="1842">
      <c r="A1842" s="1" t="s">
        <v>423</v>
      </c>
      <c r="C1842" s="1" t="s">
        <v>56</v>
      </c>
      <c r="D1842" s="1" t="s">
        <v>2949</v>
      </c>
      <c r="Y1842" s="2">
        <v>45513.0</v>
      </c>
      <c r="AE1842" s="1">
        <v>199.99</v>
      </c>
      <c r="AG1842" s="3" t="str">
        <f>"2000006153310335"</f>
        <v>2000006153310335</v>
      </c>
      <c r="AH1842" s="1" t="s">
        <v>58</v>
      </c>
      <c r="AI1842" s="1" t="s">
        <v>59</v>
      </c>
      <c r="AJ1842" s="1" t="s">
        <v>59</v>
      </c>
      <c r="AK1842" s="1" t="s">
        <v>60</v>
      </c>
      <c r="AL1842" s="1" t="s">
        <v>60</v>
      </c>
      <c r="AW1842" s="1" t="s">
        <v>425</v>
      </c>
      <c r="AY1842" s="1">
        <v>1.0</v>
      </c>
      <c r="AZ1842" s="1">
        <v>199.99</v>
      </c>
      <c r="BB1842" s="1">
        <v>199.99</v>
      </c>
    </row>
    <row r="1843">
      <c r="A1843" s="1" t="s">
        <v>2950</v>
      </c>
      <c r="C1843" s="1" t="s">
        <v>56</v>
      </c>
      <c r="D1843" s="1" t="s">
        <v>2951</v>
      </c>
      <c r="Y1843" s="2">
        <v>45513.0</v>
      </c>
      <c r="AE1843" s="1">
        <v>69.99</v>
      </c>
      <c r="AG1843" s="3" t="str">
        <f>"2000006153196343"</f>
        <v>2000006153196343</v>
      </c>
      <c r="AH1843" s="1" t="s">
        <v>58</v>
      </c>
      <c r="AI1843" s="1" t="s">
        <v>59</v>
      </c>
      <c r="AJ1843" s="1" t="s">
        <v>59</v>
      </c>
      <c r="AK1843" s="1" t="s">
        <v>60</v>
      </c>
      <c r="AL1843" s="1" t="s">
        <v>60</v>
      </c>
      <c r="AW1843" s="1" t="s">
        <v>2952</v>
      </c>
      <c r="AY1843" s="1">
        <v>1.0</v>
      </c>
      <c r="AZ1843" s="1">
        <v>69.99</v>
      </c>
      <c r="BB1843" s="1">
        <v>69.99</v>
      </c>
    </row>
    <row r="1844">
      <c r="A1844" s="1" t="s">
        <v>1923</v>
      </c>
      <c r="C1844" s="1" t="s">
        <v>56</v>
      </c>
      <c r="D1844" s="1" t="s">
        <v>2953</v>
      </c>
      <c r="Y1844" s="2">
        <v>45513.0</v>
      </c>
      <c r="AE1844" s="1">
        <v>91.98</v>
      </c>
      <c r="AG1844" s="3" t="str">
        <f>"2000006153256329"</f>
        <v>2000006153256329</v>
      </c>
      <c r="AH1844" s="1" t="s">
        <v>58</v>
      </c>
      <c r="AI1844" s="1" t="s">
        <v>59</v>
      </c>
      <c r="AJ1844" s="1" t="s">
        <v>59</v>
      </c>
      <c r="AK1844" s="1" t="s">
        <v>60</v>
      </c>
      <c r="AL1844" s="1" t="s">
        <v>60</v>
      </c>
      <c r="AW1844" s="1" t="s">
        <v>1925</v>
      </c>
      <c r="AY1844" s="1">
        <v>2.0</v>
      </c>
      <c r="AZ1844" s="1">
        <v>45.99</v>
      </c>
      <c r="BB1844" s="1">
        <v>91.98</v>
      </c>
    </row>
    <row r="1845">
      <c r="A1845" s="1" t="s">
        <v>1923</v>
      </c>
      <c r="C1845" s="1" t="s">
        <v>56</v>
      </c>
      <c r="D1845" s="1" t="s">
        <v>2953</v>
      </c>
      <c r="Y1845" s="2">
        <v>45513.0</v>
      </c>
      <c r="AE1845" s="1">
        <v>91.98</v>
      </c>
      <c r="AG1845" s="3" t="str">
        <f>"2000006153256327"</f>
        <v>2000006153256327</v>
      </c>
      <c r="AH1845" s="1" t="s">
        <v>58</v>
      </c>
      <c r="AI1845" s="1" t="s">
        <v>59</v>
      </c>
      <c r="AJ1845" s="1" t="s">
        <v>59</v>
      </c>
      <c r="AK1845" s="1" t="s">
        <v>60</v>
      </c>
      <c r="AL1845" s="1" t="s">
        <v>60</v>
      </c>
      <c r="AW1845" s="1" t="s">
        <v>1925</v>
      </c>
      <c r="AY1845" s="1">
        <v>2.0</v>
      </c>
      <c r="AZ1845" s="1">
        <v>45.99</v>
      </c>
      <c r="BB1845" s="1">
        <v>91.98</v>
      </c>
    </row>
    <row r="1846">
      <c r="A1846" s="1" t="s">
        <v>2853</v>
      </c>
      <c r="C1846" s="1" t="s">
        <v>56</v>
      </c>
      <c r="D1846" s="1" t="s">
        <v>2954</v>
      </c>
      <c r="Y1846" s="2">
        <v>45513.0</v>
      </c>
      <c r="AE1846" s="1">
        <v>39.99</v>
      </c>
      <c r="AG1846" s="3" t="str">
        <f>"2000006153130481"</f>
        <v>2000006153130481</v>
      </c>
      <c r="AH1846" s="1" t="s">
        <v>58</v>
      </c>
      <c r="AI1846" s="1" t="s">
        <v>59</v>
      </c>
      <c r="AJ1846" s="1" t="s">
        <v>59</v>
      </c>
      <c r="AK1846" s="1" t="s">
        <v>60</v>
      </c>
      <c r="AL1846" s="1" t="s">
        <v>60</v>
      </c>
      <c r="AW1846" s="1" t="s">
        <v>2855</v>
      </c>
      <c r="AY1846" s="1">
        <v>1.0</v>
      </c>
      <c r="AZ1846" s="1">
        <v>39.99</v>
      </c>
      <c r="BB1846" s="1">
        <v>39.99</v>
      </c>
    </row>
    <row r="1847">
      <c r="A1847" s="1" t="s">
        <v>668</v>
      </c>
      <c r="C1847" s="1" t="s">
        <v>56</v>
      </c>
      <c r="D1847" s="1" t="s">
        <v>2955</v>
      </c>
      <c r="Y1847" s="2">
        <v>45513.0</v>
      </c>
      <c r="AE1847" s="1">
        <v>129.99</v>
      </c>
      <c r="AG1847" s="3" t="str">
        <f>"2000006153258999"</f>
        <v>2000006153258999</v>
      </c>
      <c r="AH1847" s="1" t="s">
        <v>58</v>
      </c>
      <c r="AI1847" s="1" t="s">
        <v>59</v>
      </c>
      <c r="AJ1847" s="1" t="s">
        <v>59</v>
      </c>
      <c r="AK1847" s="1" t="s">
        <v>60</v>
      </c>
      <c r="AL1847" s="1" t="s">
        <v>60</v>
      </c>
      <c r="AW1847" s="1" t="s">
        <v>670</v>
      </c>
      <c r="AY1847" s="1">
        <v>1.0</v>
      </c>
      <c r="AZ1847" s="1">
        <v>129.99</v>
      </c>
      <c r="BB1847" s="1">
        <v>129.99</v>
      </c>
    </row>
    <row r="1848">
      <c r="A1848" s="1" t="s">
        <v>1217</v>
      </c>
      <c r="C1848" s="1" t="s">
        <v>56</v>
      </c>
      <c r="D1848" s="1" t="s">
        <v>2956</v>
      </c>
      <c r="Y1848" s="2">
        <v>45513.0</v>
      </c>
      <c r="AE1848" s="1">
        <v>37.49</v>
      </c>
      <c r="AG1848" s="3" t="str">
        <f>"2000006153201445"</f>
        <v>2000006153201445</v>
      </c>
      <c r="AH1848" s="1" t="s">
        <v>58</v>
      </c>
      <c r="AI1848" s="1" t="s">
        <v>59</v>
      </c>
      <c r="AJ1848" s="1" t="s">
        <v>59</v>
      </c>
      <c r="AK1848" s="1" t="s">
        <v>60</v>
      </c>
      <c r="AL1848" s="1" t="s">
        <v>60</v>
      </c>
      <c r="AW1848" s="1" t="s">
        <v>373</v>
      </c>
      <c r="AY1848" s="1">
        <v>1.0</v>
      </c>
      <c r="AZ1848" s="1">
        <v>37.49</v>
      </c>
      <c r="BB1848" s="1">
        <v>37.49</v>
      </c>
    </row>
    <row r="1849">
      <c r="A1849" s="1" t="s">
        <v>2095</v>
      </c>
      <c r="C1849" s="1" t="s">
        <v>56</v>
      </c>
      <c r="D1849" s="1" t="s">
        <v>2957</v>
      </c>
      <c r="Y1849" s="2">
        <v>45513.0</v>
      </c>
      <c r="AE1849" s="1">
        <v>439.98</v>
      </c>
      <c r="AG1849" s="3" t="str">
        <f>"2000006153189335"</f>
        <v>2000006153189335</v>
      </c>
      <c r="AH1849" s="1" t="s">
        <v>58</v>
      </c>
      <c r="AI1849" s="1" t="s">
        <v>59</v>
      </c>
      <c r="AJ1849" s="1" t="s">
        <v>59</v>
      </c>
      <c r="AK1849" s="1" t="s">
        <v>60</v>
      </c>
      <c r="AL1849" s="1" t="s">
        <v>60</v>
      </c>
      <c r="AW1849" s="1" t="s">
        <v>2097</v>
      </c>
      <c r="AY1849" s="1">
        <v>2.0</v>
      </c>
      <c r="AZ1849" s="1">
        <v>219.99</v>
      </c>
      <c r="BB1849" s="1">
        <v>439.98</v>
      </c>
    </row>
    <row r="1850">
      <c r="A1850" s="1" t="s">
        <v>377</v>
      </c>
      <c r="C1850" s="1" t="s">
        <v>56</v>
      </c>
      <c r="D1850" s="1" t="s">
        <v>2958</v>
      </c>
      <c r="Y1850" s="2">
        <v>45513.0</v>
      </c>
      <c r="AE1850" s="1">
        <v>64.99</v>
      </c>
      <c r="AG1850" s="3" t="str">
        <f>"2000006153164023"</f>
        <v>2000006153164023</v>
      </c>
      <c r="AH1850" s="1" t="s">
        <v>58</v>
      </c>
      <c r="AI1850" s="1" t="s">
        <v>59</v>
      </c>
      <c r="AJ1850" s="1" t="s">
        <v>59</v>
      </c>
      <c r="AK1850" s="1" t="s">
        <v>60</v>
      </c>
      <c r="AL1850" s="1" t="s">
        <v>60</v>
      </c>
      <c r="AW1850" s="1" t="s">
        <v>79</v>
      </c>
      <c r="AY1850" s="1">
        <v>1.0</v>
      </c>
      <c r="AZ1850" s="1">
        <v>64.99</v>
      </c>
      <c r="BB1850" s="1">
        <v>64.99</v>
      </c>
    </row>
    <row r="1851">
      <c r="A1851" s="1" t="s">
        <v>117</v>
      </c>
      <c r="C1851" s="1" t="s">
        <v>56</v>
      </c>
      <c r="D1851" s="1" t="s">
        <v>2105</v>
      </c>
      <c r="Y1851" s="2">
        <v>45513.0</v>
      </c>
      <c r="AE1851" s="1">
        <v>129.99</v>
      </c>
      <c r="AG1851" s="3" t="str">
        <f t="shared" ref="AG1851:AG1852" si="75">"2000006153167681"</f>
        <v>2000006153167681</v>
      </c>
      <c r="AH1851" s="1" t="s">
        <v>58</v>
      </c>
      <c r="AI1851" s="1" t="s">
        <v>59</v>
      </c>
      <c r="AJ1851" s="1" t="s">
        <v>59</v>
      </c>
      <c r="AK1851" s="1" t="s">
        <v>60</v>
      </c>
      <c r="AL1851" s="1" t="s">
        <v>60</v>
      </c>
      <c r="AW1851" s="1" t="s">
        <v>763</v>
      </c>
      <c r="AY1851" s="1">
        <v>1.0</v>
      </c>
      <c r="AZ1851" s="1">
        <v>129.99</v>
      </c>
      <c r="BB1851" s="1">
        <v>129.99</v>
      </c>
    </row>
    <row r="1852">
      <c r="A1852" s="1" t="s">
        <v>2106</v>
      </c>
      <c r="C1852" s="1" t="s">
        <v>56</v>
      </c>
      <c r="D1852" s="1" t="s">
        <v>2105</v>
      </c>
      <c r="Y1852" s="2">
        <v>45513.0</v>
      </c>
      <c r="AE1852" s="1">
        <v>129.99</v>
      </c>
      <c r="AG1852" s="3" t="str">
        <f t="shared" si="75"/>
        <v>2000006153167681</v>
      </c>
      <c r="AH1852" s="1" t="s">
        <v>58</v>
      </c>
      <c r="AI1852" s="1" t="s">
        <v>59</v>
      </c>
      <c r="AJ1852" s="1" t="s">
        <v>59</v>
      </c>
      <c r="AK1852" s="1" t="s">
        <v>60</v>
      </c>
      <c r="AL1852" s="1" t="s">
        <v>60</v>
      </c>
      <c r="AW1852" s="1" t="s">
        <v>763</v>
      </c>
      <c r="AY1852" s="1">
        <v>1.0</v>
      </c>
      <c r="AZ1852" s="1">
        <v>129.99</v>
      </c>
      <c r="BB1852" s="1">
        <v>129.99</v>
      </c>
    </row>
    <row r="1853">
      <c r="A1853" s="1" t="s">
        <v>2959</v>
      </c>
      <c r="C1853" s="1" t="s">
        <v>56</v>
      </c>
      <c r="D1853" s="1" t="s">
        <v>2960</v>
      </c>
      <c r="Y1853" s="2">
        <v>45513.0</v>
      </c>
      <c r="AE1853" s="1">
        <v>134.99</v>
      </c>
      <c r="AG1853" s="3" t="str">
        <f>"2000006153157569"</f>
        <v>2000006153157569</v>
      </c>
      <c r="AH1853" s="1" t="s">
        <v>58</v>
      </c>
      <c r="AI1853" s="1" t="s">
        <v>59</v>
      </c>
      <c r="AJ1853" s="1" t="s">
        <v>59</v>
      </c>
      <c r="AK1853" s="1" t="s">
        <v>60</v>
      </c>
      <c r="AL1853" s="1" t="s">
        <v>60</v>
      </c>
      <c r="AW1853" s="1" t="s">
        <v>2961</v>
      </c>
      <c r="AY1853" s="1">
        <v>1.0</v>
      </c>
      <c r="AZ1853" s="1">
        <v>134.99</v>
      </c>
      <c r="BB1853" s="1">
        <v>134.99</v>
      </c>
    </row>
    <row r="1854">
      <c r="A1854" s="1" t="s">
        <v>2182</v>
      </c>
      <c r="C1854" s="1" t="s">
        <v>56</v>
      </c>
      <c r="D1854" s="1" t="s">
        <v>250</v>
      </c>
      <c r="Y1854" s="2">
        <v>45513.0</v>
      </c>
      <c r="AE1854" s="1">
        <v>94.99</v>
      </c>
      <c r="AG1854" s="3" t="str">
        <f>"2000006153141653"</f>
        <v>2000006153141653</v>
      </c>
      <c r="AH1854" s="1" t="s">
        <v>58</v>
      </c>
      <c r="AI1854" s="1" t="s">
        <v>59</v>
      </c>
      <c r="AJ1854" s="1" t="s">
        <v>59</v>
      </c>
      <c r="AK1854" s="1" t="s">
        <v>60</v>
      </c>
      <c r="AL1854" s="1" t="s">
        <v>60</v>
      </c>
      <c r="AW1854" s="1" t="s">
        <v>2184</v>
      </c>
      <c r="AY1854" s="1">
        <v>1.0</v>
      </c>
      <c r="AZ1854" s="1">
        <v>94.99</v>
      </c>
      <c r="BB1854" s="1">
        <v>94.99</v>
      </c>
    </row>
    <row r="1855">
      <c r="A1855" s="1" t="s">
        <v>807</v>
      </c>
      <c r="C1855" s="1" t="s">
        <v>56</v>
      </c>
      <c r="D1855" s="1" t="s">
        <v>2962</v>
      </c>
      <c r="Y1855" s="2">
        <v>45513.0</v>
      </c>
      <c r="AE1855" s="1">
        <v>49.99</v>
      </c>
      <c r="AG1855" s="3" t="str">
        <f t="shared" ref="AG1855:AG1856" si="76">"2000006153131075"</f>
        <v>2000006153131075</v>
      </c>
      <c r="AH1855" s="1" t="s">
        <v>58</v>
      </c>
      <c r="AI1855" s="1" t="s">
        <v>59</v>
      </c>
      <c r="AJ1855" s="1" t="s">
        <v>59</v>
      </c>
      <c r="AK1855" s="1" t="s">
        <v>60</v>
      </c>
      <c r="AL1855" s="1" t="s">
        <v>60</v>
      </c>
      <c r="AW1855" s="1" t="s">
        <v>97</v>
      </c>
      <c r="AY1855" s="1">
        <v>1.0</v>
      </c>
      <c r="AZ1855" s="1">
        <v>49.99</v>
      </c>
      <c r="BB1855" s="1">
        <v>49.99</v>
      </c>
    </row>
    <row r="1856">
      <c r="A1856" s="1" t="s">
        <v>630</v>
      </c>
      <c r="C1856" s="1" t="s">
        <v>56</v>
      </c>
      <c r="D1856" s="1" t="s">
        <v>2962</v>
      </c>
      <c r="Y1856" s="2">
        <v>45513.0</v>
      </c>
      <c r="AE1856" s="1">
        <v>189.99</v>
      </c>
      <c r="AG1856" s="3" t="str">
        <f t="shared" si="76"/>
        <v>2000006153131075</v>
      </c>
      <c r="AH1856" s="1" t="s">
        <v>58</v>
      </c>
      <c r="AI1856" s="1" t="s">
        <v>59</v>
      </c>
      <c r="AJ1856" s="1" t="s">
        <v>59</v>
      </c>
      <c r="AK1856" s="1" t="s">
        <v>60</v>
      </c>
      <c r="AL1856" s="1" t="s">
        <v>60</v>
      </c>
      <c r="AW1856" s="1" t="s">
        <v>632</v>
      </c>
      <c r="AY1856" s="1">
        <v>1.0</v>
      </c>
      <c r="AZ1856" s="1">
        <v>189.99</v>
      </c>
      <c r="BB1856" s="1">
        <v>189.99</v>
      </c>
    </row>
    <row r="1857">
      <c r="A1857" s="1" t="s">
        <v>2963</v>
      </c>
      <c r="C1857" s="1" t="s">
        <v>56</v>
      </c>
      <c r="D1857" s="1" t="s">
        <v>2964</v>
      </c>
      <c r="Y1857" s="2">
        <v>45513.0</v>
      </c>
      <c r="AE1857" s="1">
        <v>294.99</v>
      </c>
      <c r="AG1857" s="3" t="str">
        <f>"2000006150926377"</f>
        <v>2000006150926377</v>
      </c>
      <c r="AH1857" s="1" t="s">
        <v>58</v>
      </c>
      <c r="AI1857" s="1" t="s">
        <v>59</v>
      </c>
      <c r="AJ1857" s="1" t="s">
        <v>59</v>
      </c>
      <c r="AK1857" s="1" t="s">
        <v>60</v>
      </c>
      <c r="AL1857" s="1" t="s">
        <v>60</v>
      </c>
      <c r="AW1857" s="1" t="s">
        <v>2965</v>
      </c>
      <c r="AY1857" s="1">
        <v>1.0</v>
      </c>
      <c r="AZ1857" s="1">
        <v>294.99</v>
      </c>
      <c r="BB1857" s="1">
        <v>294.99</v>
      </c>
    </row>
    <row r="1858">
      <c r="A1858" s="1" t="s">
        <v>249</v>
      </c>
      <c r="C1858" s="1" t="s">
        <v>235</v>
      </c>
      <c r="D1858" s="1" t="s">
        <v>2966</v>
      </c>
      <c r="Y1858" s="2">
        <v>45513.0</v>
      </c>
      <c r="AE1858" s="1">
        <v>64.99</v>
      </c>
      <c r="AG1858" s="3" t="str">
        <f>"2000006153119153"</f>
        <v>2000006153119153</v>
      </c>
      <c r="AH1858" s="1" t="s">
        <v>58</v>
      </c>
      <c r="AI1858" s="1" t="s">
        <v>59</v>
      </c>
      <c r="AJ1858" s="1" t="s">
        <v>59</v>
      </c>
      <c r="AK1858" s="1" t="s">
        <v>60</v>
      </c>
      <c r="AL1858" s="1" t="s">
        <v>60</v>
      </c>
      <c r="AW1858" s="1" t="s">
        <v>251</v>
      </c>
      <c r="AY1858" s="1">
        <v>1.0</v>
      </c>
      <c r="AZ1858" s="1">
        <v>64.99</v>
      </c>
      <c r="BB1858" s="1">
        <v>64.99</v>
      </c>
    </row>
    <row r="1859">
      <c r="A1859" s="1" t="s">
        <v>2967</v>
      </c>
      <c r="C1859" s="1" t="s">
        <v>56</v>
      </c>
      <c r="D1859" s="1" t="s">
        <v>2968</v>
      </c>
      <c r="Y1859" s="2">
        <v>45513.0</v>
      </c>
      <c r="AE1859" s="1">
        <v>49.99</v>
      </c>
      <c r="AG1859" s="3" t="str">
        <f>"2000006153094831"</f>
        <v>2000006153094831</v>
      </c>
      <c r="AH1859" s="1" t="s">
        <v>58</v>
      </c>
      <c r="AI1859" s="1" t="s">
        <v>59</v>
      </c>
      <c r="AJ1859" s="1" t="s">
        <v>59</v>
      </c>
      <c r="AK1859" s="1" t="s">
        <v>60</v>
      </c>
      <c r="AL1859" s="1" t="s">
        <v>60</v>
      </c>
      <c r="AW1859" s="1" t="s">
        <v>1338</v>
      </c>
      <c r="AY1859" s="1">
        <v>1.0</v>
      </c>
      <c r="AZ1859" s="1">
        <v>49.99</v>
      </c>
      <c r="BB1859" s="1">
        <v>49.99</v>
      </c>
    </row>
    <row r="1860">
      <c r="A1860" s="1" t="s">
        <v>195</v>
      </c>
      <c r="C1860" s="1" t="s">
        <v>56</v>
      </c>
      <c r="D1860" s="1" t="s">
        <v>2969</v>
      </c>
      <c r="Y1860" s="2">
        <v>45513.0</v>
      </c>
      <c r="AE1860" s="1">
        <v>47.99</v>
      </c>
      <c r="AG1860" s="3" t="str">
        <f>"2000006152932825"</f>
        <v>2000006152932825</v>
      </c>
      <c r="AH1860" s="1" t="s">
        <v>58</v>
      </c>
      <c r="AI1860" s="1" t="s">
        <v>59</v>
      </c>
      <c r="AJ1860" s="1" t="s">
        <v>59</v>
      </c>
      <c r="AK1860" s="1" t="s">
        <v>60</v>
      </c>
      <c r="AL1860" s="1" t="s">
        <v>60</v>
      </c>
      <c r="AW1860" s="1" t="s">
        <v>197</v>
      </c>
      <c r="AY1860" s="1">
        <v>1.0</v>
      </c>
      <c r="AZ1860" s="1">
        <v>47.99</v>
      </c>
      <c r="BB1860" s="1">
        <v>47.99</v>
      </c>
    </row>
    <row r="1861">
      <c r="A1861" s="1" t="s">
        <v>1964</v>
      </c>
      <c r="C1861" s="1" t="s">
        <v>56</v>
      </c>
      <c r="D1861" s="1" t="s">
        <v>2970</v>
      </c>
      <c r="Y1861" s="2">
        <v>45513.0</v>
      </c>
      <c r="AE1861" s="1">
        <v>59.99</v>
      </c>
      <c r="AG1861" s="3" t="str">
        <f>"2000006152996079"</f>
        <v>2000006152996079</v>
      </c>
      <c r="AH1861" s="1" t="s">
        <v>58</v>
      </c>
      <c r="AI1861" s="1" t="s">
        <v>59</v>
      </c>
      <c r="AJ1861" s="1" t="s">
        <v>59</v>
      </c>
      <c r="AK1861" s="1" t="s">
        <v>60</v>
      </c>
      <c r="AL1861" s="1" t="s">
        <v>60</v>
      </c>
      <c r="AW1861" s="1" t="s">
        <v>1966</v>
      </c>
      <c r="AY1861" s="1">
        <v>1.0</v>
      </c>
      <c r="AZ1861" s="1">
        <v>59.99</v>
      </c>
      <c r="BB1861" s="1">
        <v>59.99</v>
      </c>
    </row>
    <row r="1862">
      <c r="A1862" s="1" t="s">
        <v>86</v>
      </c>
      <c r="C1862" s="1" t="s">
        <v>56</v>
      </c>
      <c r="D1862" s="1" t="s">
        <v>2971</v>
      </c>
      <c r="Y1862" s="2">
        <v>45513.0</v>
      </c>
      <c r="AE1862" s="1">
        <v>64.99</v>
      </c>
      <c r="AG1862" s="3" t="str">
        <f>"2000006152983565"</f>
        <v>2000006152983565</v>
      </c>
      <c r="AH1862" s="1" t="s">
        <v>58</v>
      </c>
      <c r="AI1862" s="1" t="s">
        <v>59</v>
      </c>
      <c r="AJ1862" s="1" t="s">
        <v>59</v>
      </c>
      <c r="AK1862" s="1" t="s">
        <v>60</v>
      </c>
      <c r="AL1862" s="1" t="s">
        <v>60</v>
      </c>
      <c r="AW1862" s="1" t="s">
        <v>88</v>
      </c>
      <c r="AY1862" s="1">
        <v>1.0</v>
      </c>
      <c r="AZ1862" s="1">
        <v>64.99</v>
      </c>
      <c r="BB1862" s="1">
        <v>64.99</v>
      </c>
    </row>
    <row r="1863">
      <c r="A1863" s="1" t="s">
        <v>2972</v>
      </c>
      <c r="C1863" s="1" t="s">
        <v>56</v>
      </c>
      <c r="D1863" s="1" t="s">
        <v>2973</v>
      </c>
      <c r="Y1863" s="2">
        <v>45513.0</v>
      </c>
      <c r="AE1863" s="1">
        <v>49.99</v>
      </c>
      <c r="AG1863" s="3" t="str">
        <f>"2000006152955163"</f>
        <v>2000006152955163</v>
      </c>
      <c r="AH1863" s="1" t="s">
        <v>58</v>
      </c>
      <c r="AI1863" s="1" t="s">
        <v>59</v>
      </c>
      <c r="AJ1863" s="1" t="s">
        <v>59</v>
      </c>
      <c r="AK1863" s="1" t="s">
        <v>60</v>
      </c>
      <c r="AL1863" s="1" t="s">
        <v>60</v>
      </c>
      <c r="AW1863" s="1" t="s">
        <v>2974</v>
      </c>
      <c r="AY1863" s="1">
        <v>1.0</v>
      </c>
      <c r="AZ1863" s="1">
        <v>49.99</v>
      </c>
      <c r="BB1863" s="1">
        <v>49.99</v>
      </c>
    </row>
    <row r="1864">
      <c r="A1864" s="1" t="s">
        <v>1587</v>
      </c>
      <c r="C1864" s="1" t="s">
        <v>56</v>
      </c>
      <c r="D1864" s="1" t="s">
        <v>2975</v>
      </c>
      <c r="Y1864" s="2">
        <v>45513.0</v>
      </c>
      <c r="AE1864" s="1">
        <v>61.99</v>
      </c>
      <c r="AG1864" s="3" t="str">
        <f>"2000008996072660"</f>
        <v>2000008996072660</v>
      </c>
      <c r="AH1864" s="1" t="s">
        <v>58</v>
      </c>
      <c r="AI1864" s="1" t="s">
        <v>59</v>
      </c>
      <c r="AJ1864" s="1" t="s">
        <v>59</v>
      </c>
      <c r="AK1864" s="1" t="s">
        <v>60</v>
      </c>
      <c r="AL1864" s="1" t="s">
        <v>60</v>
      </c>
      <c r="AW1864" s="1" t="s">
        <v>211</v>
      </c>
      <c r="AY1864" s="1">
        <v>1.0</v>
      </c>
      <c r="AZ1864" s="1">
        <v>61.99</v>
      </c>
      <c r="BB1864" s="1">
        <v>61.99</v>
      </c>
    </row>
    <row r="1865">
      <c r="A1865" s="1" t="s">
        <v>195</v>
      </c>
      <c r="C1865" s="1" t="s">
        <v>56</v>
      </c>
      <c r="D1865" s="1" t="s">
        <v>2976</v>
      </c>
      <c r="Y1865" s="2">
        <v>45513.0</v>
      </c>
      <c r="AE1865" s="1">
        <v>47.99</v>
      </c>
      <c r="AG1865" s="3" t="str">
        <f>"2000006152947331"</f>
        <v>2000006152947331</v>
      </c>
      <c r="AH1865" s="1" t="s">
        <v>58</v>
      </c>
      <c r="AI1865" s="1" t="s">
        <v>59</v>
      </c>
      <c r="AJ1865" s="1" t="s">
        <v>59</v>
      </c>
      <c r="AK1865" s="1" t="s">
        <v>60</v>
      </c>
      <c r="AL1865" s="1" t="s">
        <v>60</v>
      </c>
      <c r="AW1865" s="1" t="s">
        <v>197</v>
      </c>
      <c r="AY1865" s="1">
        <v>1.0</v>
      </c>
      <c r="AZ1865" s="1">
        <v>47.99</v>
      </c>
      <c r="BB1865" s="1">
        <v>47.99</v>
      </c>
    </row>
    <row r="1866">
      <c r="A1866" s="1" t="s">
        <v>1610</v>
      </c>
      <c r="C1866" s="1" t="s">
        <v>56</v>
      </c>
      <c r="D1866" s="1" t="s">
        <v>2977</v>
      </c>
      <c r="Y1866" s="2">
        <v>45513.0</v>
      </c>
      <c r="AE1866" s="1">
        <v>59.99</v>
      </c>
      <c r="AG1866" s="3" t="str">
        <f>"2000008995969468"</f>
        <v>2000008995969468</v>
      </c>
      <c r="AH1866" s="1" t="s">
        <v>58</v>
      </c>
      <c r="AI1866" s="1" t="s">
        <v>59</v>
      </c>
      <c r="AJ1866" s="1" t="s">
        <v>59</v>
      </c>
      <c r="AK1866" s="1" t="s">
        <v>60</v>
      </c>
      <c r="AL1866" s="1" t="s">
        <v>60</v>
      </c>
      <c r="AW1866" s="1" t="s">
        <v>104</v>
      </c>
      <c r="AY1866" s="1">
        <v>1.0</v>
      </c>
      <c r="AZ1866" s="1">
        <v>59.99</v>
      </c>
      <c r="BB1866" s="1">
        <v>59.99</v>
      </c>
    </row>
    <row r="1867">
      <c r="A1867" s="1" t="s">
        <v>2876</v>
      </c>
      <c r="C1867" s="1" t="s">
        <v>56</v>
      </c>
      <c r="D1867" s="1" t="s">
        <v>2978</v>
      </c>
      <c r="Y1867" s="2">
        <v>45513.0</v>
      </c>
      <c r="AE1867" s="1">
        <v>59.99</v>
      </c>
      <c r="AG1867" s="3" t="str">
        <f>"2000006152883777"</f>
        <v>2000006152883777</v>
      </c>
      <c r="AH1867" s="1" t="s">
        <v>58</v>
      </c>
      <c r="AI1867" s="1" t="s">
        <v>59</v>
      </c>
      <c r="AJ1867" s="1" t="s">
        <v>59</v>
      </c>
      <c r="AK1867" s="1" t="s">
        <v>60</v>
      </c>
      <c r="AL1867" s="1" t="s">
        <v>60</v>
      </c>
      <c r="AW1867" s="1" t="s">
        <v>2878</v>
      </c>
      <c r="AY1867" s="1">
        <v>1.0</v>
      </c>
      <c r="AZ1867" s="1">
        <v>59.99</v>
      </c>
      <c r="BB1867" s="1">
        <v>59.99</v>
      </c>
    </row>
    <row r="1868">
      <c r="A1868" s="1" t="s">
        <v>525</v>
      </c>
      <c r="C1868" s="1" t="s">
        <v>56</v>
      </c>
      <c r="D1868" s="1" t="s">
        <v>2979</v>
      </c>
      <c r="Y1868" s="2">
        <v>45513.0</v>
      </c>
      <c r="AE1868" s="1">
        <v>109.98</v>
      </c>
      <c r="AG1868" s="3" t="str">
        <f>"2000006152840261"</f>
        <v>2000006152840261</v>
      </c>
      <c r="AH1868" s="1" t="s">
        <v>58</v>
      </c>
      <c r="AI1868" s="1" t="s">
        <v>59</v>
      </c>
      <c r="AJ1868" s="1" t="s">
        <v>59</v>
      </c>
      <c r="AK1868" s="1" t="s">
        <v>60</v>
      </c>
      <c r="AL1868" s="1" t="s">
        <v>60</v>
      </c>
      <c r="AW1868" s="1" t="s">
        <v>497</v>
      </c>
      <c r="AY1868" s="1">
        <v>2.0</v>
      </c>
      <c r="AZ1868" s="1">
        <v>54.99</v>
      </c>
      <c r="BB1868" s="1">
        <v>109.98</v>
      </c>
    </row>
    <row r="1869">
      <c r="A1869" s="1" t="s">
        <v>2929</v>
      </c>
      <c r="C1869" s="1" t="s">
        <v>56</v>
      </c>
      <c r="D1869" s="1" t="s">
        <v>2980</v>
      </c>
      <c r="Y1869" s="2">
        <v>45513.0</v>
      </c>
      <c r="AE1869" s="1">
        <v>59.99</v>
      </c>
      <c r="AG1869" s="3" t="str">
        <f>"2000006152813281"</f>
        <v>2000006152813281</v>
      </c>
      <c r="AH1869" s="1" t="s">
        <v>58</v>
      </c>
      <c r="AI1869" s="1" t="s">
        <v>59</v>
      </c>
      <c r="AJ1869" s="1" t="s">
        <v>59</v>
      </c>
      <c r="AK1869" s="1" t="s">
        <v>60</v>
      </c>
      <c r="AL1869" s="1" t="s">
        <v>60</v>
      </c>
      <c r="AW1869" s="1" t="s">
        <v>2931</v>
      </c>
      <c r="AY1869" s="1">
        <v>1.0</v>
      </c>
      <c r="AZ1869" s="1">
        <v>59.99</v>
      </c>
      <c r="BB1869" s="1">
        <v>59.99</v>
      </c>
    </row>
    <row r="1870">
      <c r="A1870" s="1" t="s">
        <v>1713</v>
      </c>
      <c r="C1870" s="1" t="s">
        <v>56</v>
      </c>
      <c r="D1870" s="1" t="s">
        <v>2981</v>
      </c>
      <c r="Y1870" s="2">
        <v>45513.0</v>
      </c>
      <c r="AE1870" s="1">
        <v>119.99</v>
      </c>
      <c r="AG1870" s="3" t="str">
        <f>"2000006152804943"</f>
        <v>2000006152804943</v>
      </c>
      <c r="AH1870" s="1" t="s">
        <v>58</v>
      </c>
      <c r="AI1870" s="1" t="s">
        <v>59</v>
      </c>
      <c r="AJ1870" s="1" t="s">
        <v>59</v>
      </c>
      <c r="AK1870" s="1" t="s">
        <v>60</v>
      </c>
      <c r="AL1870" s="1" t="s">
        <v>60</v>
      </c>
      <c r="AW1870" s="1" t="s">
        <v>1714</v>
      </c>
      <c r="AY1870" s="1">
        <v>1.0</v>
      </c>
      <c r="AZ1870" s="1">
        <v>119.99</v>
      </c>
      <c r="BB1870" s="1">
        <v>119.99</v>
      </c>
    </row>
    <row r="1871">
      <c r="A1871" s="1" t="s">
        <v>1727</v>
      </c>
      <c r="C1871" s="1" t="s">
        <v>56</v>
      </c>
      <c r="D1871" s="1" t="s">
        <v>2982</v>
      </c>
      <c r="Y1871" s="2">
        <v>45513.0</v>
      </c>
      <c r="AE1871" s="1">
        <v>549.99</v>
      </c>
      <c r="AG1871" s="3" t="str">
        <f>"2000008995831922"</f>
        <v>2000008995831922</v>
      </c>
      <c r="AH1871" s="1" t="s">
        <v>58</v>
      </c>
      <c r="AI1871" s="1" t="s">
        <v>59</v>
      </c>
      <c r="AJ1871" s="1" t="s">
        <v>59</v>
      </c>
      <c r="AK1871" s="1" t="s">
        <v>60</v>
      </c>
      <c r="AL1871" s="1" t="s">
        <v>60</v>
      </c>
      <c r="AW1871" s="1" t="s">
        <v>1729</v>
      </c>
      <c r="AY1871" s="1">
        <v>1.0</v>
      </c>
      <c r="AZ1871" s="1">
        <v>549.99</v>
      </c>
      <c r="BB1871" s="1">
        <v>549.99</v>
      </c>
    </row>
    <row r="1872">
      <c r="A1872" s="1" t="s">
        <v>1354</v>
      </c>
      <c r="C1872" s="1" t="s">
        <v>56</v>
      </c>
      <c r="D1872" s="1" t="s">
        <v>1341</v>
      </c>
      <c r="Y1872" s="2">
        <v>45513.0</v>
      </c>
      <c r="AE1872" s="1">
        <v>84.99</v>
      </c>
      <c r="AG1872" s="3" t="str">
        <f>"2000006152793305"</f>
        <v>2000006152793305</v>
      </c>
      <c r="AH1872" s="1" t="s">
        <v>58</v>
      </c>
      <c r="AI1872" s="1" t="s">
        <v>59</v>
      </c>
      <c r="AJ1872" s="1" t="s">
        <v>59</v>
      </c>
      <c r="AK1872" s="1" t="s">
        <v>60</v>
      </c>
      <c r="AL1872" s="1" t="s">
        <v>60</v>
      </c>
      <c r="AW1872" s="1" t="s">
        <v>1356</v>
      </c>
      <c r="AY1872" s="1">
        <v>1.0</v>
      </c>
      <c r="AZ1872" s="1">
        <v>84.99</v>
      </c>
      <c r="BB1872" s="1">
        <v>84.99</v>
      </c>
    </row>
    <row r="1873">
      <c r="A1873" s="1" t="s">
        <v>539</v>
      </c>
      <c r="C1873" s="1" t="s">
        <v>56</v>
      </c>
      <c r="D1873" s="1" t="s">
        <v>2983</v>
      </c>
      <c r="Y1873" s="2">
        <v>45513.0</v>
      </c>
      <c r="AE1873" s="1">
        <v>147.98</v>
      </c>
      <c r="AG1873" s="3" t="str">
        <f>"2000006152768531"</f>
        <v>2000006152768531</v>
      </c>
      <c r="AH1873" s="1" t="s">
        <v>58</v>
      </c>
      <c r="AI1873" s="1" t="s">
        <v>59</v>
      </c>
      <c r="AJ1873" s="1" t="s">
        <v>59</v>
      </c>
      <c r="AK1873" s="1" t="s">
        <v>60</v>
      </c>
      <c r="AL1873" s="1" t="s">
        <v>60</v>
      </c>
      <c r="AW1873" s="1" t="s">
        <v>541</v>
      </c>
      <c r="AY1873" s="1">
        <v>2.0</v>
      </c>
      <c r="AZ1873" s="1">
        <v>73.99</v>
      </c>
      <c r="BB1873" s="1">
        <v>147.98</v>
      </c>
    </row>
    <row r="1874">
      <c r="A1874" s="1" t="s">
        <v>1698</v>
      </c>
      <c r="C1874" s="1" t="s">
        <v>56</v>
      </c>
      <c r="D1874" s="1" t="s">
        <v>2983</v>
      </c>
      <c r="Y1874" s="2">
        <v>45513.0</v>
      </c>
      <c r="AE1874" s="1">
        <v>109.98</v>
      </c>
      <c r="AG1874" s="3" t="str">
        <f t="shared" ref="AG1874:AG1875" si="77">"2000006152768533"</f>
        <v>2000006152768533</v>
      </c>
      <c r="AH1874" s="1" t="s">
        <v>58</v>
      </c>
      <c r="AI1874" s="1" t="s">
        <v>59</v>
      </c>
      <c r="AJ1874" s="1" t="s">
        <v>59</v>
      </c>
      <c r="AK1874" s="1" t="s">
        <v>60</v>
      </c>
      <c r="AL1874" s="1" t="s">
        <v>60</v>
      </c>
      <c r="AW1874" s="1" t="s">
        <v>497</v>
      </c>
      <c r="AY1874" s="1">
        <v>2.0</v>
      </c>
      <c r="AZ1874" s="1">
        <v>54.99</v>
      </c>
      <c r="BB1874" s="1">
        <v>109.98</v>
      </c>
    </row>
    <row r="1875">
      <c r="A1875" s="1" t="s">
        <v>525</v>
      </c>
      <c r="C1875" s="1" t="s">
        <v>56</v>
      </c>
      <c r="D1875" s="1" t="s">
        <v>2983</v>
      </c>
      <c r="Y1875" s="2">
        <v>45513.0</v>
      </c>
      <c r="AE1875" s="1">
        <v>109.98</v>
      </c>
      <c r="AG1875" s="3" t="str">
        <f t="shared" si="77"/>
        <v>2000006152768533</v>
      </c>
      <c r="AH1875" s="1" t="s">
        <v>58</v>
      </c>
      <c r="AI1875" s="1" t="s">
        <v>59</v>
      </c>
      <c r="AJ1875" s="1" t="s">
        <v>59</v>
      </c>
      <c r="AK1875" s="1" t="s">
        <v>60</v>
      </c>
      <c r="AL1875" s="1" t="s">
        <v>60</v>
      </c>
      <c r="AW1875" s="1" t="s">
        <v>497</v>
      </c>
      <c r="AY1875" s="1">
        <v>2.0</v>
      </c>
      <c r="AZ1875" s="1">
        <v>54.99</v>
      </c>
      <c r="BB1875" s="1">
        <v>109.98</v>
      </c>
    </row>
    <row r="1876">
      <c r="A1876" s="1" t="s">
        <v>1198</v>
      </c>
      <c r="C1876" s="1" t="s">
        <v>56</v>
      </c>
      <c r="D1876" s="1" t="s">
        <v>2984</v>
      </c>
      <c r="Y1876" s="2">
        <v>45513.0</v>
      </c>
      <c r="AE1876" s="1">
        <v>59.99</v>
      </c>
      <c r="AG1876" s="3" t="str">
        <f>"2000006152744623"</f>
        <v>2000006152744623</v>
      </c>
      <c r="AH1876" s="1" t="s">
        <v>58</v>
      </c>
      <c r="AI1876" s="1" t="s">
        <v>59</v>
      </c>
      <c r="AJ1876" s="1" t="s">
        <v>59</v>
      </c>
      <c r="AK1876" s="1" t="s">
        <v>60</v>
      </c>
      <c r="AL1876" s="1" t="s">
        <v>60</v>
      </c>
      <c r="AW1876" s="1" t="s">
        <v>1200</v>
      </c>
      <c r="AY1876" s="1">
        <v>1.0</v>
      </c>
      <c r="AZ1876" s="1">
        <v>59.99</v>
      </c>
      <c r="BB1876" s="1">
        <v>59.99</v>
      </c>
    </row>
    <row r="1877">
      <c r="A1877" s="1" t="s">
        <v>2985</v>
      </c>
      <c r="C1877" s="1" t="s">
        <v>56</v>
      </c>
      <c r="D1877" s="1" t="s">
        <v>2986</v>
      </c>
      <c r="Y1877" s="2">
        <v>45513.0</v>
      </c>
      <c r="AE1877" s="1">
        <v>139.98</v>
      </c>
      <c r="AG1877" s="3" t="str">
        <f>"2000006152746329"</f>
        <v>2000006152746329</v>
      </c>
      <c r="AH1877" s="1" t="s">
        <v>58</v>
      </c>
      <c r="AI1877" s="1" t="s">
        <v>59</v>
      </c>
      <c r="AJ1877" s="1" t="s">
        <v>59</v>
      </c>
      <c r="AK1877" s="1" t="s">
        <v>60</v>
      </c>
      <c r="AL1877" s="1" t="s">
        <v>60</v>
      </c>
      <c r="AW1877" s="1" t="s">
        <v>888</v>
      </c>
      <c r="AY1877" s="1">
        <v>2.0</v>
      </c>
      <c r="AZ1877" s="1">
        <v>69.99</v>
      </c>
      <c r="BB1877" s="1">
        <v>139.98</v>
      </c>
    </row>
    <row r="1878">
      <c r="A1878" s="1" t="s">
        <v>319</v>
      </c>
      <c r="C1878" s="1" t="s">
        <v>56</v>
      </c>
      <c r="D1878" s="1" t="s">
        <v>2987</v>
      </c>
      <c r="Y1878" s="2">
        <v>45513.0</v>
      </c>
      <c r="AE1878" s="1">
        <v>74.99</v>
      </c>
      <c r="AG1878" s="3" t="str">
        <f>"2000006152744523"</f>
        <v>2000006152744523</v>
      </c>
      <c r="AH1878" s="1" t="s">
        <v>58</v>
      </c>
      <c r="AI1878" s="1" t="s">
        <v>59</v>
      </c>
      <c r="AJ1878" s="1" t="s">
        <v>59</v>
      </c>
      <c r="AK1878" s="1" t="s">
        <v>60</v>
      </c>
      <c r="AL1878" s="1" t="s">
        <v>60</v>
      </c>
      <c r="AW1878" s="1" t="s">
        <v>321</v>
      </c>
      <c r="AY1878" s="1">
        <v>1.0</v>
      </c>
      <c r="AZ1878" s="1">
        <v>74.99</v>
      </c>
      <c r="BB1878" s="1">
        <v>74.99</v>
      </c>
    </row>
    <row r="1879">
      <c r="A1879" s="1" t="s">
        <v>872</v>
      </c>
      <c r="C1879" s="1" t="s">
        <v>56</v>
      </c>
      <c r="D1879" s="1" t="s">
        <v>2988</v>
      </c>
      <c r="Y1879" s="2">
        <v>45513.0</v>
      </c>
      <c r="AE1879" s="1">
        <v>249.99</v>
      </c>
      <c r="AG1879" s="3" t="str">
        <f>"2000006152732875"</f>
        <v>2000006152732875</v>
      </c>
      <c r="AH1879" s="1" t="s">
        <v>58</v>
      </c>
      <c r="AI1879" s="1" t="s">
        <v>59</v>
      </c>
      <c r="AJ1879" s="1" t="s">
        <v>59</v>
      </c>
      <c r="AK1879" s="1" t="s">
        <v>60</v>
      </c>
      <c r="AL1879" s="1" t="s">
        <v>60</v>
      </c>
      <c r="AW1879" s="1" t="s">
        <v>874</v>
      </c>
      <c r="AY1879" s="1">
        <v>1.0</v>
      </c>
      <c r="AZ1879" s="1">
        <v>249.99</v>
      </c>
      <c r="BB1879" s="1">
        <v>249.99</v>
      </c>
    </row>
    <row r="1880">
      <c r="A1880" s="1" t="s">
        <v>2989</v>
      </c>
      <c r="C1880" s="1" t="s">
        <v>56</v>
      </c>
      <c r="D1880" s="1" t="s">
        <v>2990</v>
      </c>
      <c r="Y1880" s="2">
        <v>45513.0</v>
      </c>
      <c r="AE1880" s="1">
        <v>219.99</v>
      </c>
      <c r="AG1880" s="3" t="str">
        <f>"2000008995658346"</f>
        <v>2000008995658346</v>
      </c>
      <c r="AH1880" s="1" t="s">
        <v>58</v>
      </c>
      <c r="AI1880" s="1" t="s">
        <v>59</v>
      </c>
      <c r="AJ1880" s="1" t="s">
        <v>59</v>
      </c>
      <c r="AK1880" s="1" t="s">
        <v>60</v>
      </c>
      <c r="AL1880" s="1" t="s">
        <v>60</v>
      </c>
      <c r="AW1880" s="1" t="s">
        <v>2991</v>
      </c>
      <c r="AY1880" s="1">
        <v>1.0</v>
      </c>
      <c r="AZ1880" s="1">
        <v>219.99</v>
      </c>
      <c r="BB1880" s="1">
        <v>219.99</v>
      </c>
    </row>
    <row r="1881">
      <c r="A1881" s="1" t="s">
        <v>577</v>
      </c>
      <c r="C1881" s="1" t="s">
        <v>56</v>
      </c>
      <c r="D1881" s="1" t="s">
        <v>2992</v>
      </c>
      <c r="Y1881" s="2">
        <v>45513.0</v>
      </c>
      <c r="AE1881" s="1">
        <v>52.99</v>
      </c>
      <c r="AG1881" s="3" t="str">
        <f>"2000006151039597"</f>
        <v>2000006151039597</v>
      </c>
      <c r="AH1881" s="1" t="s">
        <v>58</v>
      </c>
      <c r="AI1881" s="1" t="s">
        <v>59</v>
      </c>
      <c r="AJ1881" s="1" t="s">
        <v>59</v>
      </c>
      <c r="AK1881" s="1" t="s">
        <v>60</v>
      </c>
      <c r="AL1881" s="1" t="s">
        <v>60</v>
      </c>
      <c r="AW1881" s="1" t="s">
        <v>579</v>
      </c>
      <c r="AY1881" s="1">
        <v>1.0</v>
      </c>
      <c r="AZ1881" s="1">
        <v>52.99</v>
      </c>
      <c r="BB1881" s="1">
        <v>52.99</v>
      </c>
    </row>
    <row r="1882">
      <c r="A1882" s="1" t="s">
        <v>577</v>
      </c>
      <c r="C1882" s="1" t="s">
        <v>56</v>
      </c>
      <c r="D1882" s="1" t="s">
        <v>2993</v>
      </c>
      <c r="Y1882" s="2">
        <v>45513.0</v>
      </c>
      <c r="AE1882" s="1">
        <v>52.99</v>
      </c>
      <c r="AG1882" s="3" t="str">
        <f>"2000006152623225"</f>
        <v>2000006152623225</v>
      </c>
      <c r="AH1882" s="1" t="s">
        <v>58</v>
      </c>
      <c r="AI1882" s="1" t="s">
        <v>59</v>
      </c>
      <c r="AJ1882" s="1" t="s">
        <v>59</v>
      </c>
      <c r="AK1882" s="1" t="s">
        <v>60</v>
      </c>
      <c r="AL1882" s="1" t="s">
        <v>60</v>
      </c>
      <c r="AW1882" s="1" t="s">
        <v>579</v>
      </c>
      <c r="AY1882" s="1">
        <v>1.0</v>
      </c>
      <c r="AZ1882" s="1">
        <v>52.99</v>
      </c>
      <c r="BB1882" s="1">
        <v>52.99</v>
      </c>
    </row>
    <row r="1883">
      <c r="A1883" s="1" t="s">
        <v>2632</v>
      </c>
      <c r="C1883" s="1" t="s">
        <v>56</v>
      </c>
      <c r="D1883" s="1" t="s">
        <v>2994</v>
      </c>
      <c r="Y1883" s="2">
        <v>45513.0</v>
      </c>
      <c r="AE1883" s="1">
        <v>94.99</v>
      </c>
      <c r="AG1883" s="3" t="str">
        <f>"2000006152616845"</f>
        <v>2000006152616845</v>
      </c>
      <c r="AH1883" s="1" t="s">
        <v>58</v>
      </c>
      <c r="AI1883" s="1" t="s">
        <v>59</v>
      </c>
      <c r="AJ1883" s="1" t="s">
        <v>59</v>
      </c>
      <c r="AK1883" s="1" t="s">
        <v>60</v>
      </c>
      <c r="AL1883" s="1" t="s">
        <v>60</v>
      </c>
      <c r="AW1883" s="1" t="s">
        <v>2634</v>
      </c>
      <c r="AY1883" s="1">
        <v>1.0</v>
      </c>
      <c r="AZ1883" s="1">
        <v>94.99</v>
      </c>
      <c r="BB1883" s="1">
        <v>94.99</v>
      </c>
    </row>
    <row r="1884">
      <c r="A1884" s="1" t="s">
        <v>2815</v>
      </c>
      <c r="C1884" s="1" t="s">
        <v>56</v>
      </c>
      <c r="D1884" s="1" t="s">
        <v>2995</v>
      </c>
      <c r="Y1884" s="2">
        <v>45513.0</v>
      </c>
      <c r="AE1884" s="1">
        <v>119.99</v>
      </c>
      <c r="AG1884" s="3" t="str">
        <f>"2000006152597739"</f>
        <v>2000006152597739</v>
      </c>
      <c r="AH1884" s="1" t="s">
        <v>58</v>
      </c>
      <c r="AI1884" s="1" t="s">
        <v>59</v>
      </c>
      <c r="AJ1884" s="1" t="s">
        <v>59</v>
      </c>
      <c r="AK1884" s="1" t="s">
        <v>60</v>
      </c>
      <c r="AL1884" s="1" t="s">
        <v>60</v>
      </c>
      <c r="AW1884" s="1" t="s">
        <v>2817</v>
      </c>
      <c r="AY1884" s="1">
        <v>1.0</v>
      </c>
      <c r="AZ1884" s="1">
        <v>119.99</v>
      </c>
      <c r="BB1884" s="1">
        <v>119.99</v>
      </c>
    </row>
    <row r="1885">
      <c r="A1885" s="1" t="s">
        <v>1946</v>
      </c>
      <c r="C1885" s="1" t="s">
        <v>56</v>
      </c>
      <c r="D1885" s="1" t="s">
        <v>2996</v>
      </c>
      <c r="Y1885" s="2">
        <v>45513.0</v>
      </c>
      <c r="AE1885" s="1">
        <v>39.99</v>
      </c>
      <c r="AG1885" s="3" t="str">
        <f>"2000006152583977"</f>
        <v>2000006152583977</v>
      </c>
      <c r="AH1885" s="1" t="s">
        <v>58</v>
      </c>
      <c r="AI1885" s="1" t="s">
        <v>59</v>
      </c>
      <c r="AJ1885" s="1" t="s">
        <v>59</v>
      </c>
      <c r="AK1885" s="1" t="s">
        <v>60</v>
      </c>
      <c r="AL1885" s="1" t="s">
        <v>60</v>
      </c>
      <c r="AW1885" s="1" t="s">
        <v>1529</v>
      </c>
      <c r="AY1885" s="1">
        <v>1.0</v>
      </c>
      <c r="AZ1885" s="1">
        <v>39.99</v>
      </c>
      <c r="BB1885" s="1">
        <v>39.99</v>
      </c>
    </row>
    <row r="1886">
      <c r="A1886" s="1" t="s">
        <v>2853</v>
      </c>
      <c r="C1886" s="1" t="s">
        <v>56</v>
      </c>
      <c r="D1886" s="1" t="s">
        <v>2997</v>
      </c>
      <c r="Y1886" s="2">
        <v>45513.0</v>
      </c>
      <c r="AE1886" s="1">
        <v>39.99</v>
      </c>
      <c r="AG1886" s="3" t="str">
        <f>"2000006152578503"</f>
        <v>2000006152578503</v>
      </c>
      <c r="AH1886" s="1" t="s">
        <v>58</v>
      </c>
      <c r="AI1886" s="1" t="s">
        <v>59</v>
      </c>
      <c r="AJ1886" s="1" t="s">
        <v>59</v>
      </c>
      <c r="AK1886" s="1" t="s">
        <v>60</v>
      </c>
      <c r="AL1886" s="1" t="s">
        <v>60</v>
      </c>
      <c r="AW1886" s="1" t="s">
        <v>2855</v>
      </c>
      <c r="AY1886" s="1">
        <v>1.0</v>
      </c>
      <c r="AZ1886" s="1">
        <v>39.99</v>
      </c>
      <c r="BB1886" s="1">
        <v>39.99</v>
      </c>
    </row>
    <row r="1887">
      <c r="A1887" s="1" t="s">
        <v>195</v>
      </c>
      <c r="C1887" s="1" t="s">
        <v>56</v>
      </c>
      <c r="D1887" s="1" t="s">
        <v>2998</v>
      </c>
      <c r="Y1887" s="2">
        <v>45513.0</v>
      </c>
      <c r="AE1887" s="1">
        <v>47.99</v>
      </c>
      <c r="AG1887" s="3" t="str">
        <f>"2000006152380503"</f>
        <v>2000006152380503</v>
      </c>
      <c r="AH1887" s="1" t="s">
        <v>58</v>
      </c>
      <c r="AI1887" s="1" t="s">
        <v>59</v>
      </c>
      <c r="AJ1887" s="1" t="s">
        <v>59</v>
      </c>
      <c r="AK1887" s="1" t="s">
        <v>60</v>
      </c>
      <c r="AL1887" s="1" t="s">
        <v>60</v>
      </c>
      <c r="AW1887" s="1" t="s">
        <v>197</v>
      </c>
      <c r="AY1887" s="1">
        <v>1.0</v>
      </c>
      <c r="AZ1887" s="1">
        <v>47.99</v>
      </c>
      <c r="BB1887" s="1">
        <v>47.99</v>
      </c>
    </row>
    <row r="1888">
      <c r="A1888" s="1" t="s">
        <v>2999</v>
      </c>
      <c r="C1888" s="1" t="s">
        <v>56</v>
      </c>
      <c r="D1888" s="1" t="s">
        <v>3000</v>
      </c>
      <c r="Y1888" s="2">
        <v>45513.0</v>
      </c>
      <c r="AE1888" s="1">
        <v>59.99</v>
      </c>
      <c r="AG1888" s="3" t="str">
        <f>"2000006152576343"</f>
        <v>2000006152576343</v>
      </c>
      <c r="AH1888" s="1" t="s">
        <v>58</v>
      </c>
      <c r="AI1888" s="1" t="s">
        <v>59</v>
      </c>
      <c r="AJ1888" s="1" t="s">
        <v>59</v>
      </c>
      <c r="AK1888" s="1" t="s">
        <v>60</v>
      </c>
      <c r="AL1888" s="1" t="s">
        <v>60</v>
      </c>
      <c r="AW1888" s="1" t="s">
        <v>3001</v>
      </c>
      <c r="AY1888" s="1">
        <v>1.0</v>
      </c>
      <c r="AZ1888" s="1">
        <v>59.99</v>
      </c>
      <c r="BB1888" s="1">
        <v>59.99</v>
      </c>
    </row>
    <row r="1889">
      <c r="A1889" s="1" t="s">
        <v>1038</v>
      </c>
      <c r="C1889" s="1" t="s">
        <v>56</v>
      </c>
      <c r="D1889" s="1" t="s">
        <v>3002</v>
      </c>
      <c r="Y1889" s="2">
        <v>45513.0</v>
      </c>
      <c r="AE1889" s="1">
        <v>64.48</v>
      </c>
      <c r="AG1889" s="3" t="str">
        <f>"2000006152579111"</f>
        <v>2000006152579111</v>
      </c>
      <c r="AH1889" s="1" t="s">
        <v>58</v>
      </c>
      <c r="AI1889" s="1" t="s">
        <v>59</v>
      </c>
      <c r="AJ1889" s="1" t="s">
        <v>59</v>
      </c>
      <c r="AK1889" s="1" t="s">
        <v>60</v>
      </c>
      <c r="AL1889" s="1" t="s">
        <v>60</v>
      </c>
      <c r="AW1889" s="1" t="s">
        <v>1040</v>
      </c>
      <c r="AY1889" s="1">
        <v>1.0</v>
      </c>
      <c r="AZ1889" s="1">
        <v>64.48</v>
      </c>
      <c r="BB1889" s="1">
        <v>64.48</v>
      </c>
    </row>
    <row r="1890">
      <c r="A1890" s="1" t="s">
        <v>3003</v>
      </c>
      <c r="C1890" s="1" t="s">
        <v>56</v>
      </c>
      <c r="D1890" s="1" t="s">
        <v>3004</v>
      </c>
      <c r="Y1890" s="2">
        <v>45513.0</v>
      </c>
      <c r="AE1890" s="1">
        <v>39.99</v>
      </c>
      <c r="AG1890" s="3" t="str">
        <f>"2000006152572657"</f>
        <v>2000006152572657</v>
      </c>
      <c r="AH1890" s="1" t="s">
        <v>58</v>
      </c>
      <c r="AI1890" s="1" t="s">
        <v>59</v>
      </c>
      <c r="AJ1890" s="1" t="s">
        <v>59</v>
      </c>
      <c r="AK1890" s="1" t="s">
        <v>60</v>
      </c>
      <c r="AL1890" s="1" t="s">
        <v>60</v>
      </c>
      <c r="AW1890" s="1" t="s">
        <v>3005</v>
      </c>
      <c r="AY1890" s="1">
        <v>1.0</v>
      </c>
      <c r="AZ1890" s="1">
        <v>39.99</v>
      </c>
      <c r="BB1890" s="1">
        <v>39.99</v>
      </c>
    </row>
    <row r="1891">
      <c r="A1891" s="1" t="s">
        <v>141</v>
      </c>
      <c r="C1891" s="1" t="s">
        <v>56</v>
      </c>
      <c r="D1891" s="1" t="s">
        <v>3006</v>
      </c>
      <c r="Y1891" s="2">
        <v>45513.0</v>
      </c>
      <c r="AE1891" s="1">
        <v>139.99</v>
      </c>
      <c r="AG1891" s="3" t="str">
        <f>"2000008995345758"</f>
        <v>2000008995345758</v>
      </c>
      <c r="AH1891" s="1" t="s">
        <v>58</v>
      </c>
      <c r="AI1891" s="1" t="s">
        <v>59</v>
      </c>
      <c r="AJ1891" s="1" t="s">
        <v>59</v>
      </c>
      <c r="AK1891" s="1" t="s">
        <v>60</v>
      </c>
      <c r="AL1891" s="1" t="s">
        <v>60</v>
      </c>
      <c r="AW1891" s="1" t="s">
        <v>143</v>
      </c>
      <c r="AY1891" s="1">
        <v>1.0</v>
      </c>
      <c r="AZ1891" s="1">
        <v>139.99</v>
      </c>
      <c r="BB1891" s="1">
        <v>139.99</v>
      </c>
    </row>
    <row r="1892">
      <c r="A1892" s="1" t="s">
        <v>3007</v>
      </c>
      <c r="C1892" s="1" t="s">
        <v>56</v>
      </c>
      <c r="D1892" s="1" t="s">
        <v>3008</v>
      </c>
      <c r="Y1892" s="2">
        <v>45513.0</v>
      </c>
      <c r="AE1892" s="1">
        <v>79.99</v>
      </c>
      <c r="AG1892" s="3" t="str">
        <f>"2000006152564593"</f>
        <v>2000006152564593</v>
      </c>
      <c r="AH1892" s="1" t="s">
        <v>58</v>
      </c>
      <c r="AI1892" s="1" t="s">
        <v>59</v>
      </c>
      <c r="AJ1892" s="1" t="s">
        <v>59</v>
      </c>
      <c r="AK1892" s="1" t="s">
        <v>60</v>
      </c>
      <c r="AL1892" s="1" t="s">
        <v>60</v>
      </c>
      <c r="AW1892" s="1" t="s">
        <v>3009</v>
      </c>
      <c r="AY1892" s="1">
        <v>1.0</v>
      </c>
      <c r="AZ1892" s="1">
        <v>79.99</v>
      </c>
      <c r="BB1892" s="1">
        <v>79.99</v>
      </c>
    </row>
    <row r="1893">
      <c r="A1893" s="1" t="s">
        <v>2753</v>
      </c>
      <c r="C1893" s="1" t="s">
        <v>56</v>
      </c>
      <c r="D1893" s="1" t="s">
        <v>3010</v>
      </c>
      <c r="Y1893" s="2">
        <v>45513.0</v>
      </c>
      <c r="AE1893" s="1">
        <v>72.99</v>
      </c>
      <c r="AG1893" s="3" t="str">
        <f>"2000006152559583"</f>
        <v>2000006152559583</v>
      </c>
      <c r="AH1893" s="1" t="s">
        <v>58</v>
      </c>
      <c r="AI1893" s="1" t="s">
        <v>59</v>
      </c>
      <c r="AJ1893" s="1" t="s">
        <v>59</v>
      </c>
      <c r="AK1893" s="1" t="s">
        <v>60</v>
      </c>
      <c r="AL1893" s="1" t="s">
        <v>60</v>
      </c>
      <c r="AW1893" s="1" t="s">
        <v>2755</v>
      </c>
      <c r="AY1893" s="1">
        <v>1.0</v>
      </c>
      <c r="AZ1893" s="1">
        <v>72.99</v>
      </c>
      <c r="BB1893" s="1">
        <v>72.99</v>
      </c>
    </row>
    <row r="1894">
      <c r="A1894" s="1" t="s">
        <v>2392</v>
      </c>
      <c r="C1894" s="1" t="s">
        <v>56</v>
      </c>
      <c r="D1894" s="1" t="s">
        <v>3011</v>
      </c>
      <c r="Y1894" s="2">
        <v>45513.0</v>
      </c>
      <c r="AE1894" s="1">
        <v>119.98</v>
      </c>
      <c r="AG1894" s="3" t="str">
        <f>"2000006152555203"</f>
        <v>2000006152555203</v>
      </c>
      <c r="AH1894" s="1" t="s">
        <v>58</v>
      </c>
      <c r="AI1894" s="1" t="s">
        <v>59</v>
      </c>
      <c r="AJ1894" s="1" t="s">
        <v>59</v>
      </c>
      <c r="AK1894" s="1" t="s">
        <v>60</v>
      </c>
      <c r="AL1894" s="1" t="s">
        <v>60</v>
      </c>
      <c r="AW1894" s="1" t="s">
        <v>3012</v>
      </c>
      <c r="AY1894" s="1">
        <v>2.0</v>
      </c>
      <c r="AZ1894" s="1">
        <v>59.99</v>
      </c>
      <c r="BB1894" s="1">
        <v>119.98</v>
      </c>
    </row>
    <row r="1895">
      <c r="A1895" s="1" t="s">
        <v>795</v>
      </c>
      <c r="C1895" s="1" t="s">
        <v>56</v>
      </c>
      <c r="D1895" s="1" t="s">
        <v>3013</v>
      </c>
      <c r="Y1895" s="2">
        <v>45513.0</v>
      </c>
      <c r="AE1895" s="1">
        <v>59.99</v>
      </c>
      <c r="AG1895" s="3" t="str">
        <f>"2000006152553861"</f>
        <v>2000006152553861</v>
      </c>
      <c r="AH1895" s="1" t="s">
        <v>58</v>
      </c>
      <c r="AI1895" s="1" t="s">
        <v>59</v>
      </c>
      <c r="AJ1895" s="1" t="s">
        <v>59</v>
      </c>
      <c r="AK1895" s="1" t="s">
        <v>60</v>
      </c>
      <c r="AL1895" s="1" t="s">
        <v>60</v>
      </c>
      <c r="AW1895" s="1" t="s">
        <v>797</v>
      </c>
      <c r="AY1895" s="1">
        <v>1.0</v>
      </c>
      <c r="AZ1895" s="1">
        <v>59.99</v>
      </c>
      <c r="BB1895" s="1">
        <v>59.99</v>
      </c>
    </row>
    <row r="1896">
      <c r="A1896" s="1" t="s">
        <v>1045</v>
      </c>
      <c r="C1896" s="1" t="s">
        <v>56</v>
      </c>
      <c r="D1896" s="1" t="s">
        <v>3014</v>
      </c>
      <c r="Y1896" s="2">
        <v>45513.0</v>
      </c>
      <c r="AE1896" s="1">
        <v>89.99</v>
      </c>
      <c r="AG1896" s="3" t="str">
        <f>"2000006152538943"</f>
        <v>2000006152538943</v>
      </c>
      <c r="AH1896" s="1" t="s">
        <v>58</v>
      </c>
      <c r="AI1896" s="1" t="s">
        <v>59</v>
      </c>
      <c r="AJ1896" s="1" t="s">
        <v>59</v>
      </c>
      <c r="AK1896" s="1" t="s">
        <v>60</v>
      </c>
      <c r="AL1896" s="1" t="s">
        <v>60</v>
      </c>
      <c r="AW1896" s="1" t="s">
        <v>1047</v>
      </c>
      <c r="AY1896" s="1">
        <v>1.0</v>
      </c>
      <c r="AZ1896" s="1">
        <v>89.99</v>
      </c>
      <c r="BB1896" s="1">
        <v>89.99</v>
      </c>
    </row>
    <row r="1897">
      <c r="A1897" s="1" t="s">
        <v>960</v>
      </c>
      <c r="C1897" s="1" t="s">
        <v>56</v>
      </c>
      <c r="D1897" s="1" t="s">
        <v>3015</v>
      </c>
      <c r="Y1897" s="2">
        <v>45513.0</v>
      </c>
      <c r="AE1897" s="1">
        <v>129.99</v>
      </c>
      <c r="AG1897" s="3" t="str">
        <f>"2000006152228301"</f>
        <v>2000006152228301</v>
      </c>
      <c r="AH1897" s="1" t="s">
        <v>58</v>
      </c>
      <c r="AI1897" s="1" t="s">
        <v>59</v>
      </c>
      <c r="AJ1897" s="1" t="s">
        <v>59</v>
      </c>
      <c r="AK1897" s="1" t="s">
        <v>60</v>
      </c>
      <c r="AL1897" s="1" t="s">
        <v>60</v>
      </c>
      <c r="AW1897" s="1" t="s">
        <v>763</v>
      </c>
      <c r="AY1897" s="1">
        <v>1.0</v>
      </c>
      <c r="AZ1897" s="1">
        <v>129.99</v>
      </c>
      <c r="BB1897" s="1">
        <v>129.99</v>
      </c>
    </row>
    <row r="1898">
      <c r="A1898" s="1" t="s">
        <v>525</v>
      </c>
      <c r="C1898" s="1" t="s">
        <v>235</v>
      </c>
      <c r="D1898" s="1" t="s">
        <v>2979</v>
      </c>
      <c r="Y1898" s="2">
        <v>45513.0</v>
      </c>
      <c r="AE1898" s="1">
        <v>109.98</v>
      </c>
      <c r="AG1898" s="3" t="str">
        <f>"2000006152478691"</f>
        <v>2000006152478691</v>
      </c>
      <c r="AH1898" s="1" t="s">
        <v>58</v>
      </c>
      <c r="AI1898" s="1" t="s">
        <v>59</v>
      </c>
      <c r="AJ1898" s="1" t="s">
        <v>59</v>
      </c>
      <c r="AK1898" s="1" t="s">
        <v>60</v>
      </c>
      <c r="AL1898" s="1" t="s">
        <v>60</v>
      </c>
      <c r="AW1898" s="1" t="s">
        <v>497</v>
      </c>
      <c r="AY1898" s="1">
        <v>2.0</v>
      </c>
      <c r="AZ1898" s="1">
        <v>54.99</v>
      </c>
      <c r="BB1898" s="1">
        <v>109.98</v>
      </c>
    </row>
    <row r="1899">
      <c r="A1899" s="1" t="s">
        <v>3016</v>
      </c>
      <c r="C1899" s="1" t="s">
        <v>56</v>
      </c>
      <c r="D1899" s="5" t="s">
        <v>3017</v>
      </c>
      <c r="Y1899" s="2">
        <v>45513.0</v>
      </c>
      <c r="AE1899" s="1">
        <v>249.99</v>
      </c>
      <c r="AG1899" s="3" t="str">
        <f>"2000006151588723"</f>
        <v>2000006151588723</v>
      </c>
      <c r="AH1899" s="1" t="s">
        <v>58</v>
      </c>
      <c r="AI1899" s="1" t="s">
        <v>59</v>
      </c>
      <c r="AJ1899" s="1" t="s">
        <v>59</v>
      </c>
      <c r="AK1899" s="1" t="s">
        <v>60</v>
      </c>
      <c r="AL1899" s="1" t="s">
        <v>60</v>
      </c>
      <c r="AW1899" s="1" t="s">
        <v>3018</v>
      </c>
      <c r="AY1899" s="1">
        <v>1.0</v>
      </c>
      <c r="AZ1899" s="1">
        <v>249.99</v>
      </c>
      <c r="BB1899" s="1">
        <v>249.99</v>
      </c>
    </row>
    <row r="1900">
      <c r="A1900" s="1" t="s">
        <v>3016</v>
      </c>
      <c r="C1900" s="1" t="s">
        <v>56</v>
      </c>
      <c r="D1900" s="5" t="s">
        <v>3017</v>
      </c>
      <c r="Y1900" s="2">
        <v>45513.0</v>
      </c>
      <c r="AE1900" s="1">
        <v>249.99</v>
      </c>
      <c r="AG1900" s="3" t="str">
        <f>"2000006151588725"</f>
        <v>2000006151588725</v>
      </c>
      <c r="AH1900" s="1" t="s">
        <v>58</v>
      </c>
      <c r="AI1900" s="1" t="s">
        <v>59</v>
      </c>
      <c r="AJ1900" s="1" t="s">
        <v>59</v>
      </c>
      <c r="AK1900" s="1" t="s">
        <v>60</v>
      </c>
      <c r="AL1900" s="1" t="s">
        <v>60</v>
      </c>
      <c r="AW1900" s="1" t="s">
        <v>3018</v>
      </c>
      <c r="AY1900" s="1">
        <v>1.0</v>
      </c>
      <c r="AZ1900" s="1">
        <v>249.99</v>
      </c>
      <c r="BB1900" s="1">
        <v>249.99</v>
      </c>
    </row>
    <row r="1901">
      <c r="A1901" s="1" t="s">
        <v>2815</v>
      </c>
      <c r="C1901" s="1" t="s">
        <v>56</v>
      </c>
      <c r="D1901" s="1" t="s">
        <v>3019</v>
      </c>
      <c r="Y1901" s="2">
        <v>45513.0</v>
      </c>
      <c r="AE1901" s="1">
        <v>119.99</v>
      </c>
      <c r="AG1901" s="3" t="str">
        <f>"2000006152478557"</f>
        <v>2000006152478557</v>
      </c>
      <c r="AH1901" s="1" t="s">
        <v>58</v>
      </c>
      <c r="AI1901" s="1" t="s">
        <v>59</v>
      </c>
      <c r="AJ1901" s="1" t="s">
        <v>59</v>
      </c>
      <c r="AK1901" s="1" t="s">
        <v>60</v>
      </c>
      <c r="AL1901" s="1" t="s">
        <v>60</v>
      </c>
      <c r="AW1901" s="1" t="s">
        <v>2817</v>
      </c>
      <c r="AY1901" s="1">
        <v>1.0</v>
      </c>
      <c r="AZ1901" s="1">
        <v>119.99</v>
      </c>
      <c r="BB1901" s="1">
        <v>119.99</v>
      </c>
    </row>
    <row r="1902">
      <c r="A1902" s="1" t="s">
        <v>319</v>
      </c>
      <c r="C1902" s="1" t="s">
        <v>56</v>
      </c>
      <c r="D1902" s="1" t="s">
        <v>3020</v>
      </c>
      <c r="Y1902" s="2">
        <v>45513.0</v>
      </c>
      <c r="AE1902" s="1">
        <v>74.99</v>
      </c>
      <c r="AG1902" s="3" t="str">
        <f>"2000006152461967"</f>
        <v>2000006152461967</v>
      </c>
      <c r="AH1902" s="1" t="s">
        <v>58</v>
      </c>
      <c r="AI1902" s="1" t="s">
        <v>59</v>
      </c>
      <c r="AJ1902" s="1" t="s">
        <v>59</v>
      </c>
      <c r="AK1902" s="1" t="s">
        <v>60</v>
      </c>
      <c r="AL1902" s="1" t="s">
        <v>60</v>
      </c>
      <c r="AW1902" s="1" t="s">
        <v>321</v>
      </c>
      <c r="AY1902" s="1">
        <v>1.0</v>
      </c>
      <c r="AZ1902" s="1">
        <v>74.99</v>
      </c>
      <c r="BB1902" s="1">
        <v>74.99</v>
      </c>
    </row>
    <row r="1903">
      <c r="A1903" s="1" t="s">
        <v>2929</v>
      </c>
      <c r="C1903" s="1" t="s">
        <v>56</v>
      </c>
      <c r="D1903" s="1" t="s">
        <v>3021</v>
      </c>
      <c r="Y1903" s="2">
        <v>45513.0</v>
      </c>
      <c r="AE1903" s="1">
        <v>59.99</v>
      </c>
      <c r="AG1903" s="3" t="str">
        <f>"2000006152427003"</f>
        <v>2000006152427003</v>
      </c>
      <c r="AH1903" s="1" t="s">
        <v>58</v>
      </c>
      <c r="AI1903" s="1" t="s">
        <v>59</v>
      </c>
      <c r="AJ1903" s="1" t="s">
        <v>59</v>
      </c>
      <c r="AK1903" s="1" t="s">
        <v>60</v>
      </c>
      <c r="AL1903" s="1" t="s">
        <v>60</v>
      </c>
      <c r="AW1903" s="1" t="s">
        <v>2931</v>
      </c>
      <c r="AY1903" s="1">
        <v>1.0</v>
      </c>
      <c r="AZ1903" s="1">
        <v>59.99</v>
      </c>
      <c r="BB1903" s="1">
        <v>59.99</v>
      </c>
    </row>
    <row r="1904">
      <c r="A1904" s="1" t="s">
        <v>345</v>
      </c>
      <c r="C1904" s="1" t="s">
        <v>2224</v>
      </c>
      <c r="D1904" s="1" t="s">
        <v>3022</v>
      </c>
      <c r="Y1904" s="2">
        <v>45513.0</v>
      </c>
      <c r="AE1904" s="1">
        <v>164.99</v>
      </c>
      <c r="AG1904" s="3" t="str">
        <f>"2000008995083672"</f>
        <v>2000008995083672</v>
      </c>
      <c r="AH1904" s="1" t="s">
        <v>58</v>
      </c>
      <c r="AI1904" s="1" t="s">
        <v>59</v>
      </c>
      <c r="AJ1904" s="1" t="s">
        <v>59</v>
      </c>
      <c r="AK1904" s="1" t="s">
        <v>60</v>
      </c>
      <c r="AL1904" s="1" t="s">
        <v>60</v>
      </c>
      <c r="AW1904" s="1" t="s">
        <v>347</v>
      </c>
      <c r="AY1904" s="1">
        <v>1.0</v>
      </c>
      <c r="AZ1904" s="1">
        <v>164.99</v>
      </c>
      <c r="BB1904" s="1">
        <v>164.99</v>
      </c>
    </row>
    <row r="1905">
      <c r="A1905" s="1" t="s">
        <v>224</v>
      </c>
      <c r="C1905" s="1" t="s">
        <v>56</v>
      </c>
      <c r="D1905" s="1" t="s">
        <v>3023</v>
      </c>
      <c r="Y1905" s="2">
        <v>45513.0</v>
      </c>
      <c r="AE1905" s="1">
        <v>119.99</v>
      </c>
      <c r="AG1905" s="3" t="str">
        <f>"2000006152403815"</f>
        <v>2000006152403815</v>
      </c>
      <c r="AH1905" s="1" t="s">
        <v>58</v>
      </c>
      <c r="AI1905" s="1" t="s">
        <v>59</v>
      </c>
      <c r="AJ1905" s="1" t="s">
        <v>59</v>
      </c>
      <c r="AK1905" s="1" t="s">
        <v>60</v>
      </c>
      <c r="AL1905" s="1" t="s">
        <v>60</v>
      </c>
      <c r="AW1905" s="1" t="s">
        <v>226</v>
      </c>
      <c r="AY1905" s="1">
        <v>1.0</v>
      </c>
      <c r="AZ1905" s="1">
        <v>119.99</v>
      </c>
      <c r="BB1905" s="1">
        <v>119.99</v>
      </c>
    </row>
    <row r="1906">
      <c r="A1906" s="1" t="s">
        <v>175</v>
      </c>
      <c r="C1906" s="1" t="s">
        <v>56</v>
      </c>
      <c r="D1906" s="1" t="s">
        <v>3024</v>
      </c>
      <c r="Y1906" s="2">
        <v>45513.0</v>
      </c>
      <c r="AE1906" s="1">
        <v>199.99</v>
      </c>
      <c r="AG1906" s="3" t="str">
        <f>"2000006152399631"</f>
        <v>2000006152399631</v>
      </c>
      <c r="AH1906" s="1" t="s">
        <v>58</v>
      </c>
      <c r="AI1906" s="1" t="s">
        <v>59</v>
      </c>
      <c r="AJ1906" s="1" t="s">
        <v>59</v>
      </c>
      <c r="AK1906" s="1" t="s">
        <v>60</v>
      </c>
      <c r="AL1906" s="1" t="s">
        <v>60</v>
      </c>
      <c r="AW1906" s="1" t="s">
        <v>177</v>
      </c>
      <c r="AY1906" s="1">
        <v>1.0</v>
      </c>
      <c r="AZ1906" s="1">
        <v>199.99</v>
      </c>
      <c r="BB1906" s="1">
        <v>199.99</v>
      </c>
    </row>
    <row r="1907">
      <c r="A1907" s="1" t="s">
        <v>2894</v>
      </c>
      <c r="C1907" s="1" t="s">
        <v>56</v>
      </c>
      <c r="D1907" s="1" t="s">
        <v>3025</v>
      </c>
      <c r="Y1907" s="2">
        <v>45513.0</v>
      </c>
      <c r="AE1907" s="1">
        <v>64.99</v>
      </c>
      <c r="AG1907" s="3" t="str">
        <f>"2000008994992924"</f>
        <v>2000008994992924</v>
      </c>
      <c r="AH1907" s="1" t="s">
        <v>58</v>
      </c>
      <c r="AI1907" s="1" t="s">
        <v>59</v>
      </c>
      <c r="AJ1907" s="1" t="s">
        <v>59</v>
      </c>
      <c r="AK1907" s="1" t="s">
        <v>60</v>
      </c>
      <c r="AL1907" s="1" t="s">
        <v>60</v>
      </c>
      <c r="AW1907" s="1" t="s">
        <v>3026</v>
      </c>
      <c r="AY1907" s="1">
        <v>1.0</v>
      </c>
      <c r="AZ1907" s="1">
        <v>64.99</v>
      </c>
      <c r="BB1907" s="1">
        <v>64.99</v>
      </c>
    </row>
    <row r="1908">
      <c r="A1908" s="1" t="s">
        <v>1946</v>
      </c>
      <c r="C1908" s="1" t="s">
        <v>235</v>
      </c>
      <c r="D1908" s="1" t="s">
        <v>2996</v>
      </c>
      <c r="Y1908" s="2">
        <v>45513.0</v>
      </c>
      <c r="AE1908" s="1">
        <v>39.99</v>
      </c>
      <c r="AG1908" s="3" t="str">
        <f>"2000006152374117"</f>
        <v>2000006152374117</v>
      </c>
      <c r="AH1908" s="1" t="s">
        <v>58</v>
      </c>
      <c r="AI1908" s="1" t="s">
        <v>59</v>
      </c>
      <c r="AJ1908" s="1" t="s">
        <v>59</v>
      </c>
      <c r="AK1908" s="1" t="s">
        <v>60</v>
      </c>
      <c r="AL1908" s="1" t="s">
        <v>60</v>
      </c>
      <c r="AW1908" s="1" t="s">
        <v>1529</v>
      </c>
      <c r="AY1908" s="1">
        <v>1.0</v>
      </c>
      <c r="AZ1908" s="1">
        <v>39.99</v>
      </c>
      <c r="BB1908" s="1">
        <v>39.99</v>
      </c>
    </row>
    <row r="1909">
      <c r="A1909" s="1" t="s">
        <v>3027</v>
      </c>
      <c r="C1909" s="1" t="s">
        <v>56</v>
      </c>
      <c r="D1909" s="1" t="s">
        <v>3028</v>
      </c>
      <c r="Y1909" s="2">
        <v>45513.0</v>
      </c>
      <c r="AE1909" s="1">
        <v>69.99</v>
      </c>
      <c r="AG1909" s="3" t="str">
        <f>"2000006152341095"</f>
        <v>2000006152341095</v>
      </c>
      <c r="AH1909" s="1" t="s">
        <v>58</v>
      </c>
      <c r="AI1909" s="1" t="s">
        <v>59</v>
      </c>
      <c r="AJ1909" s="1" t="s">
        <v>59</v>
      </c>
      <c r="AK1909" s="1" t="s">
        <v>60</v>
      </c>
      <c r="AL1909" s="1" t="s">
        <v>60</v>
      </c>
      <c r="AW1909" s="1" t="s">
        <v>3029</v>
      </c>
      <c r="AY1909" s="1">
        <v>1.0</v>
      </c>
      <c r="AZ1909" s="1">
        <v>69.99</v>
      </c>
      <c r="BB1909" s="1">
        <v>69.99</v>
      </c>
    </row>
    <row r="1910">
      <c r="A1910" s="1" t="s">
        <v>166</v>
      </c>
      <c r="C1910" s="1" t="s">
        <v>56</v>
      </c>
      <c r="D1910" s="1" t="s">
        <v>3030</v>
      </c>
      <c r="Y1910" s="2">
        <v>45513.0</v>
      </c>
      <c r="AE1910" s="1">
        <v>59.99</v>
      </c>
      <c r="AG1910" s="3" t="str">
        <f>"2000006152344963"</f>
        <v>2000006152344963</v>
      </c>
      <c r="AH1910" s="1" t="s">
        <v>58</v>
      </c>
      <c r="AI1910" s="1" t="s">
        <v>59</v>
      </c>
      <c r="AJ1910" s="1" t="s">
        <v>59</v>
      </c>
      <c r="AK1910" s="1" t="s">
        <v>60</v>
      </c>
      <c r="AL1910" s="1" t="s">
        <v>60</v>
      </c>
      <c r="AW1910" s="1" t="s">
        <v>165</v>
      </c>
      <c r="AY1910" s="1">
        <v>1.0</v>
      </c>
      <c r="AZ1910" s="1">
        <v>59.99</v>
      </c>
      <c r="BB1910" s="1">
        <v>59.99</v>
      </c>
    </row>
    <row r="1911">
      <c r="A1911" s="1" t="s">
        <v>2807</v>
      </c>
      <c r="C1911" s="1" t="s">
        <v>56</v>
      </c>
      <c r="D1911" s="1" t="s">
        <v>3031</v>
      </c>
      <c r="Y1911" s="2">
        <v>45513.0</v>
      </c>
      <c r="AE1911" s="1">
        <v>119.99</v>
      </c>
      <c r="AG1911" s="3" t="str">
        <f>"2000008994720052"</f>
        <v>2000008994720052</v>
      </c>
      <c r="AH1911" s="1" t="s">
        <v>58</v>
      </c>
      <c r="AI1911" s="1" t="s">
        <v>59</v>
      </c>
      <c r="AJ1911" s="1" t="s">
        <v>59</v>
      </c>
      <c r="AK1911" s="1" t="s">
        <v>60</v>
      </c>
      <c r="AL1911" s="1" t="s">
        <v>60</v>
      </c>
      <c r="AW1911" s="1" t="s">
        <v>2809</v>
      </c>
      <c r="AY1911" s="1">
        <v>1.0</v>
      </c>
      <c r="AZ1911" s="1">
        <v>119.99</v>
      </c>
      <c r="BB1911" s="1">
        <v>119.99</v>
      </c>
    </row>
    <row r="1912">
      <c r="A1912" s="1" t="s">
        <v>2777</v>
      </c>
      <c r="C1912" s="1" t="s">
        <v>56</v>
      </c>
      <c r="D1912" s="1" t="s">
        <v>3032</v>
      </c>
      <c r="Y1912" s="2">
        <v>45513.0</v>
      </c>
      <c r="AE1912" s="1">
        <v>194.99</v>
      </c>
      <c r="AG1912" s="3" t="str">
        <f>"2000006152307161"</f>
        <v>2000006152307161</v>
      </c>
      <c r="AH1912" s="1" t="s">
        <v>58</v>
      </c>
      <c r="AI1912" s="1" t="s">
        <v>59</v>
      </c>
      <c r="AJ1912" s="1" t="s">
        <v>59</v>
      </c>
      <c r="AK1912" s="1" t="s">
        <v>60</v>
      </c>
      <c r="AL1912" s="1" t="s">
        <v>60</v>
      </c>
      <c r="AW1912" s="1" t="s">
        <v>2779</v>
      </c>
      <c r="AY1912" s="1">
        <v>1.0</v>
      </c>
      <c r="AZ1912" s="1">
        <v>194.99</v>
      </c>
      <c r="BB1912" s="1">
        <v>194.99</v>
      </c>
    </row>
    <row r="1913">
      <c r="A1913" s="1" t="s">
        <v>1001</v>
      </c>
      <c r="C1913" s="1" t="s">
        <v>56</v>
      </c>
      <c r="D1913" s="1" t="s">
        <v>3033</v>
      </c>
      <c r="Y1913" s="2">
        <v>45513.0</v>
      </c>
      <c r="AE1913" s="1">
        <v>109.98</v>
      </c>
      <c r="AG1913" s="3" t="str">
        <f>"2000006152292335"</f>
        <v>2000006152292335</v>
      </c>
      <c r="AH1913" s="1" t="s">
        <v>58</v>
      </c>
      <c r="AI1913" s="1" t="s">
        <v>59</v>
      </c>
      <c r="AJ1913" s="1" t="s">
        <v>59</v>
      </c>
      <c r="AK1913" s="1" t="s">
        <v>60</v>
      </c>
      <c r="AL1913" s="1" t="s">
        <v>60</v>
      </c>
      <c r="AW1913" s="1" t="s">
        <v>85</v>
      </c>
      <c r="AY1913" s="1">
        <v>2.0</v>
      </c>
      <c r="AZ1913" s="1">
        <v>54.99</v>
      </c>
      <c r="BB1913" s="1">
        <v>109.98</v>
      </c>
    </row>
    <row r="1914">
      <c r="A1914" s="1" t="s">
        <v>125</v>
      </c>
      <c r="C1914" s="1" t="s">
        <v>56</v>
      </c>
      <c r="D1914" s="1" t="s">
        <v>3034</v>
      </c>
      <c r="Y1914" s="2">
        <v>45513.0</v>
      </c>
      <c r="AE1914" s="1">
        <v>49.99</v>
      </c>
      <c r="AG1914" s="3" t="str">
        <f>"2000006152265765"</f>
        <v>2000006152265765</v>
      </c>
      <c r="AH1914" s="1" t="s">
        <v>58</v>
      </c>
      <c r="AI1914" s="1" t="s">
        <v>59</v>
      </c>
      <c r="AJ1914" s="1" t="s">
        <v>59</v>
      </c>
      <c r="AK1914" s="1" t="s">
        <v>60</v>
      </c>
      <c r="AL1914" s="1" t="s">
        <v>60</v>
      </c>
      <c r="AW1914" s="1" t="s">
        <v>127</v>
      </c>
      <c r="AY1914" s="1">
        <v>1.0</v>
      </c>
      <c r="AZ1914" s="1">
        <v>49.99</v>
      </c>
      <c r="BB1914" s="1">
        <v>49.99</v>
      </c>
    </row>
    <row r="1915">
      <c r="A1915" s="1" t="s">
        <v>3035</v>
      </c>
      <c r="C1915" s="1" t="s">
        <v>235</v>
      </c>
      <c r="D1915" s="1" t="s">
        <v>3036</v>
      </c>
      <c r="Y1915" s="2">
        <v>45513.0</v>
      </c>
      <c r="AE1915" s="1">
        <v>69.99</v>
      </c>
      <c r="AG1915" s="3" t="str">
        <f>"2000006152170373"</f>
        <v>2000006152170373</v>
      </c>
      <c r="AH1915" s="1" t="s">
        <v>58</v>
      </c>
      <c r="AI1915" s="1" t="s">
        <v>59</v>
      </c>
      <c r="AJ1915" s="1" t="s">
        <v>59</v>
      </c>
      <c r="AK1915" s="1" t="s">
        <v>60</v>
      </c>
      <c r="AL1915" s="1" t="s">
        <v>60</v>
      </c>
      <c r="AW1915" s="1" t="s">
        <v>3037</v>
      </c>
      <c r="AY1915" s="1">
        <v>1.0</v>
      </c>
      <c r="AZ1915" s="1">
        <v>69.99</v>
      </c>
      <c r="BB1915" s="1">
        <v>69.99</v>
      </c>
    </row>
    <row r="1916">
      <c r="A1916" s="1" t="s">
        <v>3038</v>
      </c>
      <c r="C1916" s="1" t="s">
        <v>56</v>
      </c>
      <c r="D1916" s="1" t="s">
        <v>3039</v>
      </c>
      <c r="Y1916" s="2">
        <v>45513.0</v>
      </c>
      <c r="AE1916" s="1">
        <v>124.99</v>
      </c>
      <c r="AG1916" s="3" t="str">
        <f>"2000006152091007"</f>
        <v>2000006152091007</v>
      </c>
      <c r="AH1916" s="1" t="s">
        <v>58</v>
      </c>
      <c r="AI1916" s="1" t="s">
        <v>59</v>
      </c>
      <c r="AJ1916" s="1" t="s">
        <v>59</v>
      </c>
      <c r="AK1916" s="1" t="s">
        <v>60</v>
      </c>
      <c r="AL1916" s="1" t="s">
        <v>60</v>
      </c>
      <c r="AW1916" s="1" t="s">
        <v>3040</v>
      </c>
      <c r="AY1916" s="1">
        <v>1.0</v>
      </c>
      <c r="AZ1916" s="1">
        <v>124.99</v>
      </c>
      <c r="BB1916" s="1">
        <v>124.99</v>
      </c>
    </row>
    <row r="1917">
      <c r="A1917" s="1" t="s">
        <v>2925</v>
      </c>
      <c r="C1917" s="1" t="s">
        <v>56</v>
      </c>
      <c r="D1917" s="1" t="s">
        <v>3041</v>
      </c>
      <c r="Y1917" s="2">
        <v>45513.0</v>
      </c>
      <c r="AE1917" s="1">
        <v>159.99</v>
      </c>
      <c r="AG1917" s="3" t="str">
        <f>"2000008994647770"</f>
        <v>2000008994647770</v>
      </c>
      <c r="AH1917" s="1" t="s">
        <v>58</v>
      </c>
      <c r="AI1917" s="1" t="s">
        <v>59</v>
      </c>
      <c r="AJ1917" s="1" t="s">
        <v>59</v>
      </c>
      <c r="AK1917" s="1" t="s">
        <v>60</v>
      </c>
      <c r="AL1917" s="1" t="s">
        <v>60</v>
      </c>
      <c r="AW1917" s="1" t="s">
        <v>2927</v>
      </c>
      <c r="AY1917" s="1">
        <v>1.0</v>
      </c>
      <c r="AZ1917" s="1">
        <v>159.99</v>
      </c>
      <c r="BB1917" s="1">
        <v>159.99</v>
      </c>
    </row>
    <row r="1918">
      <c r="A1918" s="1" t="s">
        <v>2777</v>
      </c>
      <c r="C1918" s="1" t="s">
        <v>56</v>
      </c>
      <c r="D1918" s="1" t="s">
        <v>3042</v>
      </c>
      <c r="Y1918" s="2">
        <v>45513.0</v>
      </c>
      <c r="AE1918" s="1">
        <v>194.99</v>
      </c>
      <c r="AG1918" s="3" t="str">
        <f>"2000006152182381"</f>
        <v>2000006152182381</v>
      </c>
      <c r="AH1918" s="1" t="s">
        <v>58</v>
      </c>
      <c r="AI1918" s="1" t="s">
        <v>59</v>
      </c>
      <c r="AJ1918" s="1" t="s">
        <v>59</v>
      </c>
      <c r="AK1918" s="1" t="s">
        <v>60</v>
      </c>
      <c r="AL1918" s="1" t="s">
        <v>60</v>
      </c>
      <c r="AW1918" s="1" t="s">
        <v>2779</v>
      </c>
      <c r="AY1918" s="1">
        <v>1.0</v>
      </c>
      <c r="AZ1918" s="1">
        <v>194.99</v>
      </c>
      <c r="BB1918" s="1">
        <v>194.99</v>
      </c>
    </row>
    <row r="1919">
      <c r="A1919" s="1" t="s">
        <v>2784</v>
      </c>
      <c r="C1919" s="1" t="s">
        <v>56</v>
      </c>
      <c r="D1919" s="1" t="s">
        <v>3043</v>
      </c>
      <c r="Y1919" s="2">
        <v>45513.0</v>
      </c>
      <c r="AE1919" s="1">
        <v>79.98</v>
      </c>
      <c r="AG1919" s="3" t="str">
        <f>"2000006152176341"</f>
        <v>2000006152176341</v>
      </c>
      <c r="AH1919" s="1" t="s">
        <v>58</v>
      </c>
      <c r="AI1919" s="1" t="s">
        <v>59</v>
      </c>
      <c r="AJ1919" s="1" t="s">
        <v>59</v>
      </c>
      <c r="AK1919" s="1" t="s">
        <v>60</v>
      </c>
      <c r="AL1919" s="1" t="s">
        <v>60</v>
      </c>
      <c r="AW1919" s="1" t="s">
        <v>1529</v>
      </c>
      <c r="AY1919" s="1">
        <v>2.0</v>
      </c>
      <c r="AZ1919" s="1">
        <v>39.99</v>
      </c>
      <c r="BB1919" s="1">
        <v>79.98</v>
      </c>
    </row>
    <row r="1920">
      <c r="A1920" s="1" t="s">
        <v>721</v>
      </c>
      <c r="C1920" s="1" t="s">
        <v>56</v>
      </c>
      <c r="D1920" s="1" t="s">
        <v>3044</v>
      </c>
      <c r="Y1920" s="2">
        <v>45513.0</v>
      </c>
      <c r="AE1920" s="1">
        <v>54.99</v>
      </c>
      <c r="AG1920" s="3" t="str">
        <f>"2000006152172941"</f>
        <v>2000006152172941</v>
      </c>
      <c r="AH1920" s="1" t="s">
        <v>58</v>
      </c>
      <c r="AI1920" s="1" t="s">
        <v>59</v>
      </c>
      <c r="AJ1920" s="1" t="s">
        <v>59</v>
      </c>
      <c r="AK1920" s="1" t="s">
        <v>60</v>
      </c>
      <c r="AL1920" s="1" t="s">
        <v>60</v>
      </c>
      <c r="AW1920" s="1" t="s">
        <v>723</v>
      </c>
      <c r="AY1920" s="1">
        <v>1.0</v>
      </c>
      <c r="AZ1920" s="1">
        <v>54.99</v>
      </c>
      <c r="BB1920" s="1">
        <v>54.99</v>
      </c>
    </row>
    <row r="1921">
      <c r="A1921" s="1" t="s">
        <v>1829</v>
      </c>
      <c r="C1921" s="1" t="s">
        <v>56</v>
      </c>
      <c r="D1921" s="1" t="s">
        <v>3045</v>
      </c>
      <c r="Y1921" s="2">
        <v>45513.0</v>
      </c>
      <c r="AE1921" s="1">
        <v>59.99</v>
      </c>
      <c r="AG1921" s="3" t="str">
        <f>"2000006152148473"</f>
        <v>2000006152148473</v>
      </c>
      <c r="AH1921" s="1" t="s">
        <v>58</v>
      </c>
      <c r="AI1921" s="1" t="s">
        <v>59</v>
      </c>
      <c r="AJ1921" s="1" t="s">
        <v>59</v>
      </c>
      <c r="AK1921" s="1" t="s">
        <v>60</v>
      </c>
      <c r="AL1921" s="1" t="s">
        <v>60</v>
      </c>
      <c r="AW1921" s="1" t="s">
        <v>1831</v>
      </c>
      <c r="AY1921" s="1">
        <v>1.0</v>
      </c>
      <c r="AZ1921" s="1">
        <v>59.99</v>
      </c>
      <c r="BB1921" s="1">
        <v>59.99</v>
      </c>
    </row>
    <row r="1922">
      <c r="A1922" s="1" t="s">
        <v>1112</v>
      </c>
      <c r="C1922" s="1" t="s">
        <v>56</v>
      </c>
      <c r="D1922" s="1" t="s">
        <v>3046</v>
      </c>
      <c r="Y1922" s="2">
        <v>45513.0</v>
      </c>
      <c r="AE1922" s="1">
        <v>69.99</v>
      </c>
      <c r="AG1922" s="3" t="str">
        <f>"2000006151999683"</f>
        <v>2000006151999683</v>
      </c>
      <c r="AH1922" s="1" t="s">
        <v>58</v>
      </c>
      <c r="AI1922" s="1" t="s">
        <v>59</v>
      </c>
      <c r="AJ1922" s="1" t="s">
        <v>59</v>
      </c>
      <c r="AK1922" s="1" t="s">
        <v>60</v>
      </c>
      <c r="AL1922" s="1" t="s">
        <v>60</v>
      </c>
      <c r="AW1922" s="1" t="s">
        <v>1114</v>
      </c>
      <c r="AY1922" s="1">
        <v>1.0</v>
      </c>
      <c r="AZ1922" s="1">
        <v>69.99</v>
      </c>
      <c r="BB1922" s="1">
        <v>69.99</v>
      </c>
    </row>
    <row r="1923">
      <c r="A1923" s="1" t="s">
        <v>86</v>
      </c>
      <c r="C1923" s="1" t="s">
        <v>56</v>
      </c>
      <c r="D1923" s="1" t="s">
        <v>3047</v>
      </c>
      <c r="Y1923" s="2">
        <v>45513.0</v>
      </c>
      <c r="AE1923" s="1">
        <v>64.99</v>
      </c>
      <c r="AG1923" s="3" t="str">
        <f>"2000006152131993"</f>
        <v>2000006152131993</v>
      </c>
      <c r="AH1923" s="1" t="s">
        <v>58</v>
      </c>
      <c r="AI1923" s="1" t="s">
        <v>59</v>
      </c>
      <c r="AJ1923" s="1" t="s">
        <v>59</v>
      </c>
      <c r="AK1923" s="1" t="s">
        <v>60</v>
      </c>
      <c r="AL1923" s="1" t="s">
        <v>60</v>
      </c>
      <c r="AW1923" s="1" t="s">
        <v>88</v>
      </c>
      <c r="AY1923" s="1">
        <v>1.0</v>
      </c>
      <c r="AZ1923" s="1">
        <v>64.99</v>
      </c>
      <c r="BB1923" s="1">
        <v>64.99</v>
      </c>
    </row>
    <row r="1924">
      <c r="A1924" s="1" t="s">
        <v>1917</v>
      </c>
      <c r="C1924" s="1" t="s">
        <v>56</v>
      </c>
      <c r="D1924" s="1" t="s">
        <v>3048</v>
      </c>
      <c r="Y1924" s="2">
        <v>45513.0</v>
      </c>
      <c r="AE1924" s="1">
        <v>89.99</v>
      </c>
      <c r="AG1924" s="3" t="str">
        <f>"2000006152121753"</f>
        <v>2000006152121753</v>
      </c>
      <c r="AH1924" s="1" t="s">
        <v>58</v>
      </c>
      <c r="AI1924" s="1" t="s">
        <v>59</v>
      </c>
      <c r="AJ1924" s="1" t="s">
        <v>59</v>
      </c>
      <c r="AK1924" s="1" t="s">
        <v>60</v>
      </c>
      <c r="AL1924" s="1" t="s">
        <v>60</v>
      </c>
      <c r="AW1924" s="1" t="s">
        <v>1919</v>
      </c>
      <c r="AY1924" s="1">
        <v>1.0</v>
      </c>
      <c r="AZ1924" s="1">
        <v>89.99</v>
      </c>
      <c r="BB1924" s="1">
        <v>89.99</v>
      </c>
    </row>
    <row r="1925">
      <c r="A1925" s="1" t="s">
        <v>3049</v>
      </c>
      <c r="C1925" s="1" t="s">
        <v>56</v>
      </c>
      <c r="D1925" s="1" t="s">
        <v>3050</v>
      </c>
      <c r="Y1925" s="2">
        <v>45513.0</v>
      </c>
      <c r="AE1925" s="1">
        <v>79.99</v>
      </c>
      <c r="AG1925" s="3" t="str">
        <f>"2000006152088083"</f>
        <v>2000006152088083</v>
      </c>
      <c r="AH1925" s="1" t="s">
        <v>58</v>
      </c>
      <c r="AI1925" s="1" t="s">
        <v>59</v>
      </c>
      <c r="AJ1925" s="1" t="s">
        <v>59</v>
      </c>
      <c r="AK1925" s="1" t="s">
        <v>60</v>
      </c>
      <c r="AL1925" s="1" t="s">
        <v>60</v>
      </c>
      <c r="AW1925" s="1" t="s">
        <v>3051</v>
      </c>
      <c r="AY1925" s="1">
        <v>1.0</v>
      </c>
      <c r="AZ1925" s="1">
        <v>79.99</v>
      </c>
      <c r="BB1925" s="1">
        <v>79.99</v>
      </c>
    </row>
    <row r="1926">
      <c r="A1926" s="1" t="s">
        <v>1316</v>
      </c>
      <c r="C1926" s="1" t="s">
        <v>56</v>
      </c>
      <c r="D1926" s="1" t="s">
        <v>3052</v>
      </c>
      <c r="Y1926" s="2">
        <v>45513.0</v>
      </c>
      <c r="AE1926" s="1">
        <v>45.99</v>
      </c>
      <c r="AG1926" s="3" t="str">
        <f>"2000006152115215"</f>
        <v>2000006152115215</v>
      </c>
      <c r="AH1926" s="1" t="s">
        <v>58</v>
      </c>
      <c r="AI1926" s="1" t="s">
        <v>59</v>
      </c>
      <c r="AJ1926" s="1" t="s">
        <v>59</v>
      </c>
      <c r="AK1926" s="1" t="s">
        <v>60</v>
      </c>
      <c r="AL1926" s="1" t="s">
        <v>60</v>
      </c>
      <c r="AW1926" s="1" t="s">
        <v>100</v>
      </c>
      <c r="AY1926" s="1">
        <v>1.0</v>
      </c>
      <c r="AZ1926" s="1">
        <v>45.99</v>
      </c>
      <c r="BB1926" s="1">
        <v>45.99</v>
      </c>
    </row>
    <row r="1927">
      <c r="A1927" s="1" t="s">
        <v>3053</v>
      </c>
      <c r="C1927" s="1" t="s">
        <v>56</v>
      </c>
      <c r="D1927" s="1" t="s">
        <v>3054</v>
      </c>
      <c r="Y1927" s="2">
        <v>45513.0</v>
      </c>
      <c r="AE1927" s="1">
        <v>59.99</v>
      </c>
      <c r="AG1927" s="3" t="str">
        <f>"2000006152092815"</f>
        <v>2000006152092815</v>
      </c>
      <c r="AH1927" s="1" t="s">
        <v>58</v>
      </c>
      <c r="AI1927" s="1" t="s">
        <v>59</v>
      </c>
      <c r="AJ1927" s="1" t="s">
        <v>59</v>
      </c>
      <c r="AK1927" s="1" t="s">
        <v>60</v>
      </c>
      <c r="AL1927" s="1" t="s">
        <v>60</v>
      </c>
      <c r="AW1927" s="1" t="s">
        <v>1831</v>
      </c>
      <c r="AY1927" s="1">
        <v>1.0</v>
      </c>
      <c r="AZ1927" s="1">
        <v>59.99</v>
      </c>
      <c r="BB1927" s="1">
        <v>59.99</v>
      </c>
    </row>
    <row r="1928">
      <c r="A1928" s="1" t="s">
        <v>764</v>
      </c>
      <c r="C1928" s="1" t="s">
        <v>56</v>
      </c>
      <c r="D1928" s="1" t="s">
        <v>3055</v>
      </c>
      <c r="Y1928" s="2">
        <v>45513.0</v>
      </c>
      <c r="AE1928" s="1">
        <v>66.99</v>
      </c>
      <c r="AG1928" s="3" t="str">
        <f>"2000006152087403"</f>
        <v>2000006152087403</v>
      </c>
      <c r="AH1928" s="1" t="s">
        <v>58</v>
      </c>
      <c r="AI1928" s="1" t="s">
        <v>59</v>
      </c>
      <c r="AJ1928" s="1" t="s">
        <v>59</v>
      </c>
      <c r="AK1928" s="1" t="s">
        <v>60</v>
      </c>
      <c r="AL1928" s="1" t="s">
        <v>60</v>
      </c>
      <c r="AW1928" s="1" t="s">
        <v>766</v>
      </c>
      <c r="AY1928" s="1">
        <v>1.0</v>
      </c>
      <c r="AZ1928" s="1">
        <v>66.99</v>
      </c>
      <c r="BB1928" s="1">
        <v>66.99</v>
      </c>
    </row>
    <row r="1929">
      <c r="A1929" s="1" t="s">
        <v>153</v>
      </c>
      <c r="C1929" s="1" t="s">
        <v>56</v>
      </c>
      <c r="D1929" s="1" t="s">
        <v>3056</v>
      </c>
      <c r="Y1929" s="2">
        <v>45513.0</v>
      </c>
      <c r="AE1929" s="1">
        <v>47.18</v>
      </c>
      <c r="AG1929" s="3" t="str">
        <f>"2000006152075287"</f>
        <v>2000006152075287</v>
      </c>
      <c r="AH1929" s="1" t="s">
        <v>58</v>
      </c>
      <c r="AI1929" s="1" t="s">
        <v>59</v>
      </c>
      <c r="AJ1929" s="1" t="s">
        <v>59</v>
      </c>
      <c r="AK1929" s="1" t="s">
        <v>60</v>
      </c>
      <c r="AL1929" s="1" t="s">
        <v>60</v>
      </c>
      <c r="AW1929" s="1" t="s">
        <v>155</v>
      </c>
      <c r="AY1929" s="1">
        <v>1.0</v>
      </c>
      <c r="AZ1929" s="1">
        <v>47.18</v>
      </c>
      <c r="BB1929" s="1">
        <v>47.18</v>
      </c>
    </row>
    <row r="1930">
      <c r="A1930" s="1" t="s">
        <v>630</v>
      </c>
      <c r="C1930" s="1" t="s">
        <v>56</v>
      </c>
      <c r="D1930" s="1" t="s">
        <v>3057</v>
      </c>
      <c r="Y1930" s="2">
        <v>45513.0</v>
      </c>
      <c r="AE1930" s="1">
        <v>189.99</v>
      </c>
      <c r="AG1930" s="3" t="str">
        <f>"2000006152020645"</f>
        <v>2000006152020645</v>
      </c>
      <c r="AH1930" s="1" t="s">
        <v>58</v>
      </c>
      <c r="AI1930" s="1" t="s">
        <v>59</v>
      </c>
      <c r="AJ1930" s="1" t="s">
        <v>59</v>
      </c>
      <c r="AK1930" s="1" t="s">
        <v>60</v>
      </c>
      <c r="AL1930" s="1" t="s">
        <v>60</v>
      </c>
      <c r="AW1930" s="1" t="s">
        <v>632</v>
      </c>
      <c r="AY1930" s="1">
        <v>1.0</v>
      </c>
      <c r="AZ1930" s="1">
        <v>189.99</v>
      </c>
      <c r="BB1930" s="1">
        <v>189.99</v>
      </c>
    </row>
    <row r="1931">
      <c r="A1931" s="1" t="s">
        <v>3058</v>
      </c>
      <c r="C1931" s="1" t="s">
        <v>235</v>
      </c>
      <c r="D1931" s="1" t="s">
        <v>3059</v>
      </c>
      <c r="Y1931" s="2">
        <v>45513.0</v>
      </c>
      <c r="AE1931" s="1">
        <v>79.99</v>
      </c>
      <c r="AG1931" s="3" t="str">
        <f>"2000006152006735"</f>
        <v>2000006152006735</v>
      </c>
      <c r="AH1931" s="1" t="s">
        <v>58</v>
      </c>
      <c r="AI1931" s="1" t="s">
        <v>59</v>
      </c>
      <c r="AJ1931" s="1" t="s">
        <v>59</v>
      </c>
      <c r="AK1931" s="1" t="s">
        <v>60</v>
      </c>
      <c r="AL1931" s="1" t="s">
        <v>60</v>
      </c>
      <c r="AW1931" s="1" t="s">
        <v>3060</v>
      </c>
      <c r="AY1931" s="1">
        <v>1.0</v>
      </c>
      <c r="AZ1931" s="1">
        <v>79.99</v>
      </c>
      <c r="BB1931" s="1">
        <v>79.99</v>
      </c>
    </row>
    <row r="1932">
      <c r="A1932" s="1" t="s">
        <v>348</v>
      </c>
      <c r="C1932" s="1" t="s">
        <v>235</v>
      </c>
      <c r="D1932" s="1" t="s">
        <v>3061</v>
      </c>
      <c r="Y1932" s="2">
        <v>45513.0</v>
      </c>
      <c r="AE1932" s="1">
        <v>99.99</v>
      </c>
      <c r="AG1932" s="3" t="str">
        <f>"2000008994277466"</f>
        <v>2000008994277466</v>
      </c>
      <c r="AH1932" s="1" t="s">
        <v>58</v>
      </c>
      <c r="AI1932" s="1" t="s">
        <v>59</v>
      </c>
      <c r="AJ1932" s="1" t="s">
        <v>59</v>
      </c>
      <c r="AK1932" s="1" t="s">
        <v>60</v>
      </c>
      <c r="AL1932" s="1" t="s">
        <v>60</v>
      </c>
      <c r="AW1932" s="1" t="s">
        <v>350</v>
      </c>
      <c r="AY1932" s="1">
        <v>1.0</v>
      </c>
      <c r="AZ1932" s="1">
        <v>99.99</v>
      </c>
      <c r="BB1932" s="1">
        <v>99.99</v>
      </c>
    </row>
    <row r="1933">
      <c r="A1933" s="1" t="s">
        <v>514</v>
      </c>
      <c r="C1933" s="1" t="s">
        <v>56</v>
      </c>
      <c r="D1933" s="1" t="s">
        <v>3062</v>
      </c>
      <c r="Y1933" s="2">
        <v>45513.0</v>
      </c>
      <c r="AE1933" s="1">
        <v>179.97</v>
      </c>
      <c r="AG1933" s="3" t="str">
        <f>"2000006151986539"</f>
        <v>2000006151986539</v>
      </c>
      <c r="AH1933" s="1" t="s">
        <v>58</v>
      </c>
      <c r="AI1933" s="1" t="s">
        <v>59</v>
      </c>
      <c r="AJ1933" s="1" t="s">
        <v>59</v>
      </c>
      <c r="AK1933" s="1" t="s">
        <v>60</v>
      </c>
      <c r="AL1933" s="1" t="s">
        <v>60</v>
      </c>
      <c r="AW1933" s="1" t="s">
        <v>516</v>
      </c>
      <c r="AY1933" s="1">
        <v>3.0</v>
      </c>
      <c r="AZ1933" s="1">
        <v>59.99</v>
      </c>
      <c r="BB1933" s="1">
        <v>179.97</v>
      </c>
    </row>
    <row r="1934">
      <c r="A1934" s="1" t="s">
        <v>705</v>
      </c>
      <c r="C1934" s="1" t="s">
        <v>56</v>
      </c>
      <c r="D1934" s="1" t="s">
        <v>3063</v>
      </c>
      <c r="Y1934" s="2">
        <v>45513.0</v>
      </c>
      <c r="AE1934" s="1">
        <v>42.99</v>
      </c>
      <c r="AG1934" s="3" t="str">
        <f>"2000006151923515"</f>
        <v>2000006151923515</v>
      </c>
      <c r="AH1934" s="1" t="s">
        <v>58</v>
      </c>
      <c r="AI1934" s="1" t="s">
        <v>59</v>
      </c>
      <c r="AJ1934" s="1" t="s">
        <v>59</v>
      </c>
      <c r="AK1934" s="1" t="s">
        <v>60</v>
      </c>
      <c r="AL1934" s="1" t="s">
        <v>60</v>
      </c>
      <c r="AW1934" s="1" t="s">
        <v>707</v>
      </c>
      <c r="AY1934" s="1">
        <v>1.0</v>
      </c>
      <c r="AZ1934" s="1">
        <v>42.99</v>
      </c>
      <c r="BB1934" s="1">
        <v>42.99</v>
      </c>
    </row>
    <row r="1935">
      <c r="A1935" s="1" t="s">
        <v>1103</v>
      </c>
      <c r="C1935" s="1" t="s">
        <v>56</v>
      </c>
      <c r="D1935" s="1" t="s">
        <v>3064</v>
      </c>
      <c r="Y1935" s="2">
        <v>45513.0</v>
      </c>
      <c r="AE1935" s="1">
        <v>59.99</v>
      </c>
      <c r="AG1935" s="3" t="str">
        <f>"2000006151896083"</f>
        <v>2000006151896083</v>
      </c>
      <c r="AH1935" s="1" t="s">
        <v>58</v>
      </c>
      <c r="AI1935" s="1" t="s">
        <v>59</v>
      </c>
      <c r="AJ1935" s="1" t="s">
        <v>59</v>
      </c>
      <c r="AK1935" s="1" t="s">
        <v>60</v>
      </c>
      <c r="AL1935" s="1" t="s">
        <v>60</v>
      </c>
      <c r="AW1935" s="1" t="s">
        <v>1105</v>
      </c>
      <c r="AY1935" s="1">
        <v>1.0</v>
      </c>
      <c r="AZ1935" s="1">
        <v>59.99</v>
      </c>
      <c r="BB1935" s="1">
        <v>59.99</v>
      </c>
    </row>
    <row r="1936">
      <c r="A1936" s="1" t="s">
        <v>1912</v>
      </c>
      <c r="C1936" s="1" t="s">
        <v>56</v>
      </c>
      <c r="D1936" s="1" t="s">
        <v>3065</v>
      </c>
      <c r="Y1936" s="2">
        <v>45513.0</v>
      </c>
      <c r="AE1936" s="1">
        <v>289.99</v>
      </c>
      <c r="AG1936" s="3" t="str">
        <f>"2000006151838463"</f>
        <v>2000006151838463</v>
      </c>
      <c r="AH1936" s="1" t="s">
        <v>58</v>
      </c>
      <c r="AI1936" s="1" t="s">
        <v>59</v>
      </c>
      <c r="AJ1936" s="1" t="s">
        <v>59</v>
      </c>
      <c r="AK1936" s="1" t="s">
        <v>60</v>
      </c>
      <c r="AL1936" s="1" t="s">
        <v>60</v>
      </c>
      <c r="AW1936" s="1" t="s">
        <v>1914</v>
      </c>
      <c r="AY1936" s="1">
        <v>1.0</v>
      </c>
      <c r="AZ1936" s="1">
        <v>289.99</v>
      </c>
      <c r="BB1936" s="1">
        <v>289.99</v>
      </c>
    </row>
    <row r="1937">
      <c r="A1937" s="1" t="s">
        <v>125</v>
      </c>
      <c r="C1937" s="1" t="s">
        <v>56</v>
      </c>
      <c r="D1937" s="1" t="s">
        <v>3066</v>
      </c>
      <c r="Y1937" s="2">
        <v>45513.0</v>
      </c>
      <c r="AE1937" s="1">
        <v>49.99</v>
      </c>
      <c r="AG1937" s="3" t="str">
        <f>"2000006151819535"</f>
        <v>2000006151819535</v>
      </c>
      <c r="AH1937" s="1" t="s">
        <v>58</v>
      </c>
      <c r="AI1937" s="1" t="s">
        <v>59</v>
      </c>
      <c r="AJ1937" s="1" t="s">
        <v>59</v>
      </c>
      <c r="AK1937" s="1" t="s">
        <v>60</v>
      </c>
      <c r="AL1937" s="1" t="s">
        <v>60</v>
      </c>
      <c r="AW1937" s="1" t="s">
        <v>127</v>
      </c>
      <c r="AY1937" s="1">
        <v>1.0</v>
      </c>
      <c r="AZ1937" s="1">
        <v>49.99</v>
      </c>
      <c r="BB1937" s="1">
        <v>49.99</v>
      </c>
    </row>
    <row r="1938">
      <c r="A1938" s="1" t="s">
        <v>383</v>
      </c>
      <c r="C1938" s="1" t="s">
        <v>56</v>
      </c>
      <c r="D1938" s="1" t="s">
        <v>3067</v>
      </c>
      <c r="Y1938" s="2">
        <v>45513.0</v>
      </c>
      <c r="AE1938" s="1">
        <v>159.99</v>
      </c>
      <c r="AG1938" s="3" t="str">
        <f>"2000008993927608"</f>
        <v>2000008993927608</v>
      </c>
      <c r="AH1938" s="1" t="s">
        <v>58</v>
      </c>
      <c r="AI1938" s="1" t="s">
        <v>59</v>
      </c>
      <c r="AJ1938" s="1" t="s">
        <v>59</v>
      </c>
      <c r="AK1938" s="1" t="s">
        <v>60</v>
      </c>
      <c r="AL1938" s="1" t="s">
        <v>60</v>
      </c>
      <c r="AW1938" s="1" t="s">
        <v>385</v>
      </c>
      <c r="AY1938" s="1">
        <v>1.0</v>
      </c>
      <c r="AZ1938" s="1">
        <v>159.99</v>
      </c>
      <c r="BB1938" s="1">
        <v>159.99</v>
      </c>
    </row>
    <row r="1939">
      <c r="A1939" s="1" t="s">
        <v>230</v>
      </c>
      <c r="C1939" s="1" t="s">
        <v>56</v>
      </c>
      <c r="D1939" s="1" t="s">
        <v>3068</v>
      </c>
      <c r="Y1939" s="2">
        <v>45513.0</v>
      </c>
      <c r="AE1939" s="1">
        <v>54.99</v>
      </c>
      <c r="AG1939" s="3" t="str">
        <f>"2000006151803059"</f>
        <v>2000006151803059</v>
      </c>
      <c r="AH1939" s="1" t="s">
        <v>58</v>
      </c>
      <c r="AI1939" s="1" t="s">
        <v>59</v>
      </c>
      <c r="AJ1939" s="1" t="s">
        <v>59</v>
      </c>
      <c r="AK1939" s="1" t="s">
        <v>60</v>
      </c>
      <c r="AL1939" s="1" t="s">
        <v>60</v>
      </c>
      <c r="AW1939" s="1" t="s">
        <v>85</v>
      </c>
      <c r="AY1939" s="1">
        <v>1.0</v>
      </c>
      <c r="AZ1939" s="1">
        <v>54.99</v>
      </c>
      <c r="BB1939" s="1">
        <v>54.99</v>
      </c>
    </row>
    <row r="1940">
      <c r="A1940" s="1" t="s">
        <v>559</v>
      </c>
      <c r="C1940" s="1" t="s">
        <v>56</v>
      </c>
      <c r="D1940" s="1" t="s">
        <v>3069</v>
      </c>
      <c r="Y1940" s="2">
        <v>45513.0</v>
      </c>
      <c r="AE1940" s="1">
        <v>119.98</v>
      </c>
      <c r="AG1940" s="3" t="str">
        <f>"2000006151797197"</f>
        <v>2000006151797197</v>
      </c>
      <c r="AH1940" s="1" t="s">
        <v>58</v>
      </c>
      <c r="AI1940" s="1" t="s">
        <v>59</v>
      </c>
      <c r="AJ1940" s="1" t="s">
        <v>59</v>
      </c>
      <c r="AK1940" s="1" t="s">
        <v>60</v>
      </c>
      <c r="AL1940" s="1" t="s">
        <v>60</v>
      </c>
      <c r="AW1940" s="1" t="s">
        <v>558</v>
      </c>
      <c r="AY1940" s="1">
        <v>2.0</v>
      </c>
      <c r="AZ1940" s="1">
        <v>59.99</v>
      </c>
      <c r="BB1940" s="1">
        <v>119.98</v>
      </c>
    </row>
    <row r="1941">
      <c r="A1941" s="1" t="s">
        <v>942</v>
      </c>
      <c r="C1941" s="1" t="s">
        <v>56</v>
      </c>
      <c r="D1941" s="1" t="s">
        <v>3070</v>
      </c>
      <c r="Y1941" s="2">
        <v>45513.0</v>
      </c>
      <c r="AE1941" s="1">
        <v>459.96</v>
      </c>
      <c r="AG1941" s="3" t="str">
        <f>"2000006151777325"</f>
        <v>2000006151777325</v>
      </c>
      <c r="AH1941" s="1" t="s">
        <v>58</v>
      </c>
      <c r="AI1941" s="1" t="s">
        <v>59</v>
      </c>
      <c r="AJ1941" s="1" t="s">
        <v>59</v>
      </c>
      <c r="AK1941" s="1" t="s">
        <v>60</v>
      </c>
      <c r="AL1941" s="1" t="s">
        <v>60</v>
      </c>
      <c r="AW1941" s="1" t="s">
        <v>944</v>
      </c>
      <c r="AY1941" s="1">
        <v>4.0</v>
      </c>
      <c r="AZ1941" s="1">
        <v>114.99</v>
      </c>
      <c r="BB1941" s="1">
        <v>459.96</v>
      </c>
    </row>
    <row r="1942">
      <c r="A1942" s="1" t="s">
        <v>135</v>
      </c>
      <c r="C1942" s="1" t="s">
        <v>56</v>
      </c>
      <c r="D1942" s="1" t="s">
        <v>2167</v>
      </c>
      <c r="Y1942" s="2">
        <v>45513.0</v>
      </c>
      <c r="AE1942" s="1">
        <v>89.99</v>
      </c>
      <c r="AG1942" s="3" t="str">
        <f>"2000008993818862"</f>
        <v>2000008993818862</v>
      </c>
      <c r="AH1942" s="1" t="s">
        <v>58</v>
      </c>
      <c r="AI1942" s="1" t="s">
        <v>59</v>
      </c>
      <c r="AJ1942" s="1" t="s">
        <v>59</v>
      </c>
      <c r="AK1942" s="1" t="s">
        <v>60</v>
      </c>
      <c r="AL1942" s="1" t="s">
        <v>60</v>
      </c>
      <c r="AW1942" s="1" t="s">
        <v>137</v>
      </c>
      <c r="AY1942" s="1">
        <v>1.0</v>
      </c>
      <c r="AZ1942" s="1">
        <v>89.99</v>
      </c>
      <c r="BB1942" s="1">
        <v>89.99</v>
      </c>
    </row>
    <row r="1943">
      <c r="A1943" s="1" t="s">
        <v>1766</v>
      </c>
      <c r="C1943" s="1" t="s">
        <v>56</v>
      </c>
      <c r="D1943" s="1" t="s">
        <v>3071</v>
      </c>
      <c r="Y1943" s="2">
        <v>45513.0</v>
      </c>
      <c r="AE1943" s="1">
        <v>99.99</v>
      </c>
      <c r="AG1943" s="3" t="str">
        <f>"2000006151723025"</f>
        <v>2000006151723025</v>
      </c>
      <c r="AH1943" s="1" t="s">
        <v>58</v>
      </c>
      <c r="AI1943" s="1" t="s">
        <v>59</v>
      </c>
      <c r="AJ1943" s="1" t="s">
        <v>59</v>
      </c>
      <c r="AK1943" s="1" t="s">
        <v>60</v>
      </c>
      <c r="AL1943" s="1" t="s">
        <v>60</v>
      </c>
      <c r="AW1943" s="1" t="s">
        <v>895</v>
      </c>
      <c r="AY1943" s="1">
        <v>1.0</v>
      </c>
      <c r="AZ1943" s="1">
        <v>99.99</v>
      </c>
      <c r="BB1943" s="1">
        <v>99.99</v>
      </c>
    </row>
    <row r="1944">
      <c r="A1944" s="1" t="s">
        <v>283</v>
      </c>
      <c r="C1944" s="1" t="s">
        <v>56</v>
      </c>
      <c r="D1944" s="1" t="s">
        <v>3072</v>
      </c>
      <c r="Y1944" s="2">
        <v>45513.0</v>
      </c>
      <c r="AE1944" s="1">
        <v>499.99</v>
      </c>
      <c r="AG1944" s="3" t="str">
        <f>"2000008993714574"</f>
        <v>2000008993714574</v>
      </c>
      <c r="AH1944" s="1" t="s">
        <v>58</v>
      </c>
      <c r="AI1944" s="1" t="s">
        <v>59</v>
      </c>
      <c r="AJ1944" s="1" t="s">
        <v>59</v>
      </c>
      <c r="AK1944" s="1" t="s">
        <v>60</v>
      </c>
      <c r="AL1944" s="1" t="s">
        <v>60</v>
      </c>
      <c r="AW1944" s="1" t="s">
        <v>285</v>
      </c>
      <c r="AY1944" s="1">
        <v>1.0</v>
      </c>
      <c r="AZ1944" s="1">
        <v>499.99</v>
      </c>
      <c r="BB1944" s="1">
        <v>499.99</v>
      </c>
    </row>
    <row r="1945">
      <c r="A1945" s="1" t="s">
        <v>1716</v>
      </c>
      <c r="C1945" s="1" t="s">
        <v>56</v>
      </c>
      <c r="D1945" s="1" t="s">
        <v>3073</v>
      </c>
      <c r="Y1945" s="2">
        <v>45513.0</v>
      </c>
      <c r="AE1945" s="1">
        <v>64.99</v>
      </c>
      <c r="AG1945" s="3" t="str">
        <f>"2000006151625491"</f>
        <v>2000006151625491</v>
      </c>
      <c r="AH1945" s="1" t="s">
        <v>58</v>
      </c>
      <c r="AI1945" s="1" t="s">
        <v>59</v>
      </c>
      <c r="AJ1945" s="1" t="s">
        <v>59</v>
      </c>
      <c r="AK1945" s="1" t="s">
        <v>60</v>
      </c>
      <c r="AL1945" s="1" t="s">
        <v>60</v>
      </c>
      <c r="AW1945" s="1" t="s">
        <v>1718</v>
      </c>
      <c r="AY1945" s="1">
        <v>1.0</v>
      </c>
      <c r="AZ1945" s="1">
        <v>64.99</v>
      </c>
      <c r="BB1945" s="1">
        <v>64.99</v>
      </c>
    </row>
    <row r="1946">
      <c r="A1946" s="1" t="s">
        <v>3016</v>
      </c>
      <c r="C1946" s="1" t="s">
        <v>56</v>
      </c>
      <c r="D1946" s="1" t="s">
        <v>3074</v>
      </c>
      <c r="Y1946" s="2">
        <v>45513.0</v>
      </c>
      <c r="AE1946" s="1">
        <v>249.99</v>
      </c>
      <c r="AG1946" s="3" t="str">
        <f>"2000006151598605"</f>
        <v>2000006151598605</v>
      </c>
      <c r="AH1946" s="1" t="s">
        <v>58</v>
      </c>
      <c r="AI1946" s="1" t="s">
        <v>59</v>
      </c>
      <c r="AJ1946" s="1" t="s">
        <v>59</v>
      </c>
      <c r="AK1946" s="1" t="s">
        <v>60</v>
      </c>
      <c r="AL1946" s="1" t="s">
        <v>60</v>
      </c>
      <c r="AW1946" s="1" t="s">
        <v>3018</v>
      </c>
      <c r="AY1946" s="1">
        <v>1.0</v>
      </c>
      <c r="AZ1946" s="1">
        <v>249.99</v>
      </c>
      <c r="BB1946" s="1">
        <v>249.99</v>
      </c>
    </row>
    <row r="1947">
      <c r="A1947" s="1" t="s">
        <v>86</v>
      </c>
      <c r="C1947" s="1" t="s">
        <v>56</v>
      </c>
      <c r="D1947" s="1" t="s">
        <v>3075</v>
      </c>
      <c r="Y1947" s="2">
        <v>45513.0</v>
      </c>
      <c r="AE1947" s="1">
        <v>64.99</v>
      </c>
      <c r="AG1947" s="3" t="str">
        <f>"2000006151471783"</f>
        <v>2000006151471783</v>
      </c>
      <c r="AH1947" s="1" t="s">
        <v>58</v>
      </c>
      <c r="AI1947" s="1" t="s">
        <v>59</v>
      </c>
      <c r="AJ1947" s="1" t="s">
        <v>59</v>
      </c>
      <c r="AK1947" s="1" t="s">
        <v>60</v>
      </c>
      <c r="AL1947" s="1" t="s">
        <v>60</v>
      </c>
      <c r="AW1947" s="1" t="s">
        <v>88</v>
      </c>
      <c r="AY1947" s="1">
        <v>1.0</v>
      </c>
      <c r="AZ1947" s="1">
        <v>64.99</v>
      </c>
      <c r="BB1947" s="1">
        <v>64.99</v>
      </c>
    </row>
    <row r="1948">
      <c r="A1948" s="1" t="s">
        <v>636</v>
      </c>
      <c r="C1948" s="1" t="s">
        <v>56</v>
      </c>
      <c r="D1948" s="1" t="s">
        <v>3076</v>
      </c>
      <c r="Y1948" s="2">
        <v>45513.0</v>
      </c>
      <c r="AE1948" s="1">
        <v>109.99</v>
      </c>
      <c r="AG1948" s="3" t="str">
        <f>"2000008993199258"</f>
        <v>2000008993199258</v>
      </c>
      <c r="AH1948" s="1" t="s">
        <v>58</v>
      </c>
      <c r="AI1948" s="1" t="s">
        <v>59</v>
      </c>
      <c r="AJ1948" s="1" t="s">
        <v>59</v>
      </c>
      <c r="AK1948" s="1" t="s">
        <v>60</v>
      </c>
      <c r="AL1948" s="1" t="s">
        <v>60</v>
      </c>
      <c r="AW1948" s="1" t="s">
        <v>638</v>
      </c>
      <c r="AY1948" s="1">
        <v>1.0</v>
      </c>
      <c r="AZ1948" s="1">
        <v>109.99</v>
      </c>
      <c r="BB1948" s="1">
        <v>109.99</v>
      </c>
    </row>
    <row r="1949">
      <c r="A1949" s="1" t="s">
        <v>271</v>
      </c>
      <c r="C1949" s="1" t="s">
        <v>56</v>
      </c>
      <c r="D1949" s="1" t="s">
        <v>3077</v>
      </c>
      <c r="Y1949" s="2">
        <v>45513.0</v>
      </c>
      <c r="AE1949" s="1">
        <v>54.99</v>
      </c>
      <c r="AG1949" s="3" t="str">
        <f>"2000006151391933"</f>
        <v>2000006151391933</v>
      </c>
      <c r="AH1949" s="1" t="s">
        <v>58</v>
      </c>
      <c r="AI1949" s="1" t="s">
        <v>59</v>
      </c>
      <c r="AJ1949" s="1" t="s">
        <v>59</v>
      </c>
      <c r="AK1949" s="1" t="s">
        <v>60</v>
      </c>
      <c r="AL1949" s="1" t="s">
        <v>60</v>
      </c>
      <c r="AW1949" s="1" t="s">
        <v>110</v>
      </c>
      <c r="AY1949" s="1">
        <v>1.0</v>
      </c>
      <c r="AZ1949" s="1">
        <v>54.99</v>
      </c>
      <c r="BB1949" s="1">
        <v>54.99</v>
      </c>
    </row>
    <row r="1950">
      <c r="A1950" s="1" t="s">
        <v>2269</v>
      </c>
      <c r="C1950" s="1" t="s">
        <v>56</v>
      </c>
      <c r="D1950" s="1" t="s">
        <v>3078</v>
      </c>
      <c r="Y1950" s="2">
        <v>45513.0</v>
      </c>
      <c r="AE1950" s="1">
        <v>49.99</v>
      </c>
      <c r="AG1950" s="3" t="str">
        <f>"2000006151328203"</f>
        <v>2000006151328203</v>
      </c>
      <c r="AH1950" s="1" t="s">
        <v>58</v>
      </c>
      <c r="AI1950" s="1" t="s">
        <v>59</v>
      </c>
      <c r="AJ1950" s="1" t="s">
        <v>59</v>
      </c>
      <c r="AK1950" s="1" t="s">
        <v>60</v>
      </c>
      <c r="AL1950" s="1" t="s">
        <v>60</v>
      </c>
      <c r="AW1950" s="1" t="s">
        <v>1838</v>
      </c>
      <c r="AY1950" s="1">
        <v>1.0</v>
      </c>
      <c r="AZ1950" s="1">
        <v>49.99</v>
      </c>
      <c r="BB1950" s="1">
        <v>49.99</v>
      </c>
    </row>
    <row r="1951">
      <c r="A1951" s="1" t="s">
        <v>668</v>
      </c>
      <c r="C1951" s="1" t="s">
        <v>56</v>
      </c>
      <c r="D1951" s="1" t="s">
        <v>3079</v>
      </c>
      <c r="Y1951" s="2">
        <v>45513.0</v>
      </c>
      <c r="AE1951" s="1">
        <v>129.99</v>
      </c>
      <c r="AG1951" s="3" t="str">
        <f>"2000008992922368"</f>
        <v>2000008992922368</v>
      </c>
      <c r="AH1951" s="1" t="s">
        <v>58</v>
      </c>
      <c r="AI1951" s="1" t="s">
        <v>59</v>
      </c>
      <c r="AJ1951" s="1" t="s">
        <v>59</v>
      </c>
      <c r="AK1951" s="1" t="s">
        <v>60</v>
      </c>
      <c r="AL1951" s="1" t="s">
        <v>60</v>
      </c>
      <c r="AW1951" s="1" t="s">
        <v>3080</v>
      </c>
      <c r="AY1951" s="1">
        <v>1.0</v>
      </c>
      <c r="AZ1951" s="1">
        <v>129.99</v>
      </c>
      <c r="BB1951" s="1">
        <v>129.99</v>
      </c>
    </row>
    <row r="1952">
      <c r="A1952" s="1" t="s">
        <v>166</v>
      </c>
      <c r="C1952" s="1" t="s">
        <v>56</v>
      </c>
      <c r="D1952" s="1" t="s">
        <v>3081</v>
      </c>
      <c r="Y1952" s="2">
        <v>45513.0</v>
      </c>
      <c r="AE1952" s="1">
        <v>59.99</v>
      </c>
      <c r="AG1952" s="3" t="str">
        <f>"2000006151311131"</f>
        <v>2000006151311131</v>
      </c>
      <c r="AH1952" s="1" t="s">
        <v>58</v>
      </c>
      <c r="AI1952" s="1" t="s">
        <v>59</v>
      </c>
      <c r="AJ1952" s="1" t="s">
        <v>59</v>
      </c>
      <c r="AK1952" s="1" t="s">
        <v>60</v>
      </c>
      <c r="AL1952" s="1" t="s">
        <v>60</v>
      </c>
      <c r="AW1952" s="1" t="s">
        <v>165</v>
      </c>
      <c r="AY1952" s="1">
        <v>1.0</v>
      </c>
      <c r="AZ1952" s="1">
        <v>59.99</v>
      </c>
      <c r="BB1952" s="1">
        <v>59.99</v>
      </c>
    </row>
    <row r="1953">
      <c r="A1953" s="1" t="s">
        <v>3082</v>
      </c>
      <c r="C1953" s="1" t="s">
        <v>56</v>
      </c>
      <c r="D1953" s="1" t="s">
        <v>3083</v>
      </c>
      <c r="Y1953" s="2">
        <v>45513.0</v>
      </c>
      <c r="AE1953" s="1">
        <v>59.99</v>
      </c>
      <c r="AG1953" s="3" t="str">
        <f>"2000006150767581"</f>
        <v>2000006150767581</v>
      </c>
      <c r="AH1953" s="1" t="s">
        <v>58</v>
      </c>
      <c r="AI1953" s="1" t="s">
        <v>59</v>
      </c>
      <c r="AJ1953" s="1" t="s">
        <v>59</v>
      </c>
      <c r="AK1953" s="1" t="s">
        <v>60</v>
      </c>
      <c r="AL1953" s="1" t="s">
        <v>60</v>
      </c>
      <c r="AW1953" s="1" t="s">
        <v>3084</v>
      </c>
      <c r="AY1953" s="1">
        <v>1.0</v>
      </c>
      <c r="AZ1953" s="1">
        <v>59.99</v>
      </c>
      <c r="BB1953" s="1">
        <v>59.99</v>
      </c>
    </row>
    <row r="1954">
      <c r="A1954" s="1" t="s">
        <v>3085</v>
      </c>
      <c r="C1954" s="1" t="s">
        <v>56</v>
      </c>
      <c r="D1954" s="1" t="s">
        <v>3086</v>
      </c>
      <c r="Y1954" s="2">
        <v>45513.0</v>
      </c>
      <c r="AE1954" s="1">
        <v>119.99</v>
      </c>
      <c r="AG1954" s="3" t="str">
        <f>"2000006151295417"</f>
        <v>2000006151295417</v>
      </c>
      <c r="AH1954" s="1" t="s">
        <v>58</v>
      </c>
      <c r="AI1954" s="1" t="s">
        <v>59</v>
      </c>
      <c r="AJ1954" s="1" t="s">
        <v>59</v>
      </c>
      <c r="AK1954" s="1" t="s">
        <v>60</v>
      </c>
      <c r="AL1954" s="1" t="s">
        <v>60</v>
      </c>
      <c r="AW1954" s="1" t="s">
        <v>3087</v>
      </c>
      <c r="AY1954" s="1">
        <v>1.0</v>
      </c>
      <c r="AZ1954" s="1">
        <v>119.99</v>
      </c>
      <c r="BB1954" s="1">
        <v>119.99</v>
      </c>
    </row>
    <row r="1955">
      <c r="A1955" s="1" t="s">
        <v>3088</v>
      </c>
      <c r="C1955" s="1" t="s">
        <v>56</v>
      </c>
      <c r="D1955" s="1" t="s">
        <v>3089</v>
      </c>
      <c r="Y1955" s="2">
        <v>45513.0</v>
      </c>
      <c r="AE1955" s="1">
        <v>249.99</v>
      </c>
      <c r="AG1955" s="3" t="str">
        <f>"2000008992973210"</f>
        <v>2000008992973210</v>
      </c>
      <c r="AH1955" s="1" t="s">
        <v>58</v>
      </c>
      <c r="AI1955" s="1" t="s">
        <v>59</v>
      </c>
      <c r="AJ1955" s="1" t="s">
        <v>59</v>
      </c>
      <c r="AK1955" s="1" t="s">
        <v>60</v>
      </c>
      <c r="AL1955" s="1" t="s">
        <v>60</v>
      </c>
      <c r="AW1955" s="1" t="s">
        <v>3090</v>
      </c>
      <c r="AY1955" s="1">
        <v>1.0</v>
      </c>
      <c r="AZ1955" s="1">
        <v>249.99</v>
      </c>
      <c r="BB1955" s="1">
        <v>249.99</v>
      </c>
    </row>
    <row r="1956">
      <c r="A1956" s="1" t="s">
        <v>175</v>
      </c>
      <c r="C1956" s="1" t="s">
        <v>56</v>
      </c>
      <c r="D1956" s="1" t="s">
        <v>3091</v>
      </c>
      <c r="Y1956" s="2">
        <v>45513.0</v>
      </c>
      <c r="AE1956" s="1">
        <v>199.99</v>
      </c>
      <c r="AG1956" s="3" t="str">
        <f>"2000008992940346"</f>
        <v>2000008992940346</v>
      </c>
      <c r="AH1956" s="1" t="s">
        <v>58</v>
      </c>
      <c r="AI1956" s="1" t="s">
        <v>59</v>
      </c>
      <c r="AJ1956" s="1" t="s">
        <v>59</v>
      </c>
      <c r="AK1956" s="1" t="s">
        <v>60</v>
      </c>
      <c r="AL1956" s="1" t="s">
        <v>60</v>
      </c>
      <c r="AW1956" s="1" t="s">
        <v>177</v>
      </c>
      <c r="AY1956" s="1">
        <v>1.0</v>
      </c>
      <c r="AZ1956" s="1">
        <v>199.99</v>
      </c>
      <c r="BB1956" s="1">
        <v>199.99</v>
      </c>
    </row>
    <row r="1957">
      <c r="A1957" s="1" t="s">
        <v>3092</v>
      </c>
      <c r="C1957" s="1" t="s">
        <v>56</v>
      </c>
      <c r="D1957" s="1" t="s">
        <v>3093</v>
      </c>
      <c r="Y1957" s="2">
        <v>45513.0</v>
      </c>
      <c r="AE1957" s="1">
        <v>84.99</v>
      </c>
      <c r="AG1957" s="3" t="str">
        <f>"2000006151200391"</f>
        <v>2000006151200391</v>
      </c>
      <c r="AH1957" s="1" t="s">
        <v>58</v>
      </c>
      <c r="AI1957" s="1" t="s">
        <v>59</v>
      </c>
      <c r="AJ1957" s="1" t="s">
        <v>59</v>
      </c>
      <c r="AK1957" s="1" t="s">
        <v>60</v>
      </c>
      <c r="AL1957" s="1" t="s">
        <v>60</v>
      </c>
      <c r="AW1957" s="1" t="s">
        <v>3094</v>
      </c>
      <c r="AY1957" s="1">
        <v>1.0</v>
      </c>
      <c r="AZ1957" s="1">
        <v>84.99</v>
      </c>
      <c r="BB1957" s="1">
        <v>84.99</v>
      </c>
    </row>
    <row r="1958">
      <c r="A1958" s="1" t="s">
        <v>1257</v>
      </c>
      <c r="C1958" s="1" t="s">
        <v>56</v>
      </c>
      <c r="D1958" s="1" t="s">
        <v>3095</v>
      </c>
      <c r="Y1958" s="2">
        <v>45513.0</v>
      </c>
      <c r="AE1958" s="1">
        <v>64.99</v>
      </c>
      <c r="AG1958" s="3" t="str">
        <f>"2000006151196247"</f>
        <v>2000006151196247</v>
      </c>
      <c r="AH1958" s="1" t="s">
        <v>58</v>
      </c>
      <c r="AI1958" s="1" t="s">
        <v>59</v>
      </c>
      <c r="AJ1958" s="1" t="s">
        <v>59</v>
      </c>
      <c r="AK1958" s="1" t="s">
        <v>60</v>
      </c>
      <c r="AL1958" s="1" t="s">
        <v>60</v>
      </c>
      <c r="AW1958" s="1" t="s">
        <v>1259</v>
      </c>
      <c r="AY1958" s="1">
        <v>1.0</v>
      </c>
      <c r="AZ1958" s="1">
        <v>64.99</v>
      </c>
      <c r="BB1958" s="1">
        <v>64.99</v>
      </c>
    </row>
    <row r="1959">
      <c r="A1959" s="1" t="s">
        <v>2182</v>
      </c>
      <c r="C1959" s="1" t="s">
        <v>56</v>
      </c>
      <c r="D1959" s="1" t="s">
        <v>3096</v>
      </c>
      <c r="Y1959" s="2">
        <v>45513.0</v>
      </c>
      <c r="AE1959" s="1">
        <v>94.99</v>
      </c>
      <c r="AG1959" s="3" t="str">
        <f>"2000006151199257"</f>
        <v>2000006151199257</v>
      </c>
      <c r="AH1959" s="1" t="s">
        <v>58</v>
      </c>
      <c r="AI1959" s="1" t="s">
        <v>59</v>
      </c>
      <c r="AJ1959" s="1" t="s">
        <v>59</v>
      </c>
      <c r="AK1959" s="1" t="s">
        <v>60</v>
      </c>
      <c r="AL1959" s="1" t="s">
        <v>60</v>
      </c>
      <c r="AW1959" s="1" t="s">
        <v>2184</v>
      </c>
      <c r="AY1959" s="1">
        <v>1.0</v>
      </c>
      <c r="AZ1959" s="1">
        <v>94.99</v>
      </c>
      <c r="BB1959" s="1">
        <v>94.99</v>
      </c>
    </row>
    <row r="1960">
      <c r="A1960" s="1" t="s">
        <v>2753</v>
      </c>
      <c r="C1960" s="1" t="s">
        <v>56</v>
      </c>
      <c r="D1960" s="1" t="s">
        <v>3097</v>
      </c>
      <c r="Y1960" s="2">
        <v>45513.0</v>
      </c>
      <c r="AE1960" s="1">
        <v>72.99</v>
      </c>
      <c r="AG1960" s="3" t="str">
        <f>"2000008992733708"</f>
        <v>2000008992733708</v>
      </c>
      <c r="AH1960" s="1" t="s">
        <v>58</v>
      </c>
      <c r="AI1960" s="1" t="s">
        <v>59</v>
      </c>
      <c r="AJ1960" s="1" t="s">
        <v>59</v>
      </c>
      <c r="AK1960" s="1" t="s">
        <v>60</v>
      </c>
      <c r="AL1960" s="1" t="s">
        <v>60</v>
      </c>
      <c r="AW1960" s="1" t="s">
        <v>2755</v>
      </c>
      <c r="AY1960" s="1">
        <v>1.0</v>
      </c>
      <c r="AZ1960" s="1">
        <v>72.99</v>
      </c>
      <c r="BB1960" s="1">
        <v>72.99</v>
      </c>
    </row>
    <row r="1961">
      <c r="A1961" s="1" t="s">
        <v>2753</v>
      </c>
      <c r="C1961" s="1" t="s">
        <v>56</v>
      </c>
      <c r="D1961" s="1" t="s">
        <v>3098</v>
      </c>
      <c r="Y1961" s="2">
        <v>45513.0</v>
      </c>
      <c r="AE1961" s="1">
        <v>145.98</v>
      </c>
      <c r="AG1961" s="3" t="str">
        <f>"2000006151080211"</f>
        <v>2000006151080211</v>
      </c>
      <c r="AH1961" s="1" t="s">
        <v>58</v>
      </c>
      <c r="AI1961" s="1" t="s">
        <v>59</v>
      </c>
      <c r="AJ1961" s="1" t="s">
        <v>59</v>
      </c>
      <c r="AK1961" s="1" t="s">
        <v>60</v>
      </c>
      <c r="AL1961" s="1" t="s">
        <v>60</v>
      </c>
      <c r="AW1961" s="1" t="s">
        <v>2755</v>
      </c>
      <c r="AY1961" s="1">
        <v>2.0</v>
      </c>
      <c r="AZ1961" s="1">
        <v>72.99</v>
      </c>
      <c r="BB1961" s="1">
        <v>145.98</v>
      </c>
    </row>
    <row r="1962">
      <c r="A1962" s="1" t="s">
        <v>3099</v>
      </c>
      <c r="C1962" s="1" t="s">
        <v>56</v>
      </c>
      <c r="D1962" s="1" t="s">
        <v>3100</v>
      </c>
      <c r="Y1962" s="2">
        <v>45513.0</v>
      </c>
      <c r="AE1962" s="1">
        <v>59.99</v>
      </c>
      <c r="AG1962" s="3" t="str">
        <f>"2000006151073439"</f>
        <v>2000006151073439</v>
      </c>
      <c r="AH1962" s="1" t="s">
        <v>58</v>
      </c>
      <c r="AI1962" s="1" t="s">
        <v>59</v>
      </c>
      <c r="AJ1962" s="1" t="s">
        <v>59</v>
      </c>
      <c r="AK1962" s="1" t="s">
        <v>60</v>
      </c>
      <c r="AL1962" s="1" t="s">
        <v>60</v>
      </c>
      <c r="AW1962" s="1" t="s">
        <v>3101</v>
      </c>
      <c r="AY1962" s="1">
        <v>1.0</v>
      </c>
      <c r="AZ1962" s="1">
        <v>59.99</v>
      </c>
      <c r="BB1962" s="1">
        <v>59.99</v>
      </c>
    </row>
    <row r="1963">
      <c r="A1963" s="1" t="s">
        <v>175</v>
      </c>
      <c r="C1963" s="1" t="s">
        <v>56</v>
      </c>
      <c r="D1963" s="1" t="s">
        <v>3102</v>
      </c>
      <c r="Y1963" s="2">
        <v>45513.0</v>
      </c>
      <c r="AE1963" s="1">
        <v>199.99</v>
      </c>
      <c r="AG1963" s="3" t="str">
        <f>"2000008992376996"</f>
        <v>2000008992376996</v>
      </c>
      <c r="AH1963" s="1" t="s">
        <v>58</v>
      </c>
      <c r="AI1963" s="1" t="s">
        <v>59</v>
      </c>
      <c r="AJ1963" s="1" t="s">
        <v>59</v>
      </c>
      <c r="AK1963" s="1" t="s">
        <v>60</v>
      </c>
      <c r="AL1963" s="1" t="s">
        <v>60</v>
      </c>
      <c r="AW1963" s="1" t="s">
        <v>177</v>
      </c>
      <c r="AY1963" s="1">
        <v>1.0</v>
      </c>
      <c r="AZ1963" s="1">
        <v>199.99</v>
      </c>
      <c r="BB1963" s="1">
        <v>199.99</v>
      </c>
    </row>
    <row r="1964">
      <c r="A1964" s="1" t="s">
        <v>701</v>
      </c>
      <c r="C1964" s="1" t="s">
        <v>56</v>
      </c>
      <c r="D1964" s="1" t="s">
        <v>3103</v>
      </c>
      <c r="Y1964" s="2">
        <v>45513.0</v>
      </c>
      <c r="AE1964" s="1">
        <v>59.99</v>
      </c>
      <c r="AG1964" s="3" t="str">
        <f>"2000006150915095"</f>
        <v>2000006150915095</v>
      </c>
      <c r="AH1964" s="1" t="s">
        <v>58</v>
      </c>
      <c r="AI1964" s="1" t="s">
        <v>59</v>
      </c>
      <c r="AJ1964" s="1" t="s">
        <v>59</v>
      </c>
      <c r="AK1964" s="1" t="s">
        <v>60</v>
      </c>
      <c r="AL1964" s="1" t="s">
        <v>60</v>
      </c>
      <c r="AW1964" s="1" t="s">
        <v>703</v>
      </c>
      <c r="AY1964" s="1">
        <v>1.0</v>
      </c>
      <c r="AZ1964" s="1">
        <v>59.99</v>
      </c>
      <c r="BB1964" s="1">
        <v>59.99</v>
      </c>
    </row>
    <row r="1965">
      <c r="A1965" s="1" t="s">
        <v>3104</v>
      </c>
      <c r="C1965" s="1" t="s">
        <v>56</v>
      </c>
      <c r="D1965" s="1" t="s">
        <v>3105</v>
      </c>
      <c r="Y1965" s="2">
        <v>45513.0</v>
      </c>
      <c r="AE1965" s="1">
        <v>79.99</v>
      </c>
      <c r="AG1965" s="3" t="str">
        <f>"2000006150927217"</f>
        <v>2000006150927217</v>
      </c>
      <c r="AH1965" s="1" t="s">
        <v>58</v>
      </c>
      <c r="AI1965" s="1" t="s">
        <v>59</v>
      </c>
      <c r="AJ1965" s="1" t="s">
        <v>59</v>
      </c>
      <c r="AK1965" s="1" t="s">
        <v>60</v>
      </c>
      <c r="AL1965" s="1" t="s">
        <v>60</v>
      </c>
      <c r="AW1965" s="1" t="s">
        <v>868</v>
      </c>
      <c r="AY1965" s="1">
        <v>1.0</v>
      </c>
      <c r="AZ1965" s="1">
        <v>79.99</v>
      </c>
      <c r="BB1965" s="1">
        <v>79.99</v>
      </c>
    </row>
    <row r="1966">
      <c r="A1966" s="1" t="s">
        <v>3106</v>
      </c>
      <c r="C1966" s="1" t="s">
        <v>56</v>
      </c>
      <c r="D1966" s="1" t="s">
        <v>760</v>
      </c>
      <c r="Y1966" s="2">
        <v>45513.0</v>
      </c>
      <c r="AE1966" s="1">
        <v>189.99</v>
      </c>
      <c r="AG1966" s="3" t="str">
        <f>"2000008992074024"</f>
        <v>2000008992074024</v>
      </c>
      <c r="AH1966" s="1" t="s">
        <v>58</v>
      </c>
      <c r="AI1966" s="1" t="s">
        <v>59</v>
      </c>
      <c r="AJ1966" s="1" t="s">
        <v>59</v>
      </c>
      <c r="AK1966" s="1" t="s">
        <v>60</v>
      </c>
      <c r="AL1966" s="1" t="s">
        <v>60</v>
      </c>
      <c r="AW1966" s="1" t="s">
        <v>3107</v>
      </c>
      <c r="AY1966" s="1">
        <v>1.0</v>
      </c>
      <c r="AZ1966" s="1">
        <v>189.99</v>
      </c>
      <c r="BB1966" s="1">
        <v>189.99</v>
      </c>
    </row>
    <row r="1967">
      <c r="A1967" s="1" t="s">
        <v>86</v>
      </c>
      <c r="C1967" s="1" t="s">
        <v>56</v>
      </c>
      <c r="D1967" s="1" t="s">
        <v>3108</v>
      </c>
      <c r="Y1967" s="2">
        <v>45513.0</v>
      </c>
      <c r="AE1967" s="1">
        <v>64.99</v>
      </c>
      <c r="AG1967" s="3" t="str">
        <f>"2000006150861875"</f>
        <v>2000006150861875</v>
      </c>
      <c r="AH1967" s="1" t="s">
        <v>58</v>
      </c>
      <c r="AI1967" s="1" t="s">
        <v>59</v>
      </c>
      <c r="AJ1967" s="1" t="s">
        <v>59</v>
      </c>
      <c r="AK1967" s="1" t="s">
        <v>60</v>
      </c>
      <c r="AL1967" s="1" t="s">
        <v>60</v>
      </c>
      <c r="AW1967" s="1" t="s">
        <v>88</v>
      </c>
      <c r="AY1967" s="1">
        <v>1.0</v>
      </c>
      <c r="AZ1967" s="1">
        <v>64.99</v>
      </c>
      <c r="BB1967" s="1">
        <v>64.99</v>
      </c>
    </row>
    <row r="1968">
      <c r="A1968" s="1" t="s">
        <v>1228</v>
      </c>
      <c r="C1968" s="1" t="s">
        <v>56</v>
      </c>
      <c r="D1968" s="1" t="s">
        <v>3109</v>
      </c>
      <c r="Y1968" s="2">
        <v>45513.0</v>
      </c>
      <c r="AE1968" s="1">
        <v>109.99</v>
      </c>
      <c r="AG1968" s="3" t="str">
        <f>"2000006150708779"</f>
        <v>2000006150708779</v>
      </c>
      <c r="AH1968" s="1" t="s">
        <v>58</v>
      </c>
      <c r="AI1968" s="1" t="s">
        <v>59</v>
      </c>
      <c r="AJ1968" s="1" t="s">
        <v>59</v>
      </c>
      <c r="AK1968" s="1" t="s">
        <v>60</v>
      </c>
      <c r="AL1968" s="1" t="s">
        <v>60</v>
      </c>
      <c r="AW1968" s="1" t="s">
        <v>1230</v>
      </c>
      <c r="AY1968" s="1">
        <v>1.0</v>
      </c>
      <c r="AZ1968" s="1">
        <v>109.99</v>
      </c>
      <c r="BB1968" s="1">
        <v>109.99</v>
      </c>
    </row>
    <row r="1969">
      <c r="A1969" s="1" t="s">
        <v>2337</v>
      </c>
      <c r="C1969" s="1" t="s">
        <v>56</v>
      </c>
      <c r="D1969" s="1" t="s">
        <v>3110</v>
      </c>
      <c r="Y1969" s="2">
        <v>45513.0</v>
      </c>
      <c r="AE1969" s="1">
        <v>69.99</v>
      </c>
      <c r="AG1969" s="3" t="str">
        <f>"2000006150690377"</f>
        <v>2000006150690377</v>
      </c>
      <c r="AH1969" s="1" t="s">
        <v>58</v>
      </c>
      <c r="AI1969" s="1" t="s">
        <v>59</v>
      </c>
      <c r="AJ1969" s="1" t="s">
        <v>59</v>
      </c>
      <c r="AK1969" s="1" t="s">
        <v>60</v>
      </c>
      <c r="AL1969" s="1" t="s">
        <v>60</v>
      </c>
      <c r="AW1969" s="1" t="s">
        <v>2339</v>
      </c>
      <c r="AY1969" s="1">
        <v>1.0</v>
      </c>
      <c r="AZ1969" s="1">
        <v>69.99</v>
      </c>
      <c r="BB1969" s="1">
        <v>69.99</v>
      </c>
    </row>
    <row r="1970">
      <c r="A1970" s="1" t="s">
        <v>3111</v>
      </c>
      <c r="C1970" s="1" t="s">
        <v>56</v>
      </c>
      <c r="D1970" s="1" t="s">
        <v>3112</v>
      </c>
      <c r="Y1970" s="2">
        <v>45513.0</v>
      </c>
      <c r="AE1970" s="1">
        <v>39.99</v>
      </c>
      <c r="AG1970" s="3" t="str">
        <f>"2000006150526731"</f>
        <v>2000006150526731</v>
      </c>
      <c r="AH1970" s="1" t="s">
        <v>58</v>
      </c>
      <c r="AI1970" s="1" t="s">
        <v>59</v>
      </c>
      <c r="AJ1970" s="1" t="s">
        <v>59</v>
      </c>
      <c r="AK1970" s="1" t="s">
        <v>60</v>
      </c>
      <c r="AL1970" s="1" t="s">
        <v>60</v>
      </c>
      <c r="AW1970" s="1" t="s">
        <v>1529</v>
      </c>
      <c r="AY1970" s="1">
        <v>1.0</v>
      </c>
      <c r="AZ1970" s="1">
        <v>39.99</v>
      </c>
      <c r="BB1970" s="1">
        <v>39.99</v>
      </c>
    </row>
    <row r="1971">
      <c r="A1971" s="1" t="s">
        <v>577</v>
      </c>
      <c r="C1971" s="1" t="s">
        <v>56</v>
      </c>
      <c r="D1971" s="1" t="s">
        <v>3113</v>
      </c>
      <c r="Y1971" s="2">
        <v>45513.0</v>
      </c>
      <c r="AE1971" s="1">
        <v>52.99</v>
      </c>
      <c r="AG1971" s="3" t="str">
        <f>"2000006150316549"</f>
        <v>2000006150316549</v>
      </c>
      <c r="AH1971" s="1" t="s">
        <v>58</v>
      </c>
      <c r="AI1971" s="1" t="s">
        <v>59</v>
      </c>
      <c r="AJ1971" s="1" t="s">
        <v>59</v>
      </c>
      <c r="AK1971" s="1" t="s">
        <v>60</v>
      </c>
      <c r="AL1971" s="1" t="s">
        <v>60</v>
      </c>
      <c r="AW1971" s="1" t="s">
        <v>579</v>
      </c>
      <c r="AY1971" s="1">
        <v>1.0</v>
      </c>
      <c r="AZ1971" s="1">
        <v>52.99</v>
      </c>
      <c r="BB1971" s="1">
        <v>52.99</v>
      </c>
    </row>
    <row r="1972">
      <c r="A1972" s="1" t="s">
        <v>918</v>
      </c>
      <c r="C1972" s="1" t="s">
        <v>56</v>
      </c>
      <c r="D1972" s="1" t="s">
        <v>3114</v>
      </c>
      <c r="Y1972" s="2">
        <v>45513.0</v>
      </c>
      <c r="AE1972" s="1">
        <v>139.99</v>
      </c>
      <c r="AG1972" s="3" t="str">
        <f>"2000006150359895"</f>
        <v>2000006150359895</v>
      </c>
      <c r="AH1972" s="1" t="s">
        <v>58</v>
      </c>
      <c r="AI1972" s="1" t="s">
        <v>59</v>
      </c>
      <c r="AJ1972" s="1" t="s">
        <v>59</v>
      </c>
      <c r="AK1972" s="1" t="s">
        <v>60</v>
      </c>
      <c r="AL1972" s="1" t="s">
        <v>60</v>
      </c>
      <c r="AW1972" s="1" t="s">
        <v>920</v>
      </c>
      <c r="AY1972" s="1">
        <v>1.0</v>
      </c>
      <c r="AZ1972" s="1">
        <v>139.99</v>
      </c>
      <c r="BB1972" s="1">
        <v>139.99</v>
      </c>
    </row>
    <row r="1973">
      <c r="A1973" s="1" t="s">
        <v>2269</v>
      </c>
      <c r="C1973" s="1" t="s">
        <v>56</v>
      </c>
      <c r="D1973" s="1" t="s">
        <v>3115</v>
      </c>
      <c r="Y1973" s="2">
        <v>45513.0</v>
      </c>
      <c r="AE1973" s="1">
        <v>49.99</v>
      </c>
      <c r="AG1973" s="3" t="str">
        <f>"2000006150348069"</f>
        <v>2000006150348069</v>
      </c>
      <c r="AH1973" s="1" t="s">
        <v>58</v>
      </c>
      <c r="AI1973" s="1" t="s">
        <v>59</v>
      </c>
      <c r="AJ1973" s="1" t="s">
        <v>59</v>
      </c>
      <c r="AK1973" s="1" t="s">
        <v>60</v>
      </c>
      <c r="AL1973" s="1" t="s">
        <v>60</v>
      </c>
      <c r="AW1973" s="1" t="s">
        <v>1838</v>
      </c>
      <c r="AY1973" s="1">
        <v>1.0</v>
      </c>
      <c r="AZ1973" s="1">
        <v>49.99</v>
      </c>
      <c r="BB1973" s="1">
        <v>49.99</v>
      </c>
    </row>
    <row r="1974">
      <c r="A1974" s="1" t="s">
        <v>3116</v>
      </c>
      <c r="C1974" s="1" t="s">
        <v>56</v>
      </c>
      <c r="D1974" s="1" t="s">
        <v>3117</v>
      </c>
      <c r="Y1974" s="2">
        <v>45513.0</v>
      </c>
      <c r="AE1974" s="1">
        <v>199.99</v>
      </c>
      <c r="AG1974" s="3" t="str">
        <f>"2000008991085912"</f>
        <v>2000008991085912</v>
      </c>
      <c r="AH1974" s="1" t="s">
        <v>58</v>
      </c>
      <c r="AI1974" s="1" t="s">
        <v>59</v>
      </c>
      <c r="AJ1974" s="1" t="s">
        <v>59</v>
      </c>
      <c r="AK1974" s="1" t="s">
        <v>60</v>
      </c>
      <c r="AL1974" s="1" t="s">
        <v>60</v>
      </c>
      <c r="AW1974" s="1" t="s">
        <v>3118</v>
      </c>
      <c r="AY1974" s="1">
        <v>1.0</v>
      </c>
      <c r="AZ1974" s="1">
        <v>199.99</v>
      </c>
      <c r="BB1974" s="1">
        <v>199.99</v>
      </c>
    </row>
    <row r="1975">
      <c r="A1975" s="1" t="s">
        <v>3119</v>
      </c>
      <c r="C1975" s="1" t="s">
        <v>56</v>
      </c>
      <c r="D1975" s="1" t="s">
        <v>3120</v>
      </c>
      <c r="Y1975" s="2">
        <v>45513.0</v>
      </c>
      <c r="AE1975" s="1">
        <v>64.99</v>
      </c>
      <c r="AG1975" s="3" t="str">
        <f>"2000006150174931"</f>
        <v>2000006150174931</v>
      </c>
      <c r="AH1975" s="1" t="s">
        <v>58</v>
      </c>
      <c r="AI1975" s="1" t="s">
        <v>59</v>
      </c>
      <c r="AJ1975" s="1" t="s">
        <v>59</v>
      </c>
      <c r="AK1975" s="1" t="s">
        <v>60</v>
      </c>
      <c r="AL1975" s="1" t="s">
        <v>60</v>
      </c>
      <c r="AW1975" s="1" t="s">
        <v>437</v>
      </c>
      <c r="AY1975" s="1">
        <v>1.0</v>
      </c>
      <c r="AZ1975" s="1">
        <v>64.99</v>
      </c>
      <c r="BB1975" s="1">
        <v>64.99</v>
      </c>
    </row>
    <row r="1976">
      <c r="A1976" s="1" t="s">
        <v>175</v>
      </c>
      <c r="C1976" s="1" t="s">
        <v>56</v>
      </c>
      <c r="D1976" s="1" t="s">
        <v>3121</v>
      </c>
      <c r="Y1976" s="2">
        <v>45513.0</v>
      </c>
      <c r="AE1976" s="1">
        <v>199.99</v>
      </c>
      <c r="AG1976" s="3" t="str">
        <f>"2000008990655972"</f>
        <v>2000008990655972</v>
      </c>
      <c r="AH1976" s="1" t="s">
        <v>58</v>
      </c>
      <c r="AI1976" s="1" t="s">
        <v>59</v>
      </c>
      <c r="AJ1976" s="1" t="s">
        <v>59</v>
      </c>
      <c r="AK1976" s="1" t="s">
        <v>60</v>
      </c>
      <c r="AL1976" s="1" t="s">
        <v>60</v>
      </c>
      <c r="AW1976" s="1" t="s">
        <v>177</v>
      </c>
      <c r="AY1976" s="1">
        <v>1.0</v>
      </c>
      <c r="AZ1976" s="1">
        <v>199.99</v>
      </c>
      <c r="BB1976" s="1">
        <v>199.99</v>
      </c>
    </row>
    <row r="1977">
      <c r="A1977" s="1" t="s">
        <v>3122</v>
      </c>
      <c r="C1977" s="1" t="s">
        <v>56</v>
      </c>
      <c r="D1977" s="1" t="s">
        <v>3123</v>
      </c>
      <c r="Y1977" s="2">
        <v>45513.0</v>
      </c>
      <c r="AE1977" s="1">
        <v>159.99</v>
      </c>
      <c r="AG1977" s="3" t="str">
        <f>"2000006149835441"</f>
        <v>2000006149835441</v>
      </c>
      <c r="AH1977" s="1" t="s">
        <v>58</v>
      </c>
      <c r="AI1977" s="1" t="s">
        <v>59</v>
      </c>
      <c r="AJ1977" s="1" t="s">
        <v>59</v>
      </c>
      <c r="AK1977" s="1" t="s">
        <v>60</v>
      </c>
      <c r="AL1977" s="1" t="s">
        <v>60</v>
      </c>
      <c r="AW1977" s="1" t="s">
        <v>3124</v>
      </c>
      <c r="AY1977" s="1">
        <v>1.0</v>
      </c>
      <c r="AZ1977" s="1">
        <v>159.99</v>
      </c>
      <c r="BB1977" s="1">
        <v>159.99</v>
      </c>
    </row>
    <row r="1978">
      <c r="A1978" s="1" t="s">
        <v>92</v>
      </c>
      <c r="C1978" s="1" t="s">
        <v>56</v>
      </c>
      <c r="D1978" s="1" t="s">
        <v>3125</v>
      </c>
      <c r="Y1978" s="2">
        <v>45513.0</v>
      </c>
      <c r="AE1978" s="1">
        <v>94.99</v>
      </c>
      <c r="AG1978" s="3" t="str">
        <f>"2000006149780917"</f>
        <v>2000006149780917</v>
      </c>
      <c r="AH1978" s="1" t="s">
        <v>58</v>
      </c>
      <c r="AI1978" s="1" t="s">
        <v>59</v>
      </c>
      <c r="AJ1978" s="1" t="s">
        <v>59</v>
      </c>
      <c r="AK1978" s="1" t="s">
        <v>60</v>
      </c>
      <c r="AL1978" s="1" t="s">
        <v>60</v>
      </c>
      <c r="AW1978" s="1" t="s">
        <v>94</v>
      </c>
      <c r="AY1978" s="1">
        <v>1.0</v>
      </c>
      <c r="AZ1978" s="1">
        <v>94.99</v>
      </c>
      <c r="BB1978" s="1">
        <v>94.99</v>
      </c>
    </row>
    <row r="1979">
      <c r="A1979" s="1" t="s">
        <v>178</v>
      </c>
      <c r="C1979" s="1" t="s">
        <v>56</v>
      </c>
      <c r="D1979" s="1" t="s">
        <v>3126</v>
      </c>
      <c r="Y1979" s="2">
        <v>45513.0</v>
      </c>
      <c r="AE1979" s="1">
        <v>134.99</v>
      </c>
      <c r="AG1979" s="3" t="str">
        <f>"2000006149733589"</f>
        <v>2000006149733589</v>
      </c>
      <c r="AH1979" s="1" t="s">
        <v>58</v>
      </c>
      <c r="AI1979" s="1" t="s">
        <v>59</v>
      </c>
      <c r="AJ1979" s="1" t="s">
        <v>59</v>
      </c>
      <c r="AK1979" s="1" t="s">
        <v>60</v>
      </c>
      <c r="AL1979" s="1" t="s">
        <v>60</v>
      </c>
      <c r="AW1979" s="1" t="s">
        <v>180</v>
      </c>
      <c r="AY1979" s="1">
        <v>1.0</v>
      </c>
      <c r="AZ1979" s="1">
        <v>134.99</v>
      </c>
      <c r="BB1979" s="1">
        <v>134.99</v>
      </c>
    </row>
    <row r="1980">
      <c r="A1980" s="1" t="s">
        <v>2879</v>
      </c>
      <c r="C1980" s="1" t="s">
        <v>235</v>
      </c>
      <c r="D1980" s="1" t="s">
        <v>3127</v>
      </c>
      <c r="Y1980" s="2">
        <v>45513.0</v>
      </c>
      <c r="AE1980" s="1">
        <v>35.0</v>
      </c>
      <c r="AG1980" s="3" t="str">
        <f>"2000008989882028"</f>
        <v>2000008989882028</v>
      </c>
      <c r="AH1980" s="1" t="s">
        <v>58</v>
      </c>
      <c r="AI1980" s="1" t="s">
        <v>59</v>
      </c>
      <c r="AJ1980" s="1" t="s">
        <v>59</v>
      </c>
      <c r="AK1980" s="1" t="s">
        <v>60</v>
      </c>
      <c r="AL1980" s="1" t="s">
        <v>60</v>
      </c>
      <c r="AW1980" s="1" t="s">
        <v>3128</v>
      </c>
      <c r="AY1980" s="1">
        <v>1.0</v>
      </c>
      <c r="AZ1980" s="1">
        <v>35.0</v>
      </c>
      <c r="BB1980" s="1">
        <v>35.0</v>
      </c>
    </row>
    <row r="1981">
      <c r="A1981" s="1" t="s">
        <v>102</v>
      </c>
      <c r="C1981" s="1" t="s">
        <v>56</v>
      </c>
      <c r="D1981" s="1" t="s">
        <v>3129</v>
      </c>
      <c r="Y1981" s="2">
        <v>45513.0</v>
      </c>
      <c r="AE1981" s="1">
        <v>119.98</v>
      </c>
      <c r="AG1981" s="3" t="str">
        <f>"2000006149718333"</f>
        <v>2000006149718333</v>
      </c>
      <c r="AH1981" s="1" t="s">
        <v>58</v>
      </c>
      <c r="AI1981" s="1" t="s">
        <v>59</v>
      </c>
      <c r="AJ1981" s="1" t="s">
        <v>59</v>
      </c>
      <c r="AK1981" s="1" t="s">
        <v>60</v>
      </c>
      <c r="AL1981" s="1" t="s">
        <v>60</v>
      </c>
      <c r="AW1981" s="1" t="s">
        <v>104</v>
      </c>
      <c r="AY1981" s="1">
        <v>2.0</v>
      </c>
      <c r="AZ1981" s="1">
        <v>59.99</v>
      </c>
      <c r="BB1981" s="1">
        <v>119.98</v>
      </c>
    </row>
    <row r="1982">
      <c r="A1982" s="1" t="s">
        <v>3130</v>
      </c>
      <c r="C1982" s="1" t="s">
        <v>56</v>
      </c>
      <c r="D1982" s="1" t="s">
        <v>1171</v>
      </c>
      <c r="Y1982" s="2">
        <v>45513.0</v>
      </c>
      <c r="AE1982" s="1">
        <v>619.99</v>
      </c>
      <c r="AG1982" s="3" t="str">
        <f>"2000008989838998"</f>
        <v>2000008989838998</v>
      </c>
      <c r="AH1982" s="1" t="s">
        <v>58</v>
      </c>
      <c r="AI1982" s="1" t="s">
        <v>59</v>
      </c>
      <c r="AJ1982" s="1" t="s">
        <v>59</v>
      </c>
      <c r="AK1982" s="1" t="s">
        <v>60</v>
      </c>
      <c r="AL1982" s="1" t="s">
        <v>60</v>
      </c>
      <c r="AW1982" s="1" t="s">
        <v>1634</v>
      </c>
      <c r="AY1982" s="1">
        <v>1.0</v>
      </c>
      <c r="AZ1982" s="1">
        <v>619.99</v>
      </c>
      <c r="BB1982" s="1">
        <v>619.99</v>
      </c>
    </row>
    <row r="1983">
      <c r="A1983" s="1" t="s">
        <v>68</v>
      </c>
      <c r="C1983" s="1" t="s">
        <v>56</v>
      </c>
      <c r="D1983" s="1" t="s">
        <v>3131</v>
      </c>
      <c r="Y1983" s="2">
        <v>45513.0</v>
      </c>
      <c r="AE1983" s="1">
        <v>49.99</v>
      </c>
      <c r="AG1983" s="3" t="str">
        <f>"2000008989838798"</f>
        <v>2000008989838798</v>
      </c>
      <c r="AH1983" s="1" t="s">
        <v>58</v>
      </c>
      <c r="AI1983" s="1" t="s">
        <v>59</v>
      </c>
      <c r="AJ1983" s="1" t="s">
        <v>59</v>
      </c>
      <c r="AK1983" s="1" t="s">
        <v>60</v>
      </c>
      <c r="AL1983" s="1" t="s">
        <v>60</v>
      </c>
      <c r="AW1983" s="1" t="s">
        <v>70</v>
      </c>
      <c r="AY1983" s="1">
        <v>1.0</v>
      </c>
      <c r="AZ1983" s="1">
        <v>49.99</v>
      </c>
      <c r="BB1983" s="1">
        <v>49.99</v>
      </c>
    </row>
    <row r="1984">
      <c r="A1984" s="1" t="s">
        <v>1257</v>
      </c>
      <c r="C1984" s="1" t="s">
        <v>56</v>
      </c>
      <c r="D1984" s="1" t="s">
        <v>3132</v>
      </c>
      <c r="Y1984" s="2">
        <v>45513.0</v>
      </c>
      <c r="AE1984" s="1">
        <v>64.99</v>
      </c>
      <c r="AG1984" s="3" t="str">
        <f>"2000006149696897"</f>
        <v>2000006149696897</v>
      </c>
      <c r="AH1984" s="1" t="s">
        <v>58</v>
      </c>
      <c r="AI1984" s="1" t="s">
        <v>59</v>
      </c>
      <c r="AJ1984" s="1" t="s">
        <v>59</v>
      </c>
      <c r="AK1984" s="1" t="s">
        <v>60</v>
      </c>
      <c r="AL1984" s="1" t="s">
        <v>60</v>
      </c>
      <c r="AW1984" s="1" t="s">
        <v>1259</v>
      </c>
      <c r="AY1984" s="1">
        <v>1.0</v>
      </c>
      <c r="AZ1984" s="1">
        <v>64.99</v>
      </c>
      <c r="BB1984" s="1">
        <v>64.99</v>
      </c>
    </row>
    <row r="1985">
      <c r="A1985" s="1" t="s">
        <v>195</v>
      </c>
      <c r="C1985" s="1" t="s">
        <v>56</v>
      </c>
      <c r="D1985" s="1" t="s">
        <v>3133</v>
      </c>
      <c r="Y1985" s="2">
        <v>45513.0</v>
      </c>
      <c r="AE1985" s="1">
        <v>47.99</v>
      </c>
      <c r="AG1985" s="3" t="str">
        <f>"2000006149685603"</f>
        <v>2000006149685603</v>
      </c>
      <c r="AH1985" s="1" t="s">
        <v>58</v>
      </c>
      <c r="AI1985" s="1" t="s">
        <v>59</v>
      </c>
      <c r="AJ1985" s="1" t="s">
        <v>59</v>
      </c>
      <c r="AK1985" s="1" t="s">
        <v>60</v>
      </c>
      <c r="AL1985" s="1" t="s">
        <v>60</v>
      </c>
      <c r="AW1985" s="1" t="s">
        <v>197</v>
      </c>
      <c r="AY1985" s="1">
        <v>1.0</v>
      </c>
      <c r="AZ1985" s="1">
        <v>47.99</v>
      </c>
      <c r="BB1985" s="1">
        <v>47.99</v>
      </c>
    </row>
    <row r="1986">
      <c r="A1986" s="1" t="s">
        <v>1822</v>
      </c>
      <c r="C1986" s="1" t="s">
        <v>56</v>
      </c>
      <c r="D1986" s="1" t="s">
        <v>3134</v>
      </c>
      <c r="Y1986" s="2">
        <v>45513.0</v>
      </c>
      <c r="AE1986" s="1">
        <v>74.99</v>
      </c>
      <c r="AG1986" s="3" t="str">
        <f>"2000006149646569"</f>
        <v>2000006149646569</v>
      </c>
      <c r="AH1986" s="1" t="s">
        <v>58</v>
      </c>
      <c r="AI1986" s="1" t="s">
        <v>59</v>
      </c>
      <c r="AJ1986" s="1" t="s">
        <v>59</v>
      </c>
      <c r="AK1986" s="1" t="s">
        <v>60</v>
      </c>
      <c r="AL1986" s="1" t="s">
        <v>60</v>
      </c>
      <c r="AW1986" s="1" t="s">
        <v>1824</v>
      </c>
      <c r="AY1986" s="1">
        <v>1.0</v>
      </c>
      <c r="AZ1986" s="1">
        <v>74.99</v>
      </c>
      <c r="BB1986" s="1">
        <v>74.99</v>
      </c>
    </row>
    <row r="1987">
      <c r="A1987" s="1" t="s">
        <v>834</v>
      </c>
      <c r="C1987" s="1" t="s">
        <v>56</v>
      </c>
      <c r="D1987" s="1" t="s">
        <v>3135</v>
      </c>
      <c r="Y1987" s="2">
        <v>45513.0</v>
      </c>
      <c r="AE1987" s="1">
        <v>107.48</v>
      </c>
      <c r="AG1987" s="3" t="str">
        <f>"2000006149641359"</f>
        <v>2000006149641359</v>
      </c>
      <c r="AH1987" s="1" t="s">
        <v>58</v>
      </c>
      <c r="AI1987" s="1" t="s">
        <v>59</v>
      </c>
      <c r="AJ1987" s="1" t="s">
        <v>59</v>
      </c>
      <c r="AK1987" s="1" t="s">
        <v>60</v>
      </c>
      <c r="AL1987" s="1" t="s">
        <v>60</v>
      </c>
      <c r="AW1987" s="1" t="s">
        <v>836</v>
      </c>
      <c r="AY1987" s="1">
        <v>1.0</v>
      </c>
      <c r="AZ1987" s="1">
        <v>107.48</v>
      </c>
      <c r="BB1987" s="1">
        <v>107.48</v>
      </c>
    </row>
    <row r="1988">
      <c r="A1988" s="1" t="s">
        <v>933</v>
      </c>
      <c r="C1988" s="1" t="s">
        <v>56</v>
      </c>
      <c r="D1988" s="1" t="s">
        <v>3136</v>
      </c>
      <c r="Y1988" s="2">
        <v>45513.0</v>
      </c>
      <c r="AE1988" s="1">
        <v>79.99</v>
      </c>
      <c r="AG1988" s="3" t="str">
        <f>"2000006149622873"</f>
        <v>2000006149622873</v>
      </c>
      <c r="AH1988" s="1" t="s">
        <v>58</v>
      </c>
      <c r="AI1988" s="1" t="s">
        <v>59</v>
      </c>
      <c r="AJ1988" s="1" t="s">
        <v>59</v>
      </c>
      <c r="AK1988" s="1" t="s">
        <v>60</v>
      </c>
      <c r="AL1988" s="1" t="s">
        <v>60</v>
      </c>
      <c r="AW1988" s="1" t="s">
        <v>935</v>
      </c>
      <c r="AY1988" s="1">
        <v>1.0</v>
      </c>
      <c r="AZ1988" s="1">
        <v>79.99</v>
      </c>
      <c r="BB1988" s="1">
        <v>79.99</v>
      </c>
    </row>
    <row r="1989">
      <c r="A1989" s="1" t="s">
        <v>163</v>
      </c>
      <c r="C1989" s="1" t="s">
        <v>56</v>
      </c>
      <c r="D1989" s="1" t="s">
        <v>3137</v>
      </c>
      <c r="Y1989" s="2">
        <v>45513.0</v>
      </c>
      <c r="AE1989" s="1">
        <v>59.99</v>
      </c>
      <c r="AG1989" s="3" t="str">
        <f>"2000006149608661"</f>
        <v>2000006149608661</v>
      </c>
      <c r="AH1989" s="1" t="s">
        <v>58</v>
      </c>
      <c r="AI1989" s="1" t="s">
        <v>59</v>
      </c>
      <c r="AJ1989" s="1" t="s">
        <v>59</v>
      </c>
      <c r="AK1989" s="1" t="s">
        <v>60</v>
      </c>
      <c r="AL1989" s="1" t="s">
        <v>60</v>
      </c>
      <c r="AW1989" s="1" t="s">
        <v>165</v>
      </c>
      <c r="AY1989" s="1">
        <v>1.0</v>
      </c>
      <c r="AZ1989" s="1">
        <v>59.99</v>
      </c>
      <c r="BB1989" s="1">
        <v>59.99</v>
      </c>
    </row>
    <row r="1990">
      <c r="A1990" s="1" t="s">
        <v>1038</v>
      </c>
      <c r="C1990" s="1" t="s">
        <v>56</v>
      </c>
      <c r="D1990" s="1" t="s">
        <v>3138</v>
      </c>
      <c r="Y1990" s="2">
        <v>45513.0</v>
      </c>
      <c r="AE1990" s="1">
        <v>64.48</v>
      </c>
      <c r="AG1990" s="3" t="str">
        <f>"2000006149616617"</f>
        <v>2000006149616617</v>
      </c>
      <c r="AH1990" s="1" t="s">
        <v>58</v>
      </c>
      <c r="AI1990" s="1" t="s">
        <v>59</v>
      </c>
      <c r="AJ1990" s="1" t="s">
        <v>59</v>
      </c>
      <c r="AK1990" s="1" t="s">
        <v>60</v>
      </c>
      <c r="AL1990" s="1" t="s">
        <v>60</v>
      </c>
      <c r="AW1990" s="1" t="s">
        <v>1040</v>
      </c>
      <c r="AY1990" s="1">
        <v>1.0</v>
      </c>
      <c r="AZ1990" s="1">
        <v>64.48</v>
      </c>
      <c r="BB1990" s="1">
        <v>64.48</v>
      </c>
    </row>
    <row r="1991">
      <c r="A1991" s="1" t="s">
        <v>302</v>
      </c>
      <c r="C1991" s="1" t="s">
        <v>56</v>
      </c>
      <c r="D1991" s="1" t="s">
        <v>3139</v>
      </c>
      <c r="Y1991" s="2">
        <v>45513.0</v>
      </c>
      <c r="AE1991" s="1">
        <v>39.48</v>
      </c>
      <c r="AG1991" s="3" t="str">
        <f>"2000006149605197"</f>
        <v>2000006149605197</v>
      </c>
      <c r="AH1991" s="1" t="s">
        <v>58</v>
      </c>
      <c r="AI1991" s="1" t="s">
        <v>59</v>
      </c>
      <c r="AJ1991" s="1" t="s">
        <v>59</v>
      </c>
      <c r="AK1991" s="1" t="s">
        <v>60</v>
      </c>
      <c r="AL1991" s="1" t="s">
        <v>60</v>
      </c>
      <c r="AW1991" s="1" t="s">
        <v>304</v>
      </c>
      <c r="AY1991" s="1">
        <v>1.0</v>
      </c>
      <c r="AZ1991" s="1">
        <v>39.48</v>
      </c>
      <c r="BB1991" s="1">
        <v>39.48</v>
      </c>
    </row>
    <row r="1992">
      <c r="A1992" s="1" t="s">
        <v>3140</v>
      </c>
      <c r="C1992" s="1" t="s">
        <v>56</v>
      </c>
      <c r="D1992" s="1" t="s">
        <v>3141</v>
      </c>
      <c r="Y1992" s="2">
        <v>45513.0</v>
      </c>
      <c r="AE1992" s="1">
        <v>109.99</v>
      </c>
      <c r="AG1992" s="3" t="str">
        <f>"2000006149601473"</f>
        <v>2000006149601473</v>
      </c>
      <c r="AH1992" s="1" t="s">
        <v>58</v>
      </c>
      <c r="AI1992" s="1" t="s">
        <v>59</v>
      </c>
      <c r="AJ1992" s="1" t="s">
        <v>59</v>
      </c>
      <c r="AK1992" s="1" t="s">
        <v>60</v>
      </c>
      <c r="AL1992" s="1" t="s">
        <v>60</v>
      </c>
      <c r="AW1992" s="1" t="s">
        <v>3142</v>
      </c>
      <c r="AY1992" s="1">
        <v>1.0</v>
      </c>
      <c r="AZ1992" s="1">
        <v>109.99</v>
      </c>
      <c r="BB1992" s="1">
        <v>109.99</v>
      </c>
    </row>
    <row r="1993">
      <c r="A1993" s="1" t="s">
        <v>3140</v>
      </c>
      <c r="C1993" s="1" t="s">
        <v>56</v>
      </c>
      <c r="D1993" s="1" t="s">
        <v>3141</v>
      </c>
      <c r="Y1993" s="2">
        <v>45513.0</v>
      </c>
      <c r="AE1993" s="1">
        <v>219.98</v>
      </c>
      <c r="AG1993" s="3" t="str">
        <f>"2000006149601471"</f>
        <v>2000006149601471</v>
      </c>
      <c r="AH1993" s="1" t="s">
        <v>58</v>
      </c>
      <c r="AI1993" s="1" t="s">
        <v>59</v>
      </c>
      <c r="AJ1993" s="1" t="s">
        <v>59</v>
      </c>
      <c r="AK1993" s="1" t="s">
        <v>60</v>
      </c>
      <c r="AL1993" s="1" t="s">
        <v>60</v>
      </c>
      <c r="AW1993" s="1" t="s">
        <v>3142</v>
      </c>
      <c r="AY1993" s="1">
        <v>2.0</v>
      </c>
      <c r="AZ1993" s="1">
        <v>109.99</v>
      </c>
      <c r="BB1993" s="1">
        <v>219.98</v>
      </c>
    </row>
    <row r="1994">
      <c r="A1994" s="1" t="s">
        <v>636</v>
      </c>
      <c r="C1994" s="1" t="s">
        <v>56</v>
      </c>
      <c r="D1994" s="1" t="s">
        <v>3143</v>
      </c>
      <c r="Y1994" s="2">
        <v>45513.0</v>
      </c>
      <c r="AE1994" s="1">
        <v>109.99</v>
      </c>
      <c r="AG1994" s="3" t="str">
        <f>"2000006149542255"</f>
        <v>2000006149542255</v>
      </c>
      <c r="AH1994" s="1" t="s">
        <v>58</v>
      </c>
      <c r="AI1994" s="1" t="s">
        <v>59</v>
      </c>
      <c r="AJ1994" s="1" t="s">
        <v>59</v>
      </c>
      <c r="AK1994" s="1" t="s">
        <v>60</v>
      </c>
      <c r="AL1994" s="1" t="s">
        <v>60</v>
      </c>
      <c r="AW1994" s="1" t="s">
        <v>638</v>
      </c>
      <c r="AY1994" s="1">
        <v>1.0</v>
      </c>
      <c r="AZ1994" s="1">
        <v>109.99</v>
      </c>
      <c r="BB1994" s="1">
        <v>109.99</v>
      </c>
    </row>
    <row r="1995">
      <c r="A1995" s="1" t="s">
        <v>1354</v>
      </c>
      <c r="C1995" s="1" t="s">
        <v>56</v>
      </c>
      <c r="D1995" s="1" t="s">
        <v>3144</v>
      </c>
      <c r="Y1995" s="2">
        <v>45513.0</v>
      </c>
      <c r="AE1995" s="1">
        <v>84.99</v>
      </c>
      <c r="AG1995" s="3" t="str">
        <f t="shared" ref="AG1995:AG1996" si="78">"2000006149528861"</f>
        <v>2000006149528861</v>
      </c>
      <c r="AH1995" s="1" t="s">
        <v>58</v>
      </c>
      <c r="AI1995" s="1" t="s">
        <v>59</v>
      </c>
      <c r="AJ1995" s="1" t="s">
        <v>59</v>
      </c>
      <c r="AK1995" s="1" t="s">
        <v>60</v>
      </c>
      <c r="AL1995" s="1" t="s">
        <v>60</v>
      </c>
      <c r="AW1995" s="1" t="s">
        <v>1356</v>
      </c>
      <c r="AY1995" s="1">
        <v>1.0</v>
      </c>
      <c r="AZ1995" s="1">
        <v>84.99</v>
      </c>
      <c r="BB1995" s="1">
        <v>84.99</v>
      </c>
    </row>
    <row r="1996">
      <c r="A1996" s="1" t="s">
        <v>1382</v>
      </c>
      <c r="C1996" s="1" t="s">
        <v>56</v>
      </c>
      <c r="D1996" s="1" t="s">
        <v>3144</v>
      </c>
      <c r="Y1996" s="2">
        <v>45513.0</v>
      </c>
      <c r="AE1996" s="1">
        <v>79.99</v>
      </c>
      <c r="AG1996" s="3" t="str">
        <f t="shared" si="78"/>
        <v>2000006149528861</v>
      </c>
      <c r="AH1996" s="1" t="s">
        <v>58</v>
      </c>
      <c r="AI1996" s="1" t="s">
        <v>59</v>
      </c>
      <c r="AJ1996" s="1" t="s">
        <v>59</v>
      </c>
      <c r="AK1996" s="1" t="s">
        <v>60</v>
      </c>
      <c r="AL1996" s="1" t="s">
        <v>60</v>
      </c>
      <c r="AW1996" s="1" t="s">
        <v>1383</v>
      </c>
      <c r="AY1996" s="1">
        <v>1.0</v>
      </c>
      <c r="AZ1996" s="1">
        <v>79.99</v>
      </c>
      <c r="BB1996" s="1">
        <v>79.99</v>
      </c>
    </row>
    <row r="1997">
      <c r="A1997" s="1" t="s">
        <v>3145</v>
      </c>
      <c r="C1997" s="1" t="s">
        <v>56</v>
      </c>
      <c r="D1997" s="1" t="s">
        <v>3146</v>
      </c>
      <c r="Y1997" s="2">
        <v>45513.0</v>
      </c>
      <c r="AE1997" s="1">
        <v>84.99</v>
      </c>
      <c r="AG1997" s="3" t="str">
        <f>"2000006149514065"</f>
        <v>2000006149514065</v>
      </c>
      <c r="AH1997" s="1" t="s">
        <v>58</v>
      </c>
      <c r="AI1997" s="1" t="s">
        <v>59</v>
      </c>
      <c r="AJ1997" s="1" t="s">
        <v>59</v>
      </c>
      <c r="AK1997" s="1" t="s">
        <v>60</v>
      </c>
      <c r="AL1997" s="1" t="s">
        <v>60</v>
      </c>
      <c r="AW1997" s="1" t="s">
        <v>3147</v>
      </c>
      <c r="AY1997" s="1">
        <v>1.0</v>
      </c>
      <c r="AZ1997" s="1">
        <v>84.99</v>
      </c>
      <c r="BB1997" s="1">
        <v>84.99</v>
      </c>
    </row>
    <row r="1998">
      <c r="A1998" s="1" t="s">
        <v>2791</v>
      </c>
      <c r="C1998" s="1" t="s">
        <v>56</v>
      </c>
      <c r="D1998" s="1" t="s">
        <v>3148</v>
      </c>
      <c r="Y1998" s="2">
        <v>45513.0</v>
      </c>
      <c r="AE1998" s="1">
        <v>119.99</v>
      </c>
      <c r="AG1998" s="3" t="str">
        <f>"2000006149511497"</f>
        <v>2000006149511497</v>
      </c>
      <c r="AH1998" s="1" t="s">
        <v>58</v>
      </c>
      <c r="AI1998" s="1" t="s">
        <v>59</v>
      </c>
      <c r="AJ1998" s="1" t="s">
        <v>59</v>
      </c>
      <c r="AK1998" s="1" t="s">
        <v>60</v>
      </c>
      <c r="AL1998" s="1" t="s">
        <v>60</v>
      </c>
      <c r="AW1998" s="1" t="s">
        <v>2793</v>
      </c>
      <c r="AY1998" s="1">
        <v>1.0</v>
      </c>
      <c r="AZ1998" s="1">
        <v>119.99</v>
      </c>
      <c r="BB1998" s="1">
        <v>119.99</v>
      </c>
    </row>
    <row r="1999">
      <c r="A1999" s="1" t="s">
        <v>942</v>
      </c>
      <c r="C1999" s="1" t="s">
        <v>56</v>
      </c>
      <c r="D1999" s="1" t="s">
        <v>3149</v>
      </c>
      <c r="Y1999" s="2">
        <v>45513.0</v>
      </c>
      <c r="AE1999" s="1">
        <v>114.99</v>
      </c>
      <c r="AG1999" s="3" t="str">
        <f>"2000006149504087"</f>
        <v>2000006149504087</v>
      </c>
      <c r="AH1999" s="1" t="s">
        <v>58</v>
      </c>
      <c r="AI1999" s="1" t="s">
        <v>59</v>
      </c>
      <c r="AJ1999" s="1" t="s">
        <v>59</v>
      </c>
      <c r="AK1999" s="1" t="s">
        <v>60</v>
      </c>
      <c r="AL1999" s="1" t="s">
        <v>60</v>
      </c>
      <c r="AW1999" s="1" t="s">
        <v>944</v>
      </c>
      <c r="AY1999" s="1">
        <v>1.0</v>
      </c>
      <c r="AZ1999" s="1">
        <v>114.99</v>
      </c>
      <c r="BB1999" s="1">
        <v>114.99</v>
      </c>
    </row>
    <row r="2000">
      <c r="A2000" s="1" t="s">
        <v>699</v>
      </c>
      <c r="C2000" s="1" t="s">
        <v>235</v>
      </c>
      <c r="D2000" s="1" t="s">
        <v>3150</v>
      </c>
      <c r="Y2000" s="2">
        <v>45513.0</v>
      </c>
      <c r="AE2000" s="1">
        <v>79.99</v>
      </c>
      <c r="AG2000" s="3" t="str">
        <f>"2000008989541126"</f>
        <v>2000008989541126</v>
      </c>
      <c r="AH2000" s="1" t="s">
        <v>58</v>
      </c>
      <c r="AI2000" s="1" t="s">
        <v>59</v>
      </c>
      <c r="AJ2000" s="1" t="s">
        <v>59</v>
      </c>
      <c r="AK2000" s="1" t="s">
        <v>60</v>
      </c>
      <c r="AL2000" s="1" t="s">
        <v>60</v>
      </c>
      <c r="AW2000" s="1" t="s">
        <v>700</v>
      </c>
      <c r="AY2000" s="1">
        <v>1.0</v>
      </c>
      <c r="AZ2000" s="1">
        <v>79.99</v>
      </c>
      <c r="BB2000" s="1">
        <v>79.99</v>
      </c>
    </row>
    <row r="2001">
      <c r="A2001" s="1" t="s">
        <v>2688</v>
      </c>
      <c r="C2001" s="1" t="s">
        <v>56</v>
      </c>
      <c r="D2001" s="1" t="s">
        <v>3151</v>
      </c>
      <c r="Y2001" s="2">
        <v>45513.0</v>
      </c>
      <c r="AE2001" s="1">
        <v>49.99</v>
      </c>
      <c r="AG2001" s="3" t="str">
        <f>"2000006149488311"</f>
        <v>2000006149488311</v>
      </c>
      <c r="AH2001" s="1" t="s">
        <v>58</v>
      </c>
      <c r="AI2001" s="1" t="s">
        <v>59</v>
      </c>
      <c r="AJ2001" s="1" t="s">
        <v>59</v>
      </c>
      <c r="AK2001" s="1" t="s">
        <v>60</v>
      </c>
      <c r="AL2001" s="1" t="s">
        <v>60</v>
      </c>
      <c r="AW2001" s="1" t="s">
        <v>2690</v>
      </c>
      <c r="AY2001" s="1">
        <v>1.0</v>
      </c>
      <c r="AZ2001" s="1">
        <v>49.99</v>
      </c>
      <c r="BB2001" s="1">
        <v>49.99</v>
      </c>
    </row>
    <row r="2002">
      <c r="A2002" s="1" t="s">
        <v>114</v>
      </c>
      <c r="C2002" s="1" t="s">
        <v>56</v>
      </c>
      <c r="D2002" s="1" t="s">
        <v>3152</v>
      </c>
      <c r="Y2002" s="2">
        <v>45513.0</v>
      </c>
      <c r="AE2002" s="1">
        <v>84.99</v>
      </c>
      <c r="AG2002" s="3" t="str">
        <f>"2000008989500754"</f>
        <v>2000008989500754</v>
      </c>
      <c r="AH2002" s="1" t="s">
        <v>58</v>
      </c>
      <c r="AI2002" s="1" t="s">
        <v>59</v>
      </c>
      <c r="AJ2002" s="1" t="s">
        <v>59</v>
      </c>
      <c r="AK2002" s="1" t="s">
        <v>60</v>
      </c>
      <c r="AL2002" s="1" t="s">
        <v>60</v>
      </c>
      <c r="AW2002" s="1" t="s">
        <v>116</v>
      </c>
      <c r="AY2002" s="1">
        <v>1.0</v>
      </c>
      <c r="AZ2002" s="1">
        <v>84.99</v>
      </c>
      <c r="BB2002" s="1">
        <v>84.99</v>
      </c>
    </row>
    <row r="2003">
      <c r="A2003" s="1" t="s">
        <v>3153</v>
      </c>
      <c r="C2003" s="1" t="s">
        <v>56</v>
      </c>
      <c r="D2003" s="1" t="s">
        <v>3154</v>
      </c>
      <c r="Y2003" s="2">
        <v>45513.0</v>
      </c>
      <c r="AE2003" s="1">
        <v>49.99</v>
      </c>
      <c r="AG2003" s="3" t="str">
        <f>"2000006149474225"</f>
        <v>2000006149474225</v>
      </c>
      <c r="AH2003" s="1" t="s">
        <v>58</v>
      </c>
      <c r="AI2003" s="1" t="s">
        <v>59</v>
      </c>
      <c r="AJ2003" s="1" t="s">
        <v>59</v>
      </c>
      <c r="AK2003" s="1" t="s">
        <v>60</v>
      </c>
      <c r="AL2003" s="1" t="s">
        <v>60</v>
      </c>
      <c r="AW2003" s="1" t="s">
        <v>3155</v>
      </c>
      <c r="AY2003" s="1">
        <v>1.0</v>
      </c>
      <c r="AZ2003" s="1">
        <v>49.99</v>
      </c>
      <c r="BB2003" s="1">
        <v>49.99</v>
      </c>
    </row>
    <row r="2004">
      <c r="A2004" s="1" t="s">
        <v>498</v>
      </c>
      <c r="C2004" s="1" t="s">
        <v>235</v>
      </c>
      <c r="D2004" s="1" t="s">
        <v>3156</v>
      </c>
      <c r="Y2004" s="2">
        <v>45513.0</v>
      </c>
      <c r="AE2004" s="1">
        <v>59.99</v>
      </c>
      <c r="AG2004" s="3" t="str">
        <f>"2000006149477331"</f>
        <v>2000006149477331</v>
      </c>
      <c r="AH2004" s="1" t="s">
        <v>58</v>
      </c>
      <c r="AI2004" s="1" t="s">
        <v>59</v>
      </c>
      <c r="AJ2004" s="1" t="s">
        <v>59</v>
      </c>
      <c r="AK2004" s="1" t="s">
        <v>60</v>
      </c>
      <c r="AL2004" s="1" t="s">
        <v>60</v>
      </c>
      <c r="AW2004" s="1" t="s">
        <v>500</v>
      </c>
      <c r="AY2004" s="1">
        <v>1.0</v>
      </c>
      <c r="AZ2004" s="1">
        <v>59.99</v>
      </c>
      <c r="BB2004" s="1">
        <v>59.99</v>
      </c>
    </row>
    <row r="2005">
      <c r="A2005" s="1" t="s">
        <v>1946</v>
      </c>
      <c r="C2005" s="1" t="s">
        <v>56</v>
      </c>
      <c r="D2005" s="1" t="s">
        <v>3157</v>
      </c>
      <c r="Y2005" s="2">
        <v>45513.0</v>
      </c>
      <c r="AE2005" s="1">
        <v>39.99</v>
      </c>
      <c r="AG2005" s="3" t="str">
        <f>"2000006149473587"</f>
        <v>2000006149473587</v>
      </c>
      <c r="AH2005" s="1" t="s">
        <v>58</v>
      </c>
      <c r="AI2005" s="1" t="s">
        <v>59</v>
      </c>
      <c r="AJ2005" s="1" t="s">
        <v>59</v>
      </c>
      <c r="AK2005" s="1" t="s">
        <v>60</v>
      </c>
      <c r="AL2005" s="1" t="s">
        <v>60</v>
      </c>
      <c r="AW2005" s="1" t="s">
        <v>1529</v>
      </c>
      <c r="AY2005" s="1">
        <v>1.0</v>
      </c>
      <c r="AZ2005" s="1">
        <v>39.99</v>
      </c>
      <c r="BB2005" s="1">
        <v>39.99</v>
      </c>
    </row>
    <row r="2006">
      <c r="A2006" s="1" t="s">
        <v>3007</v>
      </c>
      <c r="C2006" s="1" t="s">
        <v>56</v>
      </c>
      <c r="D2006" s="1" t="s">
        <v>3158</v>
      </c>
      <c r="Y2006" s="2">
        <v>45513.0</v>
      </c>
      <c r="AE2006" s="1">
        <v>79.99</v>
      </c>
      <c r="AG2006" s="3" t="str">
        <f>"2000006149471519"</f>
        <v>2000006149471519</v>
      </c>
      <c r="AH2006" s="1" t="s">
        <v>58</v>
      </c>
      <c r="AI2006" s="1" t="s">
        <v>59</v>
      </c>
      <c r="AJ2006" s="1" t="s">
        <v>59</v>
      </c>
      <c r="AK2006" s="1" t="s">
        <v>60</v>
      </c>
      <c r="AL2006" s="1" t="s">
        <v>60</v>
      </c>
      <c r="AW2006" s="1" t="s">
        <v>3009</v>
      </c>
      <c r="AY2006" s="1">
        <v>1.0</v>
      </c>
      <c r="AZ2006" s="1">
        <v>79.99</v>
      </c>
      <c r="BB2006" s="1">
        <v>79.99</v>
      </c>
    </row>
    <row r="2007">
      <c r="A2007" s="1" t="s">
        <v>519</v>
      </c>
      <c r="C2007" s="1" t="s">
        <v>56</v>
      </c>
      <c r="D2007" s="1" t="s">
        <v>3159</v>
      </c>
      <c r="Y2007" s="2">
        <v>45513.0</v>
      </c>
      <c r="AE2007" s="1">
        <v>49.99</v>
      </c>
      <c r="AG2007" s="3" t="str">
        <f>"2000006149466739"</f>
        <v>2000006149466739</v>
      </c>
      <c r="AH2007" s="1" t="s">
        <v>58</v>
      </c>
      <c r="AI2007" s="1" t="s">
        <v>59</v>
      </c>
      <c r="AJ2007" s="1" t="s">
        <v>59</v>
      </c>
      <c r="AK2007" s="1" t="s">
        <v>60</v>
      </c>
      <c r="AL2007" s="1" t="s">
        <v>60</v>
      </c>
      <c r="AW2007" s="1" t="s">
        <v>521</v>
      </c>
      <c r="AY2007" s="1">
        <v>1.0</v>
      </c>
      <c r="AZ2007" s="1">
        <v>49.99</v>
      </c>
      <c r="BB2007" s="1">
        <v>49.99</v>
      </c>
    </row>
    <row r="2008">
      <c r="A2008" s="1" t="s">
        <v>947</v>
      </c>
      <c r="C2008" s="1" t="s">
        <v>56</v>
      </c>
      <c r="D2008" s="1" t="s">
        <v>3160</v>
      </c>
      <c r="Y2008" s="2">
        <v>45513.0</v>
      </c>
      <c r="AE2008" s="1">
        <v>129.99</v>
      </c>
      <c r="AG2008" s="3" t="str">
        <f>"2000006149463571"</f>
        <v>2000006149463571</v>
      </c>
      <c r="AH2008" s="1" t="s">
        <v>58</v>
      </c>
      <c r="AI2008" s="1" t="s">
        <v>59</v>
      </c>
      <c r="AJ2008" s="1" t="s">
        <v>59</v>
      </c>
      <c r="AK2008" s="1" t="s">
        <v>60</v>
      </c>
      <c r="AL2008" s="1" t="s">
        <v>60</v>
      </c>
      <c r="AW2008" s="1" t="s">
        <v>949</v>
      </c>
      <c r="AY2008" s="1">
        <v>1.0</v>
      </c>
      <c r="AZ2008" s="1">
        <v>129.99</v>
      </c>
      <c r="BB2008" s="1">
        <v>129.99</v>
      </c>
    </row>
    <row r="2009">
      <c r="A2009" s="1" t="s">
        <v>893</v>
      </c>
      <c r="C2009" s="1" t="s">
        <v>56</v>
      </c>
      <c r="D2009" s="1" t="s">
        <v>3161</v>
      </c>
      <c r="Y2009" s="2">
        <v>45513.0</v>
      </c>
      <c r="AE2009" s="1">
        <v>99.99</v>
      </c>
      <c r="AG2009" s="3" t="str">
        <f>"2000006149457327"</f>
        <v>2000006149457327</v>
      </c>
      <c r="AH2009" s="1" t="s">
        <v>58</v>
      </c>
      <c r="AI2009" s="1" t="s">
        <v>59</v>
      </c>
      <c r="AJ2009" s="1" t="s">
        <v>59</v>
      </c>
      <c r="AK2009" s="1" t="s">
        <v>60</v>
      </c>
      <c r="AL2009" s="1" t="s">
        <v>60</v>
      </c>
      <c r="AW2009" s="1" t="s">
        <v>895</v>
      </c>
      <c r="AY2009" s="1">
        <v>1.0</v>
      </c>
      <c r="AZ2009" s="1">
        <v>99.99</v>
      </c>
      <c r="BB2009" s="1">
        <v>99.99</v>
      </c>
    </row>
    <row r="2010">
      <c r="A2010" s="1" t="s">
        <v>3162</v>
      </c>
      <c r="C2010" s="1" t="s">
        <v>56</v>
      </c>
      <c r="D2010" s="1" t="s">
        <v>3163</v>
      </c>
      <c r="Y2010" s="2">
        <v>45513.0</v>
      </c>
      <c r="AE2010" s="1">
        <v>129.99</v>
      </c>
      <c r="AG2010" s="3" t="str">
        <f>"2000006149450201"</f>
        <v>2000006149450201</v>
      </c>
      <c r="AH2010" s="1" t="s">
        <v>58</v>
      </c>
      <c r="AI2010" s="1" t="s">
        <v>59</v>
      </c>
      <c r="AJ2010" s="1" t="s">
        <v>59</v>
      </c>
      <c r="AK2010" s="1" t="s">
        <v>60</v>
      </c>
      <c r="AL2010" s="1" t="s">
        <v>60</v>
      </c>
      <c r="AW2010" s="1" t="s">
        <v>3164</v>
      </c>
      <c r="AY2010" s="1">
        <v>1.0</v>
      </c>
      <c r="AZ2010" s="1">
        <v>129.99</v>
      </c>
      <c r="BB2010" s="1">
        <v>129.99</v>
      </c>
    </row>
    <row r="2011">
      <c r="A2011" s="1" t="s">
        <v>1724</v>
      </c>
      <c r="C2011" s="1" t="s">
        <v>56</v>
      </c>
      <c r="D2011" s="1" t="s">
        <v>3165</v>
      </c>
      <c r="Y2011" s="2">
        <v>45513.0</v>
      </c>
      <c r="AE2011" s="1">
        <v>129.99</v>
      </c>
      <c r="AG2011" s="3" t="str">
        <f>"2000006149436839"</f>
        <v>2000006149436839</v>
      </c>
      <c r="AH2011" s="1" t="s">
        <v>58</v>
      </c>
      <c r="AI2011" s="1" t="s">
        <v>59</v>
      </c>
      <c r="AJ2011" s="1" t="s">
        <v>59</v>
      </c>
      <c r="AK2011" s="1" t="s">
        <v>60</v>
      </c>
      <c r="AL2011" s="1" t="s">
        <v>60</v>
      </c>
      <c r="AW2011" s="1" t="s">
        <v>1726</v>
      </c>
      <c r="AY2011" s="1">
        <v>1.0</v>
      </c>
      <c r="AZ2011" s="1">
        <v>129.99</v>
      </c>
      <c r="BB2011" s="1">
        <v>129.99</v>
      </c>
    </row>
    <row r="2012">
      <c r="A2012" s="1" t="s">
        <v>3166</v>
      </c>
      <c r="C2012" s="1" t="s">
        <v>56</v>
      </c>
      <c r="D2012" s="1" t="s">
        <v>3167</v>
      </c>
      <c r="Y2012" s="2">
        <v>45513.0</v>
      </c>
      <c r="AE2012" s="1">
        <v>254.99</v>
      </c>
      <c r="AG2012" s="3" t="str">
        <f>"2000006149430975"</f>
        <v>2000006149430975</v>
      </c>
      <c r="AH2012" s="1" t="s">
        <v>58</v>
      </c>
      <c r="AI2012" s="1" t="s">
        <v>59</v>
      </c>
      <c r="AJ2012" s="1" t="s">
        <v>59</v>
      </c>
      <c r="AK2012" s="1" t="s">
        <v>60</v>
      </c>
      <c r="AL2012" s="1" t="s">
        <v>60</v>
      </c>
      <c r="AW2012" s="1" t="s">
        <v>3168</v>
      </c>
      <c r="AY2012" s="1">
        <v>1.0</v>
      </c>
      <c r="AZ2012" s="1">
        <v>254.99</v>
      </c>
      <c r="BB2012" s="1">
        <v>254.99</v>
      </c>
    </row>
    <row r="2013">
      <c r="A2013" s="1" t="s">
        <v>3169</v>
      </c>
      <c r="C2013" s="1" t="s">
        <v>56</v>
      </c>
      <c r="D2013" s="1" t="s">
        <v>3170</v>
      </c>
      <c r="Y2013" s="2">
        <v>45513.0</v>
      </c>
      <c r="AE2013" s="1">
        <v>54.99</v>
      </c>
      <c r="AG2013" s="3" t="str">
        <f>"2000008989419444"</f>
        <v>2000008989419444</v>
      </c>
      <c r="AH2013" s="1" t="s">
        <v>58</v>
      </c>
      <c r="AI2013" s="1" t="s">
        <v>59</v>
      </c>
      <c r="AJ2013" s="1" t="s">
        <v>59</v>
      </c>
      <c r="AK2013" s="1" t="s">
        <v>60</v>
      </c>
      <c r="AL2013" s="1" t="s">
        <v>60</v>
      </c>
      <c r="AW2013" s="1" t="s">
        <v>1265</v>
      </c>
      <c r="AY2013" s="1">
        <v>1.0</v>
      </c>
      <c r="AZ2013" s="1">
        <v>54.99</v>
      </c>
      <c r="BB2013" s="1">
        <v>54.99</v>
      </c>
    </row>
    <row r="2014">
      <c r="A2014" s="1" t="s">
        <v>77</v>
      </c>
      <c r="C2014" s="1" t="s">
        <v>56</v>
      </c>
      <c r="D2014" s="1" t="s">
        <v>3171</v>
      </c>
      <c r="Y2014" s="2">
        <v>45513.0</v>
      </c>
      <c r="AE2014" s="1">
        <v>64.99</v>
      </c>
      <c r="AG2014" s="3" t="str">
        <f>"2000008989418640"</f>
        <v>2000008989418640</v>
      </c>
      <c r="AH2014" s="1" t="s">
        <v>58</v>
      </c>
      <c r="AI2014" s="1" t="s">
        <v>59</v>
      </c>
      <c r="AJ2014" s="1" t="s">
        <v>59</v>
      </c>
      <c r="AK2014" s="1" t="s">
        <v>60</v>
      </c>
      <c r="AL2014" s="1" t="s">
        <v>60</v>
      </c>
      <c r="AW2014" s="1" t="s">
        <v>79</v>
      </c>
      <c r="AY2014" s="1">
        <v>1.0</v>
      </c>
      <c r="AZ2014" s="1">
        <v>64.99</v>
      </c>
      <c r="BB2014" s="1">
        <v>64.99</v>
      </c>
    </row>
    <row r="2015">
      <c r="A2015" s="1" t="s">
        <v>108</v>
      </c>
      <c r="C2015" s="1" t="s">
        <v>56</v>
      </c>
      <c r="D2015" s="1" t="s">
        <v>3172</v>
      </c>
      <c r="Y2015" s="2">
        <v>45513.0</v>
      </c>
      <c r="AE2015" s="1">
        <v>54.99</v>
      </c>
      <c r="AG2015" s="3" t="str">
        <f>"2000006149421985"</f>
        <v>2000006149421985</v>
      </c>
      <c r="AH2015" s="1" t="s">
        <v>58</v>
      </c>
      <c r="AI2015" s="1" t="s">
        <v>59</v>
      </c>
      <c r="AJ2015" s="1" t="s">
        <v>59</v>
      </c>
      <c r="AK2015" s="1" t="s">
        <v>60</v>
      </c>
      <c r="AL2015" s="1" t="s">
        <v>60</v>
      </c>
      <c r="AW2015" s="1" t="s">
        <v>110</v>
      </c>
      <c r="AY2015" s="1">
        <v>1.0</v>
      </c>
      <c r="AZ2015" s="1">
        <v>54.99</v>
      </c>
      <c r="BB2015" s="1">
        <v>54.99</v>
      </c>
    </row>
    <row r="2016">
      <c r="A2016" s="1" t="s">
        <v>3173</v>
      </c>
      <c r="C2016" s="1" t="s">
        <v>56</v>
      </c>
      <c r="D2016" s="1" t="s">
        <v>3174</v>
      </c>
      <c r="Y2016" s="2">
        <v>45513.0</v>
      </c>
      <c r="AE2016" s="1">
        <v>84.99</v>
      </c>
      <c r="AG2016" s="3" t="str">
        <f>"2000006149395353"</f>
        <v>2000006149395353</v>
      </c>
      <c r="AH2016" s="1" t="s">
        <v>58</v>
      </c>
      <c r="AI2016" s="1" t="s">
        <v>59</v>
      </c>
      <c r="AJ2016" s="1" t="s">
        <v>59</v>
      </c>
      <c r="AK2016" s="1" t="s">
        <v>60</v>
      </c>
      <c r="AL2016" s="1" t="s">
        <v>60</v>
      </c>
      <c r="AW2016" s="1" t="s">
        <v>3175</v>
      </c>
      <c r="AY2016" s="1">
        <v>1.0</v>
      </c>
      <c r="AZ2016" s="1">
        <v>84.99</v>
      </c>
      <c r="BB2016" s="1">
        <v>84.99</v>
      </c>
    </row>
    <row r="2017">
      <c r="A2017" s="1" t="s">
        <v>3176</v>
      </c>
      <c r="C2017" s="1" t="s">
        <v>56</v>
      </c>
      <c r="D2017" s="1" t="s">
        <v>3177</v>
      </c>
      <c r="Y2017" s="2">
        <v>45513.0</v>
      </c>
      <c r="AE2017" s="1">
        <v>59.99</v>
      </c>
      <c r="AG2017" s="3" t="str">
        <f>"2000008989363952"</f>
        <v>2000008989363952</v>
      </c>
      <c r="AH2017" s="1" t="s">
        <v>58</v>
      </c>
      <c r="AI2017" s="1" t="s">
        <v>59</v>
      </c>
      <c r="AJ2017" s="1" t="s">
        <v>59</v>
      </c>
      <c r="AK2017" s="1" t="s">
        <v>60</v>
      </c>
      <c r="AL2017" s="1" t="s">
        <v>60</v>
      </c>
      <c r="AW2017" s="1" t="s">
        <v>3178</v>
      </c>
      <c r="AY2017" s="1">
        <v>1.0</v>
      </c>
      <c r="AZ2017" s="1">
        <v>59.99</v>
      </c>
      <c r="BB2017" s="1">
        <v>59.99</v>
      </c>
    </row>
    <row r="2018">
      <c r="A2018" s="1" t="s">
        <v>86</v>
      </c>
      <c r="C2018" s="1" t="s">
        <v>56</v>
      </c>
      <c r="D2018" s="1" t="s">
        <v>3179</v>
      </c>
      <c r="Y2018" s="2">
        <v>45513.0</v>
      </c>
      <c r="AE2018" s="1">
        <v>64.99</v>
      </c>
      <c r="AG2018" s="3" t="str">
        <f>"2000006149380189"</f>
        <v>2000006149380189</v>
      </c>
      <c r="AH2018" s="1" t="s">
        <v>58</v>
      </c>
      <c r="AI2018" s="1" t="s">
        <v>59</v>
      </c>
      <c r="AJ2018" s="1" t="s">
        <v>59</v>
      </c>
      <c r="AK2018" s="1" t="s">
        <v>60</v>
      </c>
      <c r="AL2018" s="1" t="s">
        <v>60</v>
      </c>
      <c r="AW2018" s="1" t="s">
        <v>88</v>
      </c>
      <c r="AY2018" s="1">
        <v>1.0</v>
      </c>
      <c r="AZ2018" s="1">
        <v>64.99</v>
      </c>
      <c r="BB2018" s="1">
        <v>64.99</v>
      </c>
    </row>
    <row r="2019">
      <c r="A2019" s="1" t="s">
        <v>1836</v>
      </c>
      <c r="C2019" s="1" t="s">
        <v>56</v>
      </c>
      <c r="D2019" s="1" t="s">
        <v>3180</v>
      </c>
      <c r="Y2019" s="2">
        <v>45512.0</v>
      </c>
      <c r="AE2019" s="1">
        <v>49.99</v>
      </c>
      <c r="AG2019" s="3" t="str">
        <f>"2000008989331636"</f>
        <v>2000008989331636</v>
      </c>
      <c r="AH2019" s="1" t="s">
        <v>58</v>
      </c>
      <c r="AI2019" s="1" t="s">
        <v>59</v>
      </c>
      <c r="AJ2019" s="1" t="s">
        <v>59</v>
      </c>
      <c r="AK2019" s="1" t="s">
        <v>60</v>
      </c>
      <c r="AL2019" s="1" t="s">
        <v>60</v>
      </c>
      <c r="AW2019" s="1" t="s">
        <v>1838</v>
      </c>
      <c r="AY2019" s="1">
        <v>1.0</v>
      </c>
      <c r="AZ2019" s="1">
        <v>49.99</v>
      </c>
      <c r="BB2019" s="1">
        <v>49.99</v>
      </c>
    </row>
    <row r="2020">
      <c r="A2020" s="1" t="s">
        <v>3181</v>
      </c>
      <c r="C2020" s="1" t="s">
        <v>56</v>
      </c>
      <c r="D2020" s="1" t="s">
        <v>3182</v>
      </c>
      <c r="Y2020" s="2">
        <v>45512.0</v>
      </c>
      <c r="AE2020" s="1">
        <v>54.99</v>
      </c>
      <c r="AG2020" s="3" t="str">
        <f>"2000006149264455"</f>
        <v>2000006149264455</v>
      </c>
      <c r="AH2020" s="1" t="s">
        <v>58</v>
      </c>
      <c r="AI2020" s="1" t="s">
        <v>59</v>
      </c>
      <c r="AJ2020" s="1" t="s">
        <v>59</v>
      </c>
      <c r="AK2020" s="1" t="s">
        <v>60</v>
      </c>
      <c r="AL2020" s="1" t="s">
        <v>60</v>
      </c>
      <c r="AW2020" s="1" t="s">
        <v>898</v>
      </c>
      <c r="AY2020" s="1">
        <v>1.0</v>
      </c>
      <c r="AZ2020" s="1">
        <v>54.99</v>
      </c>
      <c r="BB2020" s="1">
        <v>54.99</v>
      </c>
    </row>
    <row r="2021">
      <c r="A2021" s="1" t="s">
        <v>2753</v>
      </c>
      <c r="C2021" s="1" t="s">
        <v>56</v>
      </c>
      <c r="D2021" s="1" t="s">
        <v>3183</v>
      </c>
      <c r="Y2021" s="2">
        <v>45512.0</v>
      </c>
      <c r="AE2021" s="1">
        <v>72.99</v>
      </c>
      <c r="AG2021" s="3" t="str">
        <f>"2000008989267636"</f>
        <v>2000008989267636</v>
      </c>
      <c r="AH2021" s="1" t="s">
        <v>58</v>
      </c>
      <c r="AI2021" s="1" t="s">
        <v>59</v>
      </c>
      <c r="AJ2021" s="1" t="s">
        <v>59</v>
      </c>
      <c r="AK2021" s="1" t="s">
        <v>60</v>
      </c>
      <c r="AL2021" s="1" t="s">
        <v>60</v>
      </c>
      <c r="AW2021" s="1" t="s">
        <v>2755</v>
      </c>
      <c r="AY2021" s="1">
        <v>1.0</v>
      </c>
      <c r="AZ2021" s="1">
        <v>72.99</v>
      </c>
      <c r="BB2021" s="1">
        <v>72.99</v>
      </c>
    </row>
    <row r="2022">
      <c r="A2022" s="1" t="s">
        <v>2263</v>
      </c>
      <c r="C2022" s="1" t="s">
        <v>56</v>
      </c>
      <c r="D2022" s="1" t="s">
        <v>3184</v>
      </c>
      <c r="Y2022" s="2">
        <v>45512.0</v>
      </c>
      <c r="AE2022" s="1">
        <v>59.99</v>
      </c>
      <c r="AG2022" s="3" t="str">
        <f>"2000006149322333"</f>
        <v>2000006149322333</v>
      </c>
      <c r="AH2022" s="1" t="s">
        <v>58</v>
      </c>
      <c r="AI2022" s="1" t="s">
        <v>59</v>
      </c>
      <c r="AJ2022" s="1" t="s">
        <v>59</v>
      </c>
      <c r="AK2022" s="1" t="s">
        <v>60</v>
      </c>
      <c r="AL2022" s="1" t="s">
        <v>60</v>
      </c>
      <c r="AW2022" s="1" t="s">
        <v>61</v>
      </c>
      <c r="AY2022" s="1">
        <v>1.0</v>
      </c>
      <c r="AZ2022" s="1">
        <v>59.99</v>
      </c>
      <c r="BB2022" s="1">
        <v>59.99</v>
      </c>
    </row>
    <row r="2023">
      <c r="A2023" s="1" t="s">
        <v>62</v>
      </c>
      <c r="C2023" s="1" t="s">
        <v>56</v>
      </c>
      <c r="D2023" s="1" t="s">
        <v>3185</v>
      </c>
      <c r="Y2023" s="2">
        <v>45512.0</v>
      </c>
      <c r="AE2023" s="1">
        <v>249.49</v>
      </c>
      <c r="AG2023" s="3" t="str">
        <f>"2000006149311171"</f>
        <v>2000006149311171</v>
      </c>
      <c r="AH2023" s="1" t="s">
        <v>58</v>
      </c>
      <c r="AI2023" s="1" t="s">
        <v>59</v>
      </c>
      <c r="AJ2023" s="1" t="s">
        <v>59</v>
      </c>
      <c r="AK2023" s="1" t="s">
        <v>60</v>
      </c>
      <c r="AL2023" s="1" t="s">
        <v>60</v>
      </c>
      <c r="AW2023" s="1" t="s">
        <v>64</v>
      </c>
      <c r="AY2023" s="1">
        <v>1.0</v>
      </c>
      <c r="AZ2023" s="1">
        <v>249.49</v>
      </c>
      <c r="BB2023" s="1">
        <v>249.49</v>
      </c>
    </row>
    <row r="2024">
      <c r="A2024" s="1" t="s">
        <v>960</v>
      </c>
      <c r="C2024" s="1" t="s">
        <v>56</v>
      </c>
      <c r="D2024" s="1" t="s">
        <v>3186</v>
      </c>
      <c r="Y2024" s="2">
        <v>45512.0</v>
      </c>
      <c r="AE2024" s="1">
        <v>129.99</v>
      </c>
      <c r="AG2024" s="3" t="str">
        <f>"2000006149281217"</f>
        <v>2000006149281217</v>
      </c>
      <c r="AH2024" s="1" t="s">
        <v>58</v>
      </c>
      <c r="AI2024" s="1" t="s">
        <v>59</v>
      </c>
      <c r="AJ2024" s="1" t="s">
        <v>59</v>
      </c>
      <c r="AK2024" s="1" t="s">
        <v>60</v>
      </c>
      <c r="AL2024" s="1" t="s">
        <v>60</v>
      </c>
      <c r="AW2024" s="1" t="s">
        <v>763</v>
      </c>
      <c r="AY2024" s="1">
        <v>1.0</v>
      </c>
      <c r="AZ2024" s="1">
        <v>129.99</v>
      </c>
      <c r="BB2024" s="1">
        <v>129.99</v>
      </c>
    </row>
    <row r="2025">
      <c r="A2025" s="1" t="s">
        <v>108</v>
      </c>
      <c r="C2025" s="1" t="s">
        <v>235</v>
      </c>
      <c r="D2025" s="1" t="s">
        <v>3172</v>
      </c>
      <c r="Y2025" s="2">
        <v>45512.0</v>
      </c>
      <c r="AE2025" s="1">
        <v>54.99</v>
      </c>
      <c r="AG2025" s="3" t="str">
        <f>"2000006149295279"</f>
        <v>2000006149295279</v>
      </c>
      <c r="AH2025" s="1" t="s">
        <v>58</v>
      </c>
      <c r="AI2025" s="1" t="s">
        <v>59</v>
      </c>
      <c r="AJ2025" s="1" t="s">
        <v>59</v>
      </c>
      <c r="AK2025" s="1" t="s">
        <v>60</v>
      </c>
      <c r="AL2025" s="1" t="s">
        <v>60</v>
      </c>
      <c r="AW2025" s="1" t="s">
        <v>110</v>
      </c>
      <c r="AY2025" s="1">
        <v>1.0</v>
      </c>
      <c r="AZ2025" s="1">
        <v>54.99</v>
      </c>
      <c r="BB2025" s="1">
        <v>54.99</v>
      </c>
    </row>
    <row r="2026">
      <c r="A2026" s="1" t="s">
        <v>3187</v>
      </c>
      <c r="C2026" s="1" t="s">
        <v>56</v>
      </c>
      <c r="D2026" s="1" t="s">
        <v>3188</v>
      </c>
      <c r="Y2026" s="2">
        <v>45512.0</v>
      </c>
      <c r="AE2026" s="1">
        <v>79.99</v>
      </c>
      <c r="AG2026" s="3" t="str">
        <f>"2000006149269129"</f>
        <v>2000006149269129</v>
      </c>
      <c r="AH2026" s="1" t="s">
        <v>58</v>
      </c>
      <c r="AI2026" s="1" t="s">
        <v>59</v>
      </c>
      <c r="AJ2026" s="1" t="s">
        <v>59</v>
      </c>
      <c r="AK2026" s="1" t="s">
        <v>60</v>
      </c>
      <c r="AL2026" s="1" t="s">
        <v>60</v>
      </c>
      <c r="AW2026" s="1" t="s">
        <v>3189</v>
      </c>
      <c r="AY2026" s="1">
        <v>1.0</v>
      </c>
      <c r="AZ2026" s="1">
        <v>79.99</v>
      </c>
      <c r="BB2026" s="1">
        <v>79.99</v>
      </c>
    </row>
    <row r="2027">
      <c r="A2027" s="1" t="s">
        <v>3007</v>
      </c>
      <c r="C2027" s="1" t="s">
        <v>56</v>
      </c>
      <c r="D2027" s="1" t="s">
        <v>3190</v>
      </c>
      <c r="Y2027" s="2">
        <v>45512.0</v>
      </c>
      <c r="AE2027" s="1">
        <v>79.99</v>
      </c>
      <c r="AG2027" s="3" t="str">
        <f>"2000006149264883"</f>
        <v>2000006149264883</v>
      </c>
      <c r="AH2027" s="1" t="s">
        <v>58</v>
      </c>
      <c r="AI2027" s="1" t="s">
        <v>59</v>
      </c>
      <c r="AJ2027" s="1" t="s">
        <v>59</v>
      </c>
      <c r="AK2027" s="1" t="s">
        <v>60</v>
      </c>
      <c r="AL2027" s="1" t="s">
        <v>60</v>
      </c>
      <c r="AW2027" s="1" t="s">
        <v>3009</v>
      </c>
      <c r="AY2027" s="1">
        <v>1.0</v>
      </c>
      <c r="AZ2027" s="1">
        <v>79.99</v>
      </c>
      <c r="BB2027" s="1">
        <v>79.99</v>
      </c>
    </row>
    <row r="2028">
      <c r="A2028" s="1" t="s">
        <v>771</v>
      </c>
      <c r="C2028" s="1" t="s">
        <v>56</v>
      </c>
      <c r="D2028" s="1" t="s">
        <v>3191</v>
      </c>
      <c r="Y2028" s="2">
        <v>45512.0</v>
      </c>
      <c r="AE2028" s="1">
        <v>139.98</v>
      </c>
      <c r="AG2028" s="3" t="str">
        <f>"2000008989142326"</f>
        <v>2000008989142326</v>
      </c>
      <c r="AH2028" s="1" t="s">
        <v>58</v>
      </c>
      <c r="AI2028" s="1" t="s">
        <v>59</v>
      </c>
      <c r="AJ2028" s="1" t="s">
        <v>59</v>
      </c>
      <c r="AK2028" s="1" t="s">
        <v>60</v>
      </c>
      <c r="AL2028" s="1" t="s">
        <v>60</v>
      </c>
      <c r="AW2028" s="1" t="s">
        <v>773</v>
      </c>
      <c r="AY2028" s="1">
        <v>1.0</v>
      </c>
      <c r="AZ2028" s="1">
        <v>139.98</v>
      </c>
      <c r="BB2028" s="1">
        <v>139.98</v>
      </c>
    </row>
    <row r="2029">
      <c r="A2029" s="1" t="s">
        <v>1360</v>
      </c>
      <c r="C2029" s="1" t="s">
        <v>56</v>
      </c>
      <c r="D2029" s="1" t="s">
        <v>3192</v>
      </c>
      <c r="Y2029" s="2">
        <v>45512.0</v>
      </c>
      <c r="AE2029" s="1">
        <v>499.99</v>
      </c>
      <c r="AG2029" s="3" t="str">
        <f>"2000008989142080"</f>
        <v>2000008989142080</v>
      </c>
      <c r="AH2029" s="1" t="s">
        <v>58</v>
      </c>
      <c r="AI2029" s="1" t="s">
        <v>59</v>
      </c>
      <c r="AJ2029" s="1" t="s">
        <v>59</v>
      </c>
      <c r="AK2029" s="1" t="s">
        <v>60</v>
      </c>
      <c r="AL2029" s="1" t="s">
        <v>60</v>
      </c>
      <c r="AW2029" s="1" t="s">
        <v>1362</v>
      </c>
      <c r="AY2029" s="1">
        <v>1.0</v>
      </c>
      <c r="AZ2029" s="1">
        <v>499.99</v>
      </c>
      <c r="BB2029" s="1">
        <v>499.99</v>
      </c>
    </row>
    <row r="2030">
      <c r="A2030" s="1" t="s">
        <v>360</v>
      </c>
      <c r="C2030" s="1" t="s">
        <v>56</v>
      </c>
      <c r="D2030" s="1" t="s">
        <v>3193</v>
      </c>
      <c r="Y2030" s="2">
        <v>45512.0</v>
      </c>
      <c r="AE2030" s="1">
        <v>47.18</v>
      </c>
      <c r="AG2030" s="3" t="str">
        <f>"2000006149243507"</f>
        <v>2000006149243507</v>
      </c>
      <c r="AH2030" s="1" t="s">
        <v>58</v>
      </c>
      <c r="AI2030" s="1" t="s">
        <v>59</v>
      </c>
      <c r="AJ2030" s="1" t="s">
        <v>59</v>
      </c>
      <c r="AK2030" s="1" t="s">
        <v>60</v>
      </c>
      <c r="AL2030" s="1" t="s">
        <v>60</v>
      </c>
      <c r="AW2030" s="1" t="s">
        <v>155</v>
      </c>
      <c r="AY2030" s="1">
        <v>1.0</v>
      </c>
      <c r="AZ2030" s="1">
        <v>47.18</v>
      </c>
      <c r="BB2030" s="1">
        <v>47.18</v>
      </c>
    </row>
    <row r="2031">
      <c r="A2031" s="1" t="s">
        <v>1177</v>
      </c>
      <c r="C2031" s="1" t="s">
        <v>56</v>
      </c>
      <c r="D2031" s="1" t="s">
        <v>3194</v>
      </c>
      <c r="Y2031" s="2">
        <v>45512.0</v>
      </c>
      <c r="AE2031" s="1">
        <v>129.99</v>
      </c>
      <c r="AG2031" s="3" t="str">
        <f>"2000006149177069"</f>
        <v>2000006149177069</v>
      </c>
      <c r="AH2031" s="1" t="s">
        <v>58</v>
      </c>
      <c r="AI2031" s="1" t="s">
        <v>59</v>
      </c>
      <c r="AJ2031" s="1" t="s">
        <v>59</v>
      </c>
      <c r="AK2031" s="1" t="s">
        <v>60</v>
      </c>
      <c r="AL2031" s="1" t="s">
        <v>60</v>
      </c>
      <c r="AW2031" s="1" t="s">
        <v>1179</v>
      </c>
      <c r="AY2031" s="1">
        <v>1.0</v>
      </c>
      <c r="AZ2031" s="1">
        <v>129.99</v>
      </c>
      <c r="BB2031" s="1">
        <v>129.99</v>
      </c>
    </row>
    <row r="2032">
      <c r="A2032" s="1" t="s">
        <v>348</v>
      </c>
      <c r="C2032" s="1" t="s">
        <v>56</v>
      </c>
      <c r="D2032" s="1" t="s">
        <v>3195</v>
      </c>
      <c r="Y2032" s="2">
        <v>45512.0</v>
      </c>
      <c r="AE2032" s="1">
        <v>99.99</v>
      </c>
      <c r="AG2032" s="3" t="str">
        <f>"2000006143439019"</f>
        <v>2000006143439019</v>
      </c>
      <c r="AH2032" s="1" t="s">
        <v>58</v>
      </c>
      <c r="AI2032" s="1" t="s">
        <v>59</v>
      </c>
      <c r="AJ2032" s="1" t="s">
        <v>59</v>
      </c>
      <c r="AK2032" s="1" t="s">
        <v>60</v>
      </c>
      <c r="AL2032" s="1" t="s">
        <v>60</v>
      </c>
      <c r="AW2032" s="1" t="s">
        <v>350</v>
      </c>
      <c r="AY2032" s="1">
        <v>1.0</v>
      </c>
      <c r="AZ2032" s="1">
        <v>99.99</v>
      </c>
      <c r="BB2032" s="1">
        <v>99.99</v>
      </c>
    </row>
    <row r="2033">
      <c r="A2033" s="1" t="s">
        <v>125</v>
      </c>
      <c r="C2033" s="1" t="s">
        <v>56</v>
      </c>
      <c r="D2033" s="1" t="s">
        <v>3196</v>
      </c>
      <c r="Y2033" s="2">
        <v>45512.0</v>
      </c>
      <c r="AE2033" s="1">
        <v>49.99</v>
      </c>
      <c r="AG2033" s="3" t="str">
        <f>"2000006149132149"</f>
        <v>2000006149132149</v>
      </c>
      <c r="AH2033" s="1" t="s">
        <v>58</v>
      </c>
      <c r="AI2033" s="1" t="s">
        <v>59</v>
      </c>
      <c r="AJ2033" s="1" t="s">
        <v>59</v>
      </c>
      <c r="AK2033" s="1" t="s">
        <v>60</v>
      </c>
      <c r="AL2033" s="1" t="s">
        <v>60</v>
      </c>
      <c r="AW2033" s="1" t="s">
        <v>127</v>
      </c>
      <c r="AY2033" s="1">
        <v>1.0</v>
      </c>
      <c r="AZ2033" s="1">
        <v>49.99</v>
      </c>
      <c r="BB2033" s="1">
        <v>49.99</v>
      </c>
    </row>
    <row r="2034">
      <c r="A2034" s="1" t="s">
        <v>1257</v>
      </c>
      <c r="C2034" s="1" t="s">
        <v>56</v>
      </c>
      <c r="D2034" s="1" t="s">
        <v>3197</v>
      </c>
      <c r="Y2034" s="2">
        <v>45512.0</v>
      </c>
      <c r="AE2034" s="1">
        <v>64.99</v>
      </c>
      <c r="AG2034" s="3" t="str">
        <f>"2000006149090213"</f>
        <v>2000006149090213</v>
      </c>
      <c r="AH2034" s="1" t="s">
        <v>58</v>
      </c>
      <c r="AI2034" s="1" t="s">
        <v>59</v>
      </c>
      <c r="AJ2034" s="1" t="s">
        <v>59</v>
      </c>
      <c r="AK2034" s="1" t="s">
        <v>60</v>
      </c>
      <c r="AL2034" s="1" t="s">
        <v>60</v>
      </c>
      <c r="AW2034" s="1" t="s">
        <v>1259</v>
      </c>
      <c r="AY2034" s="1">
        <v>1.0</v>
      </c>
      <c r="AZ2034" s="1">
        <v>64.99</v>
      </c>
      <c r="BB2034" s="1">
        <v>64.99</v>
      </c>
    </row>
    <row r="2035">
      <c r="A2035" s="1" t="s">
        <v>3198</v>
      </c>
      <c r="C2035" s="1" t="s">
        <v>56</v>
      </c>
      <c r="D2035" s="1" t="s">
        <v>3199</v>
      </c>
      <c r="Y2035" s="2">
        <v>45512.0</v>
      </c>
      <c r="AE2035" s="1">
        <v>49.99</v>
      </c>
      <c r="AG2035" s="3" t="str">
        <f>"2000006147419629"</f>
        <v>2000006147419629</v>
      </c>
      <c r="AH2035" s="1" t="s">
        <v>58</v>
      </c>
      <c r="AI2035" s="1" t="s">
        <v>59</v>
      </c>
      <c r="AJ2035" s="1" t="s">
        <v>59</v>
      </c>
      <c r="AK2035" s="1" t="s">
        <v>60</v>
      </c>
      <c r="AL2035" s="1" t="s">
        <v>60</v>
      </c>
      <c r="AW2035" s="1" t="s">
        <v>3200</v>
      </c>
      <c r="AY2035" s="1">
        <v>1.0</v>
      </c>
      <c r="AZ2035" s="1">
        <v>49.99</v>
      </c>
      <c r="BB2035" s="1">
        <v>49.99</v>
      </c>
    </row>
    <row r="2036">
      <c r="A2036" s="1" t="s">
        <v>178</v>
      </c>
      <c r="C2036" s="1" t="s">
        <v>56</v>
      </c>
      <c r="D2036" s="1" t="s">
        <v>3201</v>
      </c>
      <c r="Y2036" s="2">
        <v>45512.0</v>
      </c>
      <c r="AE2036" s="1">
        <v>134.99</v>
      </c>
      <c r="AG2036" s="3" t="str">
        <f>"2000006149107733"</f>
        <v>2000006149107733</v>
      </c>
      <c r="AH2036" s="1" t="s">
        <v>58</v>
      </c>
      <c r="AI2036" s="1" t="s">
        <v>59</v>
      </c>
      <c r="AJ2036" s="1" t="s">
        <v>59</v>
      </c>
      <c r="AK2036" s="1" t="s">
        <v>60</v>
      </c>
      <c r="AL2036" s="1" t="s">
        <v>60</v>
      </c>
      <c r="AW2036" s="1" t="s">
        <v>180</v>
      </c>
      <c r="AY2036" s="1">
        <v>1.0</v>
      </c>
      <c r="AZ2036" s="1">
        <v>134.99</v>
      </c>
      <c r="BB2036" s="1">
        <v>134.99</v>
      </c>
    </row>
    <row r="2037">
      <c r="A2037" s="1" t="s">
        <v>3202</v>
      </c>
      <c r="C2037" s="1" t="s">
        <v>56</v>
      </c>
      <c r="D2037" s="1" t="s">
        <v>3203</v>
      </c>
      <c r="Y2037" s="2">
        <v>45512.0</v>
      </c>
      <c r="AE2037" s="1">
        <v>89.99</v>
      </c>
      <c r="AG2037" s="3" t="str">
        <f>"2000006149102461"</f>
        <v>2000006149102461</v>
      </c>
      <c r="AH2037" s="1" t="s">
        <v>58</v>
      </c>
      <c r="AI2037" s="1" t="s">
        <v>59</v>
      </c>
      <c r="AJ2037" s="1" t="s">
        <v>59</v>
      </c>
      <c r="AK2037" s="1" t="s">
        <v>60</v>
      </c>
      <c r="AL2037" s="1" t="s">
        <v>60</v>
      </c>
      <c r="AW2037" s="1" t="s">
        <v>2915</v>
      </c>
      <c r="AY2037" s="1">
        <v>1.0</v>
      </c>
      <c r="AZ2037" s="1">
        <v>89.99</v>
      </c>
      <c r="BB2037" s="1">
        <v>89.99</v>
      </c>
    </row>
    <row r="2038">
      <c r="A2038" s="1" t="s">
        <v>1946</v>
      </c>
      <c r="C2038" s="1" t="s">
        <v>56</v>
      </c>
      <c r="D2038" s="1" t="s">
        <v>3204</v>
      </c>
      <c r="Y2038" s="2">
        <v>45512.0</v>
      </c>
      <c r="AE2038" s="1">
        <v>39.99</v>
      </c>
      <c r="AG2038" s="3" t="str">
        <f t="shared" ref="AG2038:AG2039" si="79">"2000006149081077"</f>
        <v>2000006149081077</v>
      </c>
      <c r="AH2038" s="1" t="s">
        <v>58</v>
      </c>
      <c r="AI2038" s="1" t="s">
        <v>59</v>
      </c>
      <c r="AJ2038" s="1" t="s">
        <v>59</v>
      </c>
      <c r="AK2038" s="1" t="s">
        <v>60</v>
      </c>
      <c r="AL2038" s="1" t="s">
        <v>60</v>
      </c>
      <c r="AW2038" s="1" t="s">
        <v>1529</v>
      </c>
      <c r="AY2038" s="1">
        <v>1.0</v>
      </c>
      <c r="AZ2038" s="1">
        <v>39.99</v>
      </c>
      <c r="BB2038" s="1">
        <v>39.99</v>
      </c>
    </row>
    <row r="2039">
      <c r="A2039" s="1" t="s">
        <v>2784</v>
      </c>
      <c r="C2039" s="1" t="s">
        <v>56</v>
      </c>
      <c r="D2039" s="1" t="s">
        <v>3204</v>
      </c>
      <c r="Y2039" s="2">
        <v>45512.0</v>
      </c>
      <c r="AE2039" s="1">
        <v>39.99</v>
      </c>
      <c r="AG2039" s="3" t="str">
        <f t="shared" si="79"/>
        <v>2000006149081077</v>
      </c>
      <c r="AH2039" s="1" t="s">
        <v>58</v>
      </c>
      <c r="AI2039" s="1" t="s">
        <v>59</v>
      </c>
      <c r="AJ2039" s="1" t="s">
        <v>59</v>
      </c>
      <c r="AK2039" s="1" t="s">
        <v>60</v>
      </c>
      <c r="AL2039" s="1" t="s">
        <v>60</v>
      </c>
      <c r="AW2039" s="1" t="s">
        <v>1529</v>
      </c>
      <c r="AY2039" s="1">
        <v>1.0</v>
      </c>
      <c r="AZ2039" s="1">
        <v>39.99</v>
      </c>
      <c r="BB2039" s="1">
        <v>39.99</v>
      </c>
    </row>
    <row r="2040">
      <c r="A2040" s="1" t="s">
        <v>86</v>
      </c>
      <c r="C2040" s="1" t="s">
        <v>56</v>
      </c>
      <c r="D2040" s="1" t="s">
        <v>3205</v>
      </c>
      <c r="Y2040" s="2">
        <v>45512.0</v>
      </c>
      <c r="AE2040" s="1">
        <v>64.99</v>
      </c>
      <c r="AG2040" s="3" t="str">
        <f>"2000006149081073"</f>
        <v>2000006149081073</v>
      </c>
      <c r="AH2040" s="1" t="s">
        <v>58</v>
      </c>
      <c r="AI2040" s="1" t="s">
        <v>59</v>
      </c>
      <c r="AJ2040" s="1" t="s">
        <v>59</v>
      </c>
      <c r="AK2040" s="1" t="s">
        <v>60</v>
      </c>
      <c r="AL2040" s="1" t="s">
        <v>60</v>
      </c>
      <c r="AW2040" s="1" t="s">
        <v>88</v>
      </c>
      <c r="AY2040" s="1">
        <v>1.0</v>
      </c>
      <c r="AZ2040" s="1">
        <v>64.99</v>
      </c>
      <c r="BB2040" s="1">
        <v>64.99</v>
      </c>
    </row>
    <row r="2041">
      <c r="A2041" s="1" t="s">
        <v>3202</v>
      </c>
      <c r="C2041" s="1" t="s">
        <v>56</v>
      </c>
      <c r="D2041" s="1" t="s">
        <v>3206</v>
      </c>
      <c r="Y2041" s="2">
        <v>45512.0</v>
      </c>
      <c r="AE2041" s="1">
        <v>89.99</v>
      </c>
      <c r="AG2041" s="3" t="str">
        <f>"2000006149076331"</f>
        <v>2000006149076331</v>
      </c>
      <c r="AH2041" s="1" t="s">
        <v>58</v>
      </c>
      <c r="AI2041" s="1" t="s">
        <v>59</v>
      </c>
      <c r="AJ2041" s="1" t="s">
        <v>59</v>
      </c>
      <c r="AK2041" s="1" t="s">
        <v>60</v>
      </c>
      <c r="AL2041" s="1" t="s">
        <v>60</v>
      </c>
      <c r="AW2041" s="1" t="s">
        <v>2915</v>
      </c>
      <c r="AY2041" s="1">
        <v>1.0</v>
      </c>
      <c r="AZ2041" s="1">
        <v>89.99</v>
      </c>
      <c r="BB2041" s="1">
        <v>89.99</v>
      </c>
    </row>
    <row r="2042">
      <c r="A2042" s="1" t="s">
        <v>1202</v>
      </c>
      <c r="C2042" s="1" t="s">
        <v>56</v>
      </c>
      <c r="D2042" s="1" t="s">
        <v>3207</v>
      </c>
      <c r="Y2042" s="2">
        <v>45512.0</v>
      </c>
      <c r="AE2042" s="1">
        <v>39.99</v>
      </c>
      <c r="AG2042" s="3" t="str">
        <f>"2000006149054887"</f>
        <v>2000006149054887</v>
      </c>
      <c r="AH2042" s="1" t="s">
        <v>58</v>
      </c>
      <c r="AI2042" s="1" t="s">
        <v>59</v>
      </c>
      <c r="AJ2042" s="1" t="s">
        <v>59</v>
      </c>
      <c r="AK2042" s="1" t="s">
        <v>60</v>
      </c>
      <c r="AL2042" s="1" t="s">
        <v>60</v>
      </c>
      <c r="AW2042" s="1" t="s">
        <v>1204</v>
      </c>
      <c r="AY2042" s="1">
        <v>1.0</v>
      </c>
      <c r="AZ2042" s="1">
        <v>39.99</v>
      </c>
      <c r="BB2042" s="1">
        <v>39.99</v>
      </c>
    </row>
    <row r="2043">
      <c r="A2043" s="1" t="s">
        <v>2370</v>
      </c>
      <c r="C2043" s="1" t="s">
        <v>56</v>
      </c>
      <c r="D2043" s="1" t="s">
        <v>3208</v>
      </c>
      <c r="Y2043" s="2">
        <v>45512.0</v>
      </c>
      <c r="AE2043" s="1">
        <v>114.99</v>
      </c>
      <c r="AG2043" s="3" t="str">
        <f>"2000006149046085"</f>
        <v>2000006149046085</v>
      </c>
      <c r="AH2043" s="1" t="s">
        <v>58</v>
      </c>
      <c r="AI2043" s="1" t="s">
        <v>59</v>
      </c>
      <c r="AJ2043" s="1" t="s">
        <v>59</v>
      </c>
      <c r="AK2043" s="1" t="s">
        <v>60</v>
      </c>
      <c r="AL2043" s="1" t="s">
        <v>60</v>
      </c>
      <c r="AW2043" s="1" t="s">
        <v>2372</v>
      </c>
      <c r="AY2043" s="1">
        <v>1.0</v>
      </c>
      <c r="AZ2043" s="1">
        <v>114.99</v>
      </c>
      <c r="BB2043" s="1">
        <v>114.99</v>
      </c>
    </row>
    <row r="2044">
      <c r="A2044" s="1" t="s">
        <v>2959</v>
      </c>
      <c r="C2044" s="1" t="s">
        <v>235</v>
      </c>
      <c r="D2044" s="1" t="s">
        <v>3209</v>
      </c>
      <c r="Y2044" s="2">
        <v>45512.0</v>
      </c>
      <c r="AE2044" s="1">
        <v>134.99</v>
      </c>
      <c r="AG2044" s="3" t="str">
        <f>"2000008988765232"</f>
        <v>2000008988765232</v>
      </c>
      <c r="AH2044" s="1" t="s">
        <v>58</v>
      </c>
      <c r="AI2044" s="1" t="s">
        <v>59</v>
      </c>
      <c r="AJ2044" s="1" t="s">
        <v>59</v>
      </c>
      <c r="AK2044" s="1" t="s">
        <v>60</v>
      </c>
      <c r="AL2044" s="1" t="s">
        <v>60</v>
      </c>
      <c r="AW2044" s="1" t="s">
        <v>2961</v>
      </c>
      <c r="AY2044" s="1">
        <v>1.0</v>
      </c>
      <c r="AZ2044" s="1">
        <v>134.99</v>
      </c>
      <c r="BB2044" s="1">
        <v>134.99</v>
      </c>
    </row>
    <row r="2045">
      <c r="A2045" s="1" t="s">
        <v>622</v>
      </c>
      <c r="C2045" s="1" t="s">
        <v>56</v>
      </c>
      <c r="D2045" s="1" t="s">
        <v>3210</v>
      </c>
      <c r="Y2045" s="2">
        <v>45512.0</v>
      </c>
      <c r="AE2045" s="1">
        <v>649.99</v>
      </c>
      <c r="AG2045" s="3" t="str">
        <f>"2000008988755464"</f>
        <v>2000008988755464</v>
      </c>
      <c r="AH2045" s="1" t="s">
        <v>58</v>
      </c>
      <c r="AI2045" s="1" t="s">
        <v>59</v>
      </c>
      <c r="AJ2045" s="1" t="s">
        <v>59</v>
      </c>
      <c r="AK2045" s="1" t="s">
        <v>60</v>
      </c>
      <c r="AL2045" s="1" t="s">
        <v>60</v>
      </c>
      <c r="AW2045" s="1" t="s">
        <v>624</v>
      </c>
      <c r="AY2045" s="1">
        <v>1.0</v>
      </c>
      <c r="AZ2045" s="1">
        <v>649.99</v>
      </c>
      <c r="BB2045" s="1">
        <v>649.99</v>
      </c>
    </row>
    <row r="2046">
      <c r="A2046" s="1" t="s">
        <v>125</v>
      </c>
      <c r="C2046" s="1" t="s">
        <v>235</v>
      </c>
      <c r="D2046" s="1" t="s">
        <v>3196</v>
      </c>
      <c r="Y2046" s="2">
        <v>45512.0</v>
      </c>
      <c r="AE2046" s="1">
        <v>49.99</v>
      </c>
      <c r="AG2046" s="3" t="str">
        <f>"2000006149033025"</f>
        <v>2000006149033025</v>
      </c>
      <c r="AH2046" s="1" t="s">
        <v>58</v>
      </c>
      <c r="AI2046" s="1" t="s">
        <v>59</v>
      </c>
      <c r="AJ2046" s="1" t="s">
        <v>59</v>
      </c>
      <c r="AK2046" s="1" t="s">
        <v>60</v>
      </c>
      <c r="AL2046" s="1" t="s">
        <v>60</v>
      </c>
      <c r="AW2046" s="1" t="s">
        <v>127</v>
      </c>
      <c r="AY2046" s="1">
        <v>1.0</v>
      </c>
      <c r="AZ2046" s="1">
        <v>49.99</v>
      </c>
      <c r="BB2046" s="1">
        <v>49.99</v>
      </c>
    </row>
    <row r="2047">
      <c r="A2047" s="1" t="s">
        <v>1795</v>
      </c>
      <c r="C2047" s="1" t="s">
        <v>56</v>
      </c>
      <c r="D2047" s="1" t="s">
        <v>3211</v>
      </c>
      <c r="Y2047" s="2">
        <v>45512.0</v>
      </c>
      <c r="AE2047" s="1">
        <v>399.99</v>
      </c>
      <c r="AG2047" s="3" t="str">
        <f>"2000006149000955"</f>
        <v>2000006149000955</v>
      </c>
      <c r="AH2047" s="1" t="s">
        <v>58</v>
      </c>
      <c r="AI2047" s="1" t="s">
        <v>59</v>
      </c>
      <c r="AJ2047" s="1" t="s">
        <v>59</v>
      </c>
      <c r="AK2047" s="1" t="s">
        <v>60</v>
      </c>
      <c r="AL2047" s="1" t="s">
        <v>60</v>
      </c>
      <c r="AW2047" s="1" t="s">
        <v>1797</v>
      </c>
      <c r="AY2047" s="1">
        <v>1.0</v>
      </c>
      <c r="AZ2047" s="1">
        <v>399.99</v>
      </c>
      <c r="BB2047" s="1">
        <v>399.99</v>
      </c>
    </row>
    <row r="2048">
      <c r="A2048" s="1" t="s">
        <v>854</v>
      </c>
      <c r="C2048" s="1" t="s">
        <v>235</v>
      </c>
      <c r="D2048" s="1" t="s">
        <v>3212</v>
      </c>
      <c r="Y2048" s="2">
        <v>45512.0</v>
      </c>
      <c r="AE2048" s="1">
        <v>79.99</v>
      </c>
      <c r="AG2048" s="3" t="str">
        <f>"2000006148947327"</f>
        <v>2000006148947327</v>
      </c>
      <c r="AH2048" s="1" t="s">
        <v>58</v>
      </c>
      <c r="AI2048" s="1" t="s">
        <v>59</v>
      </c>
      <c r="AJ2048" s="1" t="s">
        <v>59</v>
      </c>
      <c r="AK2048" s="1" t="s">
        <v>60</v>
      </c>
      <c r="AL2048" s="1" t="s">
        <v>60</v>
      </c>
      <c r="AW2048" s="1" t="s">
        <v>856</v>
      </c>
      <c r="AY2048" s="1">
        <v>1.0</v>
      </c>
      <c r="AZ2048" s="1">
        <v>79.99</v>
      </c>
      <c r="BB2048" s="1">
        <v>79.99</v>
      </c>
    </row>
    <row r="2049">
      <c r="A2049" s="1" t="s">
        <v>3213</v>
      </c>
      <c r="C2049" s="1" t="s">
        <v>56</v>
      </c>
      <c r="D2049" s="1" t="s">
        <v>3214</v>
      </c>
      <c r="Y2049" s="2">
        <v>45512.0</v>
      </c>
      <c r="AE2049" s="1">
        <v>39.99</v>
      </c>
      <c r="AG2049" s="3" t="str">
        <f>"2000006148931359"</f>
        <v>2000006148931359</v>
      </c>
      <c r="AH2049" s="1" t="s">
        <v>58</v>
      </c>
      <c r="AI2049" s="1" t="s">
        <v>59</v>
      </c>
      <c r="AJ2049" s="1" t="s">
        <v>59</v>
      </c>
      <c r="AK2049" s="1" t="s">
        <v>60</v>
      </c>
      <c r="AL2049" s="1" t="s">
        <v>60</v>
      </c>
      <c r="AW2049" s="1" t="s">
        <v>149</v>
      </c>
      <c r="AY2049" s="1">
        <v>1.0</v>
      </c>
      <c r="AZ2049" s="1">
        <v>39.99</v>
      </c>
      <c r="BB2049" s="1">
        <v>39.99</v>
      </c>
    </row>
    <row r="2050">
      <c r="A2050" s="1" t="s">
        <v>2784</v>
      </c>
      <c r="C2050" s="1" t="s">
        <v>56</v>
      </c>
      <c r="D2050" s="1" t="s">
        <v>3214</v>
      </c>
      <c r="Y2050" s="2">
        <v>45512.0</v>
      </c>
      <c r="AE2050" s="1">
        <v>119.97</v>
      </c>
      <c r="AG2050" s="3" t="str">
        <f t="shared" ref="AG2050:AG2053" si="80">"2000006148931357"</f>
        <v>2000006148931357</v>
      </c>
      <c r="AH2050" s="1" t="s">
        <v>58</v>
      </c>
      <c r="AI2050" s="1" t="s">
        <v>59</v>
      </c>
      <c r="AJ2050" s="1" t="s">
        <v>59</v>
      </c>
      <c r="AK2050" s="1" t="s">
        <v>60</v>
      </c>
      <c r="AL2050" s="1" t="s">
        <v>60</v>
      </c>
      <c r="AW2050" s="1" t="s">
        <v>1529</v>
      </c>
      <c r="AY2050" s="1">
        <v>3.0</v>
      </c>
      <c r="AZ2050" s="1">
        <v>39.99</v>
      </c>
      <c r="BB2050" s="1">
        <v>119.97</v>
      </c>
    </row>
    <row r="2051">
      <c r="A2051" s="1" t="s">
        <v>1527</v>
      </c>
      <c r="C2051" s="1" t="s">
        <v>56</v>
      </c>
      <c r="D2051" s="1" t="s">
        <v>3214</v>
      </c>
      <c r="Y2051" s="2">
        <v>45512.0</v>
      </c>
      <c r="AE2051" s="1">
        <v>39.99</v>
      </c>
      <c r="AG2051" s="3" t="str">
        <f t="shared" si="80"/>
        <v>2000006148931357</v>
      </c>
      <c r="AH2051" s="1" t="s">
        <v>58</v>
      </c>
      <c r="AI2051" s="1" t="s">
        <v>59</v>
      </c>
      <c r="AJ2051" s="1" t="s">
        <v>59</v>
      </c>
      <c r="AK2051" s="1" t="s">
        <v>60</v>
      </c>
      <c r="AL2051" s="1" t="s">
        <v>60</v>
      </c>
      <c r="AW2051" s="1" t="s">
        <v>1529</v>
      </c>
      <c r="AY2051" s="1">
        <v>1.0</v>
      </c>
      <c r="AZ2051" s="1">
        <v>39.99</v>
      </c>
      <c r="BB2051" s="1">
        <v>39.99</v>
      </c>
    </row>
    <row r="2052">
      <c r="A2052" s="1" t="s">
        <v>1946</v>
      </c>
      <c r="C2052" s="1" t="s">
        <v>56</v>
      </c>
      <c r="D2052" s="1" t="s">
        <v>3214</v>
      </c>
      <c r="Y2052" s="2">
        <v>45512.0</v>
      </c>
      <c r="AE2052" s="1">
        <v>79.98</v>
      </c>
      <c r="AG2052" s="3" t="str">
        <f t="shared" si="80"/>
        <v>2000006148931357</v>
      </c>
      <c r="AH2052" s="1" t="s">
        <v>58</v>
      </c>
      <c r="AI2052" s="1" t="s">
        <v>59</v>
      </c>
      <c r="AJ2052" s="1" t="s">
        <v>59</v>
      </c>
      <c r="AK2052" s="1" t="s">
        <v>60</v>
      </c>
      <c r="AL2052" s="1" t="s">
        <v>60</v>
      </c>
      <c r="AW2052" s="1" t="s">
        <v>1529</v>
      </c>
      <c r="AY2052" s="1">
        <v>2.0</v>
      </c>
      <c r="AZ2052" s="1">
        <v>39.99</v>
      </c>
      <c r="BB2052" s="1">
        <v>79.98</v>
      </c>
    </row>
    <row r="2053">
      <c r="A2053" s="1" t="s">
        <v>1402</v>
      </c>
      <c r="C2053" s="1" t="s">
        <v>56</v>
      </c>
      <c r="D2053" s="1" t="s">
        <v>3214</v>
      </c>
      <c r="Y2053" s="2">
        <v>45512.0</v>
      </c>
      <c r="AE2053" s="1">
        <v>39.99</v>
      </c>
      <c r="AG2053" s="3" t="str">
        <f t="shared" si="80"/>
        <v>2000006148931357</v>
      </c>
      <c r="AH2053" s="1" t="s">
        <v>58</v>
      </c>
      <c r="AI2053" s="1" t="s">
        <v>59</v>
      </c>
      <c r="AJ2053" s="1" t="s">
        <v>59</v>
      </c>
      <c r="AK2053" s="1" t="s">
        <v>60</v>
      </c>
      <c r="AL2053" s="1" t="s">
        <v>60</v>
      </c>
      <c r="AW2053" s="1" t="s">
        <v>149</v>
      </c>
      <c r="AY2053" s="1">
        <v>1.0</v>
      </c>
      <c r="AZ2053" s="1">
        <v>39.99</v>
      </c>
      <c r="BB2053" s="1">
        <v>39.99</v>
      </c>
    </row>
    <row r="2054">
      <c r="A2054" s="1" t="s">
        <v>2436</v>
      </c>
      <c r="C2054" s="1" t="s">
        <v>56</v>
      </c>
      <c r="D2054" s="1" t="s">
        <v>3215</v>
      </c>
      <c r="Y2054" s="2">
        <v>45512.0</v>
      </c>
      <c r="AE2054" s="1">
        <v>59.99</v>
      </c>
      <c r="AG2054" s="3" t="str">
        <f>"2000008988506568"</f>
        <v>2000008988506568</v>
      </c>
      <c r="AH2054" s="1" t="s">
        <v>58</v>
      </c>
      <c r="AI2054" s="1" t="s">
        <v>59</v>
      </c>
      <c r="AJ2054" s="1" t="s">
        <v>59</v>
      </c>
      <c r="AK2054" s="1" t="s">
        <v>60</v>
      </c>
      <c r="AL2054" s="1" t="s">
        <v>60</v>
      </c>
      <c r="AW2054" s="1" t="s">
        <v>2438</v>
      </c>
      <c r="AY2054" s="1">
        <v>1.0</v>
      </c>
      <c r="AZ2054" s="1">
        <v>59.99</v>
      </c>
      <c r="BB2054" s="1">
        <v>59.99</v>
      </c>
    </row>
    <row r="2055">
      <c r="A2055" s="1" t="s">
        <v>1466</v>
      </c>
      <c r="C2055" s="1" t="s">
        <v>56</v>
      </c>
      <c r="D2055" s="1" t="s">
        <v>3216</v>
      </c>
      <c r="Y2055" s="2">
        <v>45512.0</v>
      </c>
      <c r="AE2055" s="1">
        <v>129.99</v>
      </c>
      <c r="AG2055" s="3" t="str">
        <f>"2000006148881661"</f>
        <v>2000006148881661</v>
      </c>
      <c r="AH2055" s="1" t="s">
        <v>58</v>
      </c>
      <c r="AI2055" s="1" t="s">
        <v>59</v>
      </c>
      <c r="AJ2055" s="1" t="s">
        <v>59</v>
      </c>
      <c r="AK2055" s="1" t="s">
        <v>60</v>
      </c>
      <c r="AL2055" s="1" t="s">
        <v>60</v>
      </c>
      <c r="AW2055" s="1" t="s">
        <v>1468</v>
      </c>
      <c r="AY2055" s="1">
        <v>1.0</v>
      </c>
      <c r="AZ2055" s="1">
        <v>129.99</v>
      </c>
      <c r="BB2055" s="1">
        <v>129.99</v>
      </c>
    </row>
    <row r="2056">
      <c r="A2056" s="1" t="s">
        <v>3217</v>
      </c>
      <c r="C2056" s="1" t="s">
        <v>56</v>
      </c>
      <c r="D2056" s="1" t="s">
        <v>3218</v>
      </c>
      <c r="Y2056" s="2">
        <v>45512.0</v>
      </c>
      <c r="AE2056" s="1">
        <v>59.99</v>
      </c>
      <c r="AG2056" s="3" t="str">
        <f>"2000006148834467"</f>
        <v>2000006148834467</v>
      </c>
      <c r="AH2056" s="1" t="s">
        <v>58</v>
      </c>
      <c r="AI2056" s="1" t="s">
        <v>59</v>
      </c>
      <c r="AJ2056" s="1" t="s">
        <v>59</v>
      </c>
      <c r="AK2056" s="1" t="s">
        <v>60</v>
      </c>
      <c r="AL2056" s="1" t="s">
        <v>60</v>
      </c>
      <c r="AW2056" s="1" t="s">
        <v>3219</v>
      </c>
      <c r="AY2056" s="1">
        <v>1.0</v>
      </c>
      <c r="AZ2056" s="1">
        <v>59.99</v>
      </c>
      <c r="BB2056" s="1">
        <v>59.99</v>
      </c>
    </row>
    <row r="2057">
      <c r="A2057" s="1" t="s">
        <v>1917</v>
      </c>
      <c r="C2057" s="1" t="s">
        <v>56</v>
      </c>
      <c r="D2057" s="1" t="s">
        <v>3220</v>
      </c>
      <c r="Y2057" s="2">
        <v>45512.0</v>
      </c>
      <c r="AE2057" s="1">
        <v>89.99</v>
      </c>
      <c r="AG2057" s="3" t="str">
        <f>"2000006148831789"</f>
        <v>2000006148831789</v>
      </c>
      <c r="AH2057" s="1" t="s">
        <v>58</v>
      </c>
      <c r="AI2057" s="1" t="s">
        <v>59</v>
      </c>
      <c r="AJ2057" s="1" t="s">
        <v>59</v>
      </c>
      <c r="AK2057" s="1" t="s">
        <v>60</v>
      </c>
      <c r="AL2057" s="1" t="s">
        <v>60</v>
      </c>
      <c r="AW2057" s="1" t="s">
        <v>1919</v>
      </c>
      <c r="AY2057" s="1">
        <v>1.0</v>
      </c>
      <c r="AZ2057" s="1">
        <v>89.99</v>
      </c>
      <c r="BB2057" s="1">
        <v>89.99</v>
      </c>
    </row>
    <row r="2058">
      <c r="A2058" s="1" t="s">
        <v>1788</v>
      </c>
      <c r="C2058" s="1" t="s">
        <v>56</v>
      </c>
      <c r="D2058" s="1" t="s">
        <v>3221</v>
      </c>
      <c r="Y2058" s="2">
        <v>45512.0</v>
      </c>
      <c r="AE2058" s="1">
        <v>99.99</v>
      </c>
      <c r="AG2058" s="3" t="str">
        <f>"2000006148822827"</f>
        <v>2000006148822827</v>
      </c>
      <c r="AH2058" s="1" t="s">
        <v>58</v>
      </c>
      <c r="AI2058" s="1" t="s">
        <v>59</v>
      </c>
      <c r="AJ2058" s="1" t="s">
        <v>59</v>
      </c>
      <c r="AK2058" s="1" t="s">
        <v>60</v>
      </c>
      <c r="AL2058" s="1" t="s">
        <v>60</v>
      </c>
      <c r="AW2058" s="1" t="s">
        <v>1790</v>
      </c>
      <c r="AY2058" s="1">
        <v>1.0</v>
      </c>
      <c r="AZ2058" s="1">
        <v>99.99</v>
      </c>
      <c r="BB2058" s="1">
        <v>99.99</v>
      </c>
    </row>
    <row r="2059">
      <c r="A2059" s="1" t="s">
        <v>1286</v>
      </c>
      <c r="C2059" s="1" t="s">
        <v>56</v>
      </c>
      <c r="D2059" s="1" t="s">
        <v>3222</v>
      </c>
      <c r="Y2059" s="2">
        <v>45512.0</v>
      </c>
      <c r="AE2059" s="1">
        <v>94.99</v>
      </c>
      <c r="AG2059" s="3" t="str">
        <f>"2000006148791799"</f>
        <v>2000006148791799</v>
      </c>
      <c r="AH2059" s="1" t="s">
        <v>58</v>
      </c>
      <c r="AI2059" s="1" t="s">
        <v>59</v>
      </c>
      <c r="AJ2059" s="1" t="s">
        <v>59</v>
      </c>
      <c r="AK2059" s="1" t="s">
        <v>60</v>
      </c>
      <c r="AL2059" s="1" t="s">
        <v>60</v>
      </c>
      <c r="AW2059" s="1" t="s">
        <v>1288</v>
      </c>
      <c r="AY2059" s="1">
        <v>1.0</v>
      </c>
      <c r="AZ2059" s="1">
        <v>94.99</v>
      </c>
      <c r="BB2059" s="1">
        <v>94.99</v>
      </c>
    </row>
    <row r="2060">
      <c r="A2060" s="1" t="s">
        <v>3007</v>
      </c>
      <c r="C2060" s="1" t="s">
        <v>56</v>
      </c>
      <c r="D2060" s="1" t="s">
        <v>3223</v>
      </c>
      <c r="Y2060" s="2">
        <v>45512.0</v>
      </c>
      <c r="AE2060" s="1">
        <v>79.99</v>
      </c>
      <c r="AG2060" s="3" t="str">
        <f>"2000006148788241"</f>
        <v>2000006148788241</v>
      </c>
      <c r="AH2060" s="1" t="s">
        <v>58</v>
      </c>
      <c r="AI2060" s="1" t="s">
        <v>59</v>
      </c>
      <c r="AJ2060" s="1" t="s">
        <v>59</v>
      </c>
      <c r="AK2060" s="1" t="s">
        <v>60</v>
      </c>
      <c r="AL2060" s="1" t="s">
        <v>60</v>
      </c>
      <c r="AW2060" s="1" t="s">
        <v>3009</v>
      </c>
      <c r="AY2060" s="1">
        <v>1.0</v>
      </c>
      <c r="AZ2060" s="1">
        <v>79.99</v>
      </c>
      <c r="BB2060" s="1">
        <v>79.99</v>
      </c>
    </row>
    <row r="2061">
      <c r="A2061" s="1" t="s">
        <v>390</v>
      </c>
      <c r="C2061" s="1" t="s">
        <v>56</v>
      </c>
      <c r="D2061" s="1" t="s">
        <v>3224</v>
      </c>
      <c r="Y2061" s="2">
        <v>45512.0</v>
      </c>
      <c r="AE2061" s="1">
        <v>79.99</v>
      </c>
      <c r="AG2061" s="3" t="str">
        <f>"2000008988306210"</f>
        <v>2000008988306210</v>
      </c>
      <c r="AH2061" s="1" t="s">
        <v>58</v>
      </c>
      <c r="AI2061" s="1" t="s">
        <v>59</v>
      </c>
      <c r="AJ2061" s="1" t="s">
        <v>59</v>
      </c>
      <c r="AK2061" s="1" t="s">
        <v>60</v>
      </c>
      <c r="AL2061" s="1" t="s">
        <v>60</v>
      </c>
      <c r="AW2061" s="1" t="s">
        <v>392</v>
      </c>
      <c r="AY2061" s="1">
        <v>1.0</v>
      </c>
      <c r="AZ2061" s="1">
        <v>79.99</v>
      </c>
      <c r="BB2061" s="1">
        <v>79.99</v>
      </c>
    </row>
    <row r="2062">
      <c r="A2062" s="1" t="s">
        <v>1788</v>
      </c>
      <c r="C2062" s="1" t="s">
        <v>56</v>
      </c>
      <c r="D2062" s="1" t="s">
        <v>3225</v>
      </c>
      <c r="Y2062" s="2">
        <v>45512.0</v>
      </c>
      <c r="AE2062" s="1">
        <v>99.99</v>
      </c>
      <c r="AG2062" s="3" t="str">
        <f>"2000006148477901"</f>
        <v>2000006148477901</v>
      </c>
      <c r="AH2062" s="1" t="s">
        <v>58</v>
      </c>
      <c r="AI2062" s="1" t="s">
        <v>59</v>
      </c>
      <c r="AJ2062" s="1" t="s">
        <v>59</v>
      </c>
      <c r="AK2062" s="1" t="s">
        <v>60</v>
      </c>
      <c r="AL2062" s="1" t="s">
        <v>60</v>
      </c>
      <c r="AW2062" s="1" t="s">
        <v>1790</v>
      </c>
      <c r="AY2062" s="1">
        <v>1.0</v>
      </c>
      <c r="AZ2062" s="1">
        <v>99.99</v>
      </c>
      <c r="BB2062" s="1">
        <v>99.99</v>
      </c>
    </row>
    <row r="2063">
      <c r="A2063" s="1" t="s">
        <v>1788</v>
      </c>
      <c r="C2063" s="1" t="s">
        <v>56</v>
      </c>
      <c r="D2063" s="1" t="s">
        <v>3225</v>
      </c>
      <c r="Y2063" s="2">
        <v>45512.0</v>
      </c>
      <c r="AE2063" s="1">
        <v>399.96</v>
      </c>
      <c r="AG2063" s="3" t="str">
        <f>"2000006148477903"</f>
        <v>2000006148477903</v>
      </c>
      <c r="AH2063" s="1" t="s">
        <v>58</v>
      </c>
      <c r="AI2063" s="1" t="s">
        <v>59</v>
      </c>
      <c r="AJ2063" s="1" t="s">
        <v>59</v>
      </c>
      <c r="AK2063" s="1" t="s">
        <v>60</v>
      </c>
      <c r="AL2063" s="1" t="s">
        <v>60</v>
      </c>
      <c r="AW2063" s="1" t="s">
        <v>1790</v>
      </c>
      <c r="AY2063" s="1">
        <v>4.0</v>
      </c>
      <c r="AZ2063" s="1">
        <v>99.99</v>
      </c>
      <c r="BB2063" s="1">
        <v>399.96</v>
      </c>
    </row>
    <row r="2064">
      <c r="A2064" s="1" t="s">
        <v>3226</v>
      </c>
      <c r="C2064" s="1" t="s">
        <v>56</v>
      </c>
      <c r="D2064" s="1" t="s">
        <v>3227</v>
      </c>
      <c r="Y2064" s="2">
        <v>45512.0</v>
      </c>
      <c r="AE2064" s="1">
        <v>39.99</v>
      </c>
      <c r="AG2064" s="3" t="str">
        <f t="shared" ref="AG2064:AG2066" si="81">"2000006148745495"</f>
        <v>2000006148745495</v>
      </c>
      <c r="AH2064" s="1" t="s">
        <v>58</v>
      </c>
      <c r="AI2064" s="1" t="s">
        <v>59</v>
      </c>
      <c r="AJ2064" s="1" t="s">
        <v>59</v>
      </c>
      <c r="AK2064" s="1" t="s">
        <v>60</v>
      </c>
      <c r="AL2064" s="1" t="s">
        <v>60</v>
      </c>
      <c r="AW2064" s="1" t="s">
        <v>149</v>
      </c>
      <c r="AY2064" s="1">
        <v>1.0</v>
      </c>
      <c r="AZ2064" s="1">
        <v>39.99</v>
      </c>
      <c r="BB2064" s="1">
        <v>39.99</v>
      </c>
    </row>
    <row r="2065">
      <c r="A2065" s="1" t="s">
        <v>1397</v>
      </c>
      <c r="C2065" s="1" t="s">
        <v>56</v>
      </c>
      <c r="D2065" s="1" t="s">
        <v>3227</v>
      </c>
      <c r="Y2065" s="2">
        <v>45512.0</v>
      </c>
      <c r="AE2065" s="1">
        <v>39.99</v>
      </c>
      <c r="AG2065" s="3" t="str">
        <f t="shared" si="81"/>
        <v>2000006148745495</v>
      </c>
      <c r="AH2065" s="1" t="s">
        <v>58</v>
      </c>
      <c r="AI2065" s="1" t="s">
        <v>59</v>
      </c>
      <c r="AJ2065" s="1" t="s">
        <v>59</v>
      </c>
      <c r="AK2065" s="1" t="s">
        <v>60</v>
      </c>
      <c r="AL2065" s="1" t="s">
        <v>60</v>
      </c>
      <c r="AW2065" s="1" t="s">
        <v>149</v>
      </c>
      <c r="AY2065" s="1">
        <v>1.0</v>
      </c>
      <c r="AZ2065" s="1">
        <v>39.99</v>
      </c>
      <c r="BB2065" s="1">
        <v>39.99</v>
      </c>
    </row>
    <row r="2066">
      <c r="A2066" s="1" t="s">
        <v>147</v>
      </c>
      <c r="C2066" s="1" t="s">
        <v>56</v>
      </c>
      <c r="D2066" s="1" t="s">
        <v>3227</v>
      </c>
      <c r="Y2066" s="2">
        <v>45512.0</v>
      </c>
      <c r="AE2066" s="1">
        <v>39.99</v>
      </c>
      <c r="AG2066" s="3" t="str">
        <f t="shared" si="81"/>
        <v>2000006148745495</v>
      </c>
      <c r="AH2066" s="1" t="s">
        <v>58</v>
      </c>
      <c r="AI2066" s="1" t="s">
        <v>59</v>
      </c>
      <c r="AJ2066" s="1" t="s">
        <v>59</v>
      </c>
      <c r="AK2066" s="1" t="s">
        <v>60</v>
      </c>
      <c r="AL2066" s="1" t="s">
        <v>60</v>
      </c>
      <c r="AW2066" s="1" t="s">
        <v>149</v>
      </c>
      <c r="AY2066" s="1">
        <v>1.0</v>
      </c>
      <c r="AZ2066" s="1">
        <v>39.99</v>
      </c>
      <c r="BB2066" s="1">
        <v>39.99</v>
      </c>
    </row>
    <row r="2067">
      <c r="A2067" s="1" t="s">
        <v>3228</v>
      </c>
      <c r="C2067" s="1" t="s">
        <v>56</v>
      </c>
      <c r="D2067" s="1" t="s">
        <v>3229</v>
      </c>
      <c r="Y2067" s="2">
        <v>45512.0</v>
      </c>
      <c r="AE2067" s="1">
        <v>169.99</v>
      </c>
      <c r="AG2067" s="3" t="str">
        <f>"2000006148739953"</f>
        <v>2000006148739953</v>
      </c>
      <c r="AH2067" s="1" t="s">
        <v>58</v>
      </c>
      <c r="AI2067" s="1" t="s">
        <v>59</v>
      </c>
      <c r="AJ2067" s="1" t="s">
        <v>59</v>
      </c>
      <c r="AK2067" s="1" t="s">
        <v>60</v>
      </c>
      <c r="AL2067" s="1" t="s">
        <v>60</v>
      </c>
      <c r="AW2067" s="1" t="s">
        <v>3230</v>
      </c>
      <c r="AY2067" s="1">
        <v>1.0</v>
      </c>
      <c r="AZ2067" s="1">
        <v>169.99</v>
      </c>
      <c r="BB2067" s="1">
        <v>169.99</v>
      </c>
    </row>
    <row r="2068">
      <c r="A2068" s="1" t="s">
        <v>3038</v>
      </c>
      <c r="C2068" s="1" t="s">
        <v>56</v>
      </c>
      <c r="D2068" s="1" t="s">
        <v>3231</v>
      </c>
      <c r="Y2068" s="2">
        <v>45512.0</v>
      </c>
      <c r="AE2068" s="1">
        <v>124.99</v>
      </c>
      <c r="AG2068" s="3" t="str">
        <f>"2000006148594531"</f>
        <v>2000006148594531</v>
      </c>
      <c r="AH2068" s="1" t="s">
        <v>58</v>
      </c>
      <c r="AI2068" s="1" t="s">
        <v>59</v>
      </c>
      <c r="AJ2068" s="1" t="s">
        <v>59</v>
      </c>
      <c r="AK2068" s="1" t="s">
        <v>60</v>
      </c>
      <c r="AL2068" s="1" t="s">
        <v>60</v>
      </c>
      <c r="AW2068" s="1" t="s">
        <v>3040</v>
      </c>
      <c r="AY2068" s="1">
        <v>1.0</v>
      </c>
      <c r="AZ2068" s="1">
        <v>124.99</v>
      </c>
      <c r="BB2068" s="1">
        <v>124.99</v>
      </c>
    </row>
    <row r="2069">
      <c r="A2069" s="1" t="s">
        <v>188</v>
      </c>
      <c r="C2069" s="1" t="s">
        <v>56</v>
      </c>
      <c r="D2069" s="1" t="s">
        <v>3232</v>
      </c>
      <c r="Y2069" s="2">
        <v>45512.0</v>
      </c>
      <c r="AE2069" s="1">
        <v>189.99</v>
      </c>
      <c r="AG2069" s="3" t="str">
        <f>"2000008987867170"</f>
        <v>2000008987867170</v>
      </c>
      <c r="AH2069" s="1" t="s">
        <v>58</v>
      </c>
      <c r="AI2069" s="1" t="s">
        <v>59</v>
      </c>
      <c r="AJ2069" s="1" t="s">
        <v>59</v>
      </c>
      <c r="AK2069" s="1" t="s">
        <v>60</v>
      </c>
      <c r="AL2069" s="1" t="s">
        <v>60</v>
      </c>
      <c r="AW2069" s="1" t="s">
        <v>190</v>
      </c>
      <c r="AY2069" s="1">
        <v>1.0</v>
      </c>
      <c r="AZ2069" s="1">
        <v>189.99</v>
      </c>
      <c r="BB2069" s="1">
        <v>189.99</v>
      </c>
    </row>
    <row r="2070">
      <c r="A2070" s="1" t="s">
        <v>705</v>
      </c>
      <c r="C2070" s="1" t="s">
        <v>56</v>
      </c>
      <c r="D2070" s="1" t="s">
        <v>3233</v>
      </c>
      <c r="Y2070" s="2">
        <v>45512.0</v>
      </c>
      <c r="AE2070" s="1">
        <v>42.99</v>
      </c>
      <c r="AG2070" s="3" t="str">
        <f>"2000006148702409"</f>
        <v>2000006148702409</v>
      </c>
      <c r="AH2070" s="1" t="s">
        <v>58</v>
      </c>
      <c r="AI2070" s="1" t="s">
        <v>59</v>
      </c>
      <c r="AJ2070" s="1" t="s">
        <v>59</v>
      </c>
      <c r="AK2070" s="1" t="s">
        <v>60</v>
      </c>
      <c r="AL2070" s="1" t="s">
        <v>60</v>
      </c>
      <c r="AW2070" s="1" t="s">
        <v>707</v>
      </c>
      <c r="AY2070" s="1">
        <v>1.0</v>
      </c>
      <c r="AZ2070" s="1">
        <v>42.99</v>
      </c>
      <c r="BB2070" s="1">
        <v>42.99</v>
      </c>
    </row>
    <row r="2071">
      <c r="A2071" s="1" t="s">
        <v>2775</v>
      </c>
      <c r="C2071" s="1" t="s">
        <v>56</v>
      </c>
      <c r="D2071" s="1" t="s">
        <v>3234</v>
      </c>
      <c r="Y2071" s="2">
        <v>45512.0</v>
      </c>
      <c r="AE2071" s="1">
        <v>59.99</v>
      </c>
      <c r="AG2071" s="3" t="str">
        <f>"2000006145314311"</f>
        <v>2000006145314311</v>
      </c>
      <c r="AH2071" s="1" t="s">
        <v>58</v>
      </c>
      <c r="AI2071" s="1" t="s">
        <v>59</v>
      </c>
      <c r="AJ2071" s="1" t="s">
        <v>59</v>
      </c>
      <c r="AK2071" s="1" t="s">
        <v>60</v>
      </c>
      <c r="AL2071" s="1" t="s">
        <v>60</v>
      </c>
      <c r="AW2071" s="1" t="s">
        <v>648</v>
      </c>
      <c r="AY2071" s="1">
        <v>1.0</v>
      </c>
      <c r="AZ2071" s="1">
        <v>59.99</v>
      </c>
      <c r="BB2071" s="1">
        <v>59.99</v>
      </c>
    </row>
    <row r="2072">
      <c r="A2072" s="1" t="s">
        <v>655</v>
      </c>
      <c r="C2072" s="1" t="s">
        <v>56</v>
      </c>
      <c r="D2072" s="1" t="s">
        <v>3235</v>
      </c>
      <c r="Y2072" s="2">
        <v>45512.0</v>
      </c>
      <c r="AE2072" s="1">
        <v>74.99</v>
      </c>
      <c r="AG2072" s="3" t="str">
        <f>"2000006148628109"</f>
        <v>2000006148628109</v>
      </c>
      <c r="AH2072" s="1" t="s">
        <v>58</v>
      </c>
      <c r="AI2072" s="1" t="s">
        <v>59</v>
      </c>
      <c r="AJ2072" s="1" t="s">
        <v>59</v>
      </c>
      <c r="AK2072" s="1" t="s">
        <v>60</v>
      </c>
      <c r="AL2072" s="1" t="s">
        <v>60</v>
      </c>
      <c r="AW2072" s="1" t="s">
        <v>657</v>
      </c>
      <c r="AY2072" s="1">
        <v>1.0</v>
      </c>
      <c r="AZ2072" s="1">
        <v>74.99</v>
      </c>
      <c r="BB2072" s="1">
        <v>74.99</v>
      </c>
    </row>
    <row r="2073">
      <c r="A2073" s="1" t="s">
        <v>3111</v>
      </c>
      <c r="C2073" s="1" t="s">
        <v>56</v>
      </c>
      <c r="D2073" s="1" t="s">
        <v>3236</v>
      </c>
      <c r="Y2073" s="2">
        <v>45512.0</v>
      </c>
      <c r="AE2073" s="1">
        <v>39.99</v>
      </c>
      <c r="AG2073" s="3" t="str">
        <f>"2000006148617529"</f>
        <v>2000006148617529</v>
      </c>
      <c r="AH2073" s="1" t="s">
        <v>58</v>
      </c>
      <c r="AI2073" s="1" t="s">
        <v>59</v>
      </c>
      <c r="AJ2073" s="1" t="s">
        <v>59</v>
      </c>
      <c r="AK2073" s="1" t="s">
        <v>60</v>
      </c>
      <c r="AL2073" s="1" t="s">
        <v>60</v>
      </c>
      <c r="AW2073" s="1" t="s">
        <v>1529</v>
      </c>
      <c r="AY2073" s="1">
        <v>1.0</v>
      </c>
      <c r="AZ2073" s="1">
        <v>39.99</v>
      </c>
      <c r="BB2073" s="1">
        <v>39.99</v>
      </c>
    </row>
    <row r="2074">
      <c r="A2074" s="1" t="s">
        <v>446</v>
      </c>
      <c r="C2074" s="1" t="s">
        <v>56</v>
      </c>
      <c r="D2074" s="1" t="s">
        <v>3237</v>
      </c>
      <c r="Y2074" s="2">
        <v>45512.0</v>
      </c>
      <c r="AE2074" s="1">
        <v>39.99</v>
      </c>
      <c r="AG2074" s="3" t="str">
        <f>"2000006148594565"</f>
        <v>2000006148594565</v>
      </c>
      <c r="AH2074" s="1" t="s">
        <v>58</v>
      </c>
      <c r="AI2074" s="1" t="s">
        <v>59</v>
      </c>
      <c r="AJ2074" s="1" t="s">
        <v>59</v>
      </c>
      <c r="AK2074" s="1" t="s">
        <v>60</v>
      </c>
      <c r="AL2074" s="1" t="s">
        <v>60</v>
      </c>
      <c r="AW2074" s="1" t="s">
        <v>448</v>
      </c>
      <c r="AY2074" s="1">
        <v>1.0</v>
      </c>
      <c r="AZ2074" s="1">
        <v>39.99</v>
      </c>
      <c r="BB2074" s="1">
        <v>39.99</v>
      </c>
    </row>
    <row r="2075">
      <c r="A2075" s="1" t="s">
        <v>1391</v>
      </c>
      <c r="C2075" s="1" t="s">
        <v>56</v>
      </c>
      <c r="D2075" s="1" t="s">
        <v>3238</v>
      </c>
      <c r="Y2075" s="2">
        <v>45512.0</v>
      </c>
      <c r="AE2075" s="1">
        <v>479.99</v>
      </c>
      <c r="AG2075" s="3" t="str">
        <f>"2000008987850722"</f>
        <v>2000008987850722</v>
      </c>
      <c r="AH2075" s="1" t="s">
        <v>58</v>
      </c>
      <c r="AI2075" s="1" t="s">
        <v>59</v>
      </c>
      <c r="AJ2075" s="1" t="s">
        <v>59</v>
      </c>
      <c r="AK2075" s="1" t="s">
        <v>60</v>
      </c>
      <c r="AL2075" s="1" t="s">
        <v>60</v>
      </c>
      <c r="AW2075" s="1" t="s">
        <v>1393</v>
      </c>
      <c r="AY2075" s="1">
        <v>1.0</v>
      </c>
      <c r="AZ2075" s="1">
        <v>479.99</v>
      </c>
      <c r="BB2075" s="1">
        <v>479.99</v>
      </c>
    </row>
    <row r="2076">
      <c r="A2076" s="1" t="s">
        <v>1648</v>
      </c>
      <c r="C2076" s="1" t="s">
        <v>56</v>
      </c>
      <c r="D2076" s="1" t="s">
        <v>3239</v>
      </c>
      <c r="Y2076" s="2">
        <v>45512.0</v>
      </c>
      <c r="AE2076" s="1">
        <v>99.99</v>
      </c>
      <c r="AG2076" s="3" t="str">
        <f>"2000006148532195"</f>
        <v>2000006148532195</v>
      </c>
      <c r="AH2076" s="1" t="s">
        <v>58</v>
      </c>
      <c r="AI2076" s="1" t="s">
        <v>59</v>
      </c>
      <c r="AJ2076" s="1" t="s">
        <v>59</v>
      </c>
      <c r="AK2076" s="1" t="s">
        <v>60</v>
      </c>
      <c r="AL2076" s="1" t="s">
        <v>60</v>
      </c>
      <c r="AW2076" s="1" t="s">
        <v>1650</v>
      </c>
      <c r="AY2076" s="1">
        <v>1.0</v>
      </c>
      <c r="AZ2076" s="1">
        <v>99.99</v>
      </c>
      <c r="BB2076" s="1">
        <v>99.99</v>
      </c>
    </row>
    <row r="2077">
      <c r="A2077" s="1" t="s">
        <v>539</v>
      </c>
      <c r="C2077" s="1" t="s">
        <v>56</v>
      </c>
      <c r="D2077" s="1" t="s">
        <v>3240</v>
      </c>
      <c r="Y2077" s="2">
        <v>45512.0</v>
      </c>
      <c r="AE2077" s="1">
        <v>73.99</v>
      </c>
      <c r="AG2077" s="3" t="str">
        <f>"2000006148498129"</f>
        <v>2000006148498129</v>
      </c>
      <c r="AH2077" s="1" t="s">
        <v>58</v>
      </c>
      <c r="AI2077" s="1" t="s">
        <v>59</v>
      </c>
      <c r="AJ2077" s="1" t="s">
        <v>59</v>
      </c>
      <c r="AK2077" s="1" t="s">
        <v>60</v>
      </c>
      <c r="AL2077" s="1" t="s">
        <v>60</v>
      </c>
      <c r="AW2077" s="1" t="s">
        <v>541</v>
      </c>
      <c r="AY2077" s="1">
        <v>1.0</v>
      </c>
      <c r="AZ2077" s="1">
        <v>73.99</v>
      </c>
      <c r="BB2077" s="1">
        <v>73.99</v>
      </c>
    </row>
    <row r="2078">
      <c r="A2078" s="1" t="s">
        <v>390</v>
      </c>
      <c r="C2078" s="1" t="s">
        <v>56</v>
      </c>
      <c r="D2078" s="1" t="s">
        <v>3241</v>
      </c>
      <c r="Y2078" s="2">
        <v>45512.0</v>
      </c>
      <c r="AE2078" s="1">
        <v>79.99</v>
      </c>
      <c r="AG2078" s="3" t="str">
        <f>"2000006148469169"</f>
        <v>2000006148469169</v>
      </c>
      <c r="AH2078" s="1" t="s">
        <v>58</v>
      </c>
      <c r="AI2078" s="1" t="s">
        <v>59</v>
      </c>
      <c r="AJ2078" s="1" t="s">
        <v>59</v>
      </c>
      <c r="AK2078" s="1" t="s">
        <v>60</v>
      </c>
      <c r="AL2078" s="1" t="s">
        <v>60</v>
      </c>
      <c r="AW2078" s="1" t="s">
        <v>392</v>
      </c>
      <c r="AY2078" s="1">
        <v>1.0</v>
      </c>
      <c r="AZ2078" s="1">
        <v>79.99</v>
      </c>
      <c r="BB2078" s="1">
        <v>79.99</v>
      </c>
    </row>
    <row r="2079">
      <c r="A2079" s="1" t="s">
        <v>1128</v>
      </c>
      <c r="C2079" s="1" t="s">
        <v>56</v>
      </c>
      <c r="D2079" s="1" t="s">
        <v>3242</v>
      </c>
      <c r="Y2079" s="2">
        <v>45512.0</v>
      </c>
      <c r="AE2079" s="1">
        <v>99.99</v>
      </c>
      <c r="AG2079" s="3" t="str">
        <f>"2000006148458763"</f>
        <v>2000006148458763</v>
      </c>
      <c r="AH2079" s="1" t="s">
        <v>58</v>
      </c>
      <c r="AI2079" s="1" t="s">
        <v>59</v>
      </c>
      <c r="AJ2079" s="1" t="s">
        <v>59</v>
      </c>
      <c r="AK2079" s="1" t="s">
        <v>60</v>
      </c>
      <c r="AL2079" s="1" t="s">
        <v>60</v>
      </c>
      <c r="AW2079" s="1" t="s">
        <v>1130</v>
      </c>
      <c r="AY2079" s="1">
        <v>1.0</v>
      </c>
      <c r="AZ2079" s="1">
        <v>99.99</v>
      </c>
      <c r="BB2079" s="1">
        <v>99.99</v>
      </c>
    </row>
    <row r="2080">
      <c r="A2080" s="1" t="s">
        <v>1137</v>
      </c>
      <c r="C2080" s="1" t="s">
        <v>56</v>
      </c>
      <c r="D2080" s="1" t="s">
        <v>3243</v>
      </c>
      <c r="Y2080" s="2">
        <v>45512.0</v>
      </c>
      <c r="AE2080" s="1">
        <v>79.99</v>
      </c>
      <c r="AG2080" s="3" t="str">
        <f>"2000006148457827"</f>
        <v>2000006148457827</v>
      </c>
      <c r="AH2080" s="1" t="s">
        <v>58</v>
      </c>
      <c r="AI2080" s="1" t="s">
        <v>59</v>
      </c>
      <c r="AJ2080" s="1" t="s">
        <v>59</v>
      </c>
      <c r="AK2080" s="1" t="s">
        <v>60</v>
      </c>
      <c r="AL2080" s="1" t="s">
        <v>60</v>
      </c>
      <c r="AW2080" s="1" t="s">
        <v>1139</v>
      </c>
      <c r="AY2080" s="1">
        <v>1.0</v>
      </c>
      <c r="AZ2080" s="1">
        <v>79.99</v>
      </c>
      <c r="BB2080" s="1">
        <v>79.99</v>
      </c>
    </row>
    <row r="2081">
      <c r="A2081" s="1" t="s">
        <v>2761</v>
      </c>
      <c r="C2081" s="1" t="s">
        <v>56</v>
      </c>
      <c r="D2081" s="1" t="s">
        <v>3244</v>
      </c>
      <c r="Y2081" s="2">
        <v>45512.0</v>
      </c>
      <c r="AE2081" s="1">
        <v>104.98</v>
      </c>
      <c r="AG2081" s="3" t="str">
        <f>"2000008987692040"</f>
        <v>2000008987692040</v>
      </c>
      <c r="AH2081" s="1" t="s">
        <v>58</v>
      </c>
      <c r="AI2081" s="1" t="s">
        <v>59</v>
      </c>
      <c r="AJ2081" s="1" t="s">
        <v>59</v>
      </c>
      <c r="AK2081" s="1" t="s">
        <v>60</v>
      </c>
      <c r="AL2081" s="1" t="s">
        <v>60</v>
      </c>
      <c r="AW2081" s="1" t="s">
        <v>2763</v>
      </c>
      <c r="AY2081" s="1">
        <v>1.0</v>
      </c>
      <c r="AZ2081" s="1">
        <v>104.98</v>
      </c>
      <c r="BB2081" s="1">
        <v>104.98</v>
      </c>
    </row>
    <row r="2082">
      <c r="A2082" s="1" t="s">
        <v>135</v>
      </c>
      <c r="C2082" s="1" t="s">
        <v>56</v>
      </c>
      <c r="D2082" s="1" t="s">
        <v>3245</v>
      </c>
      <c r="Y2082" s="2">
        <v>45512.0</v>
      </c>
      <c r="AE2082" s="1">
        <v>89.99</v>
      </c>
      <c r="AG2082" s="3" t="str">
        <f>"2000008987421528"</f>
        <v>2000008987421528</v>
      </c>
      <c r="AH2082" s="1" t="s">
        <v>58</v>
      </c>
      <c r="AI2082" s="1" t="s">
        <v>59</v>
      </c>
      <c r="AJ2082" s="1" t="s">
        <v>59</v>
      </c>
      <c r="AK2082" s="1" t="s">
        <v>60</v>
      </c>
      <c r="AL2082" s="1" t="s">
        <v>60</v>
      </c>
      <c r="AW2082" s="1" t="s">
        <v>137</v>
      </c>
      <c r="AY2082" s="1">
        <v>1.0</v>
      </c>
      <c r="AZ2082" s="1">
        <v>89.99</v>
      </c>
      <c r="BB2082" s="1">
        <v>89.99</v>
      </c>
    </row>
    <row r="2083">
      <c r="A2083" s="1" t="s">
        <v>1005</v>
      </c>
      <c r="C2083" s="1" t="s">
        <v>56</v>
      </c>
      <c r="D2083" s="1" t="s">
        <v>3246</v>
      </c>
      <c r="Y2083" s="2">
        <v>45512.0</v>
      </c>
      <c r="AE2083" s="1">
        <v>46.99</v>
      </c>
      <c r="AG2083" s="3" t="str">
        <f>"2000006148407025"</f>
        <v>2000006148407025</v>
      </c>
      <c r="AH2083" s="1" t="s">
        <v>58</v>
      </c>
      <c r="AI2083" s="1" t="s">
        <v>59</v>
      </c>
      <c r="AJ2083" s="1" t="s">
        <v>59</v>
      </c>
      <c r="AK2083" s="1" t="s">
        <v>60</v>
      </c>
      <c r="AL2083" s="1" t="s">
        <v>60</v>
      </c>
      <c r="AW2083" s="1" t="s">
        <v>1007</v>
      </c>
      <c r="AY2083" s="1">
        <v>1.0</v>
      </c>
      <c r="AZ2083" s="1">
        <v>46.99</v>
      </c>
      <c r="BB2083" s="1">
        <v>46.99</v>
      </c>
    </row>
    <row r="2084">
      <c r="A2084" s="1" t="s">
        <v>484</v>
      </c>
      <c r="C2084" s="1" t="s">
        <v>56</v>
      </c>
      <c r="D2084" s="1" t="s">
        <v>3247</v>
      </c>
      <c r="Y2084" s="2">
        <v>45512.0</v>
      </c>
      <c r="AE2084" s="1">
        <v>74.99</v>
      </c>
      <c r="AG2084" s="3" t="str">
        <f>"2000006148401051"</f>
        <v>2000006148401051</v>
      </c>
      <c r="AH2084" s="1" t="s">
        <v>58</v>
      </c>
      <c r="AI2084" s="1" t="s">
        <v>59</v>
      </c>
      <c r="AJ2084" s="1" t="s">
        <v>59</v>
      </c>
      <c r="AK2084" s="1" t="s">
        <v>60</v>
      </c>
      <c r="AL2084" s="1" t="s">
        <v>60</v>
      </c>
      <c r="AW2084" s="1" t="s">
        <v>486</v>
      </c>
      <c r="AY2084" s="1">
        <v>1.0</v>
      </c>
      <c r="AZ2084" s="1">
        <v>74.99</v>
      </c>
      <c r="BB2084" s="1">
        <v>74.99</v>
      </c>
    </row>
    <row r="2085">
      <c r="A2085" s="1" t="s">
        <v>1566</v>
      </c>
      <c r="C2085" s="1" t="s">
        <v>56</v>
      </c>
      <c r="D2085" s="1" t="s">
        <v>3248</v>
      </c>
      <c r="Y2085" s="2">
        <v>45512.0</v>
      </c>
      <c r="AE2085" s="1">
        <v>49.99</v>
      </c>
      <c r="AG2085" s="3" t="str">
        <f>"2000006148363285"</f>
        <v>2000006148363285</v>
      </c>
      <c r="AH2085" s="1" t="s">
        <v>58</v>
      </c>
      <c r="AI2085" s="1" t="s">
        <v>59</v>
      </c>
      <c r="AJ2085" s="1" t="s">
        <v>59</v>
      </c>
      <c r="AK2085" s="1" t="s">
        <v>60</v>
      </c>
      <c r="AL2085" s="1" t="s">
        <v>60</v>
      </c>
      <c r="AW2085" s="1" t="s">
        <v>97</v>
      </c>
      <c r="AY2085" s="1">
        <v>1.0</v>
      </c>
      <c r="AZ2085" s="1">
        <v>49.99</v>
      </c>
      <c r="BB2085" s="1">
        <v>49.99</v>
      </c>
    </row>
    <row r="2086">
      <c r="A2086" s="1" t="s">
        <v>567</v>
      </c>
      <c r="C2086" s="1" t="s">
        <v>56</v>
      </c>
      <c r="D2086" s="1" t="s">
        <v>3249</v>
      </c>
      <c r="Y2086" s="2">
        <v>45512.0</v>
      </c>
      <c r="AE2086" s="1">
        <v>44.99</v>
      </c>
      <c r="AG2086" s="3" t="str">
        <f>"2000006148382609"</f>
        <v>2000006148382609</v>
      </c>
      <c r="AH2086" s="1" t="s">
        <v>58</v>
      </c>
      <c r="AI2086" s="1" t="s">
        <v>59</v>
      </c>
      <c r="AJ2086" s="1" t="s">
        <v>59</v>
      </c>
      <c r="AK2086" s="1" t="s">
        <v>60</v>
      </c>
      <c r="AL2086" s="1" t="s">
        <v>60</v>
      </c>
      <c r="AW2086" s="1" t="s">
        <v>569</v>
      </c>
      <c r="AY2086" s="1">
        <v>1.0</v>
      </c>
      <c r="AZ2086" s="1">
        <v>44.99</v>
      </c>
      <c r="BB2086" s="1">
        <v>44.99</v>
      </c>
    </row>
    <row r="2087">
      <c r="A2087" s="1" t="s">
        <v>3250</v>
      </c>
      <c r="C2087" s="1" t="s">
        <v>56</v>
      </c>
      <c r="D2087" s="1" t="s">
        <v>3251</v>
      </c>
      <c r="Y2087" s="2">
        <v>45512.0</v>
      </c>
      <c r="AE2087" s="1">
        <v>79.99</v>
      </c>
      <c r="AG2087" s="3" t="str">
        <f>"2000006148372317"</f>
        <v>2000006148372317</v>
      </c>
      <c r="AH2087" s="1" t="s">
        <v>58</v>
      </c>
      <c r="AI2087" s="1" t="s">
        <v>59</v>
      </c>
      <c r="AJ2087" s="1" t="s">
        <v>59</v>
      </c>
      <c r="AK2087" s="1" t="s">
        <v>60</v>
      </c>
      <c r="AL2087" s="1" t="s">
        <v>60</v>
      </c>
      <c r="AW2087" s="1" t="s">
        <v>1452</v>
      </c>
      <c r="AY2087" s="1">
        <v>1.0</v>
      </c>
      <c r="AZ2087" s="1">
        <v>79.99</v>
      </c>
      <c r="BB2087" s="1">
        <v>79.99</v>
      </c>
    </row>
    <row r="2088">
      <c r="A2088" s="1" t="s">
        <v>2929</v>
      </c>
      <c r="C2088" s="1" t="s">
        <v>56</v>
      </c>
      <c r="D2088" s="1" t="s">
        <v>3252</v>
      </c>
      <c r="Y2088" s="2">
        <v>45512.0</v>
      </c>
      <c r="AE2088" s="1">
        <v>59.99</v>
      </c>
      <c r="AG2088" s="3" t="str">
        <f>"2000006148354427"</f>
        <v>2000006148354427</v>
      </c>
      <c r="AH2088" s="1" t="s">
        <v>58</v>
      </c>
      <c r="AI2088" s="1" t="s">
        <v>59</v>
      </c>
      <c r="AJ2088" s="1" t="s">
        <v>59</v>
      </c>
      <c r="AK2088" s="1" t="s">
        <v>60</v>
      </c>
      <c r="AL2088" s="1" t="s">
        <v>60</v>
      </c>
      <c r="AW2088" s="1" t="s">
        <v>2931</v>
      </c>
      <c r="AY2088" s="1">
        <v>1.0</v>
      </c>
      <c r="AZ2088" s="1">
        <v>59.99</v>
      </c>
      <c r="BB2088" s="1">
        <v>59.99</v>
      </c>
    </row>
    <row r="2089">
      <c r="A2089" s="1" t="s">
        <v>2032</v>
      </c>
      <c r="C2089" s="1" t="s">
        <v>56</v>
      </c>
      <c r="D2089" s="1" t="s">
        <v>3253</v>
      </c>
      <c r="Y2089" s="2">
        <v>45512.0</v>
      </c>
      <c r="AE2089" s="1">
        <v>509.99</v>
      </c>
      <c r="AG2089" s="3" t="str">
        <f>"2000008987455032"</f>
        <v>2000008987455032</v>
      </c>
      <c r="AH2089" s="1" t="s">
        <v>58</v>
      </c>
      <c r="AI2089" s="1" t="s">
        <v>59</v>
      </c>
      <c r="AJ2089" s="1" t="s">
        <v>59</v>
      </c>
      <c r="AK2089" s="1" t="s">
        <v>60</v>
      </c>
      <c r="AL2089" s="1" t="s">
        <v>60</v>
      </c>
      <c r="AW2089" s="1" t="s">
        <v>2034</v>
      </c>
      <c r="AY2089" s="1">
        <v>1.0</v>
      </c>
      <c r="AZ2089" s="1">
        <v>509.99</v>
      </c>
      <c r="BB2089" s="1">
        <v>509.99</v>
      </c>
    </row>
    <row r="2090">
      <c r="A2090" s="1" t="s">
        <v>803</v>
      </c>
      <c r="C2090" s="1" t="s">
        <v>56</v>
      </c>
      <c r="D2090" s="1" t="s">
        <v>3254</v>
      </c>
      <c r="Y2090" s="2">
        <v>45512.0</v>
      </c>
      <c r="AE2090" s="1">
        <v>64.99</v>
      </c>
      <c r="AG2090" s="3" t="str">
        <f>"2000006148316433"</f>
        <v>2000006148316433</v>
      </c>
      <c r="AH2090" s="1" t="s">
        <v>58</v>
      </c>
      <c r="AI2090" s="1" t="s">
        <v>59</v>
      </c>
      <c r="AJ2090" s="1" t="s">
        <v>59</v>
      </c>
      <c r="AK2090" s="1" t="s">
        <v>60</v>
      </c>
      <c r="AL2090" s="1" t="s">
        <v>60</v>
      </c>
      <c r="AW2090" s="1" t="s">
        <v>805</v>
      </c>
      <c r="AY2090" s="1">
        <v>1.0</v>
      </c>
      <c r="AZ2090" s="1">
        <v>64.99</v>
      </c>
      <c r="BB2090" s="1">
        <v>64.99</v>
      </c>
    </row>
    <row r="2091">
      <c r="A2091" s="1" t="s">
        <v>92</v>
      </c>
      <c r="C2091" s="1" t="s">
        <v>56</v>
      </c>
      <c r="D2091" s="1" t="s">
        <v>3255</v>
      </c>
      <c r="Y2091" s="2">
        <v>45512.0</v>
      </c>
      <c r="AE2091" s="1">
        <v>94.99</v>
      </c>
      <c r="AG2091" s="3" t="str">
        <f>"2000006148316043"</f>
        <v>2000006148316043</v>
      </c>
      <c r="AH2091" s="1" t="s">
        <v>58</v>
      </c>
      <c r="AI2091" s="1" t="s">
        <v>59</v>
      </c>
      <c r="AJ2091" s="1" t="s">
        <v>59</v>
      </c>
      <c r="AK2091" s="1" t="s">
        <v>60</v>
      </c>
      <c r="AL2091" s="1" t="s">
        <v>60</v>
      </c>
      <c r="AW2091" s="1" t="s">
        <v>94</v>
      </c>
      <c r="AY2091" s="1">
        <v>1.0</v>
      </c>
      <c r="AZ2091" s="1">
        <v>94.99</v>
      </c>
      <c r="BB2091" s="1">
        <v>94.99</v>
      </c>
    </row>
    <row r="2092">
      <c r="A2092" s="1" t="s">
        <v>1521</v>
      </c>
      <c r="C2092" s="1" t="s">
        <v>56</v>
      </c>
      <c r="D2092" s="1" t="s">
        <v>3256</v>
      </c>
      <c r="Y2092" s="2">
        <v>45512.0</v>
      </c>
      <c r="AE2092" s="1">
        <v>49.99</v>
      </c>
      <c r="AG2092" s="3" t="str">
        <f>"2000006148190797"</f>
        <v>2000006148190797</v>
      </c>
      <c r="AH2092" s="1" t="s">
        <v>58</v>
      </c>
      <c r="AI2092" s="1" t="s">
        <v>59</v>
      </c>
      <c r="AJ2092" s="1" t="s">
        <v>59</v>
      </c>
      <c r="AK2092" s="1" t="s">
        <v>60</v>
      </c>
      <c r="AL2092" s="1" t="s">
        <v>60</v>
      </c>
      <c r="AW2092" s="1" t="s">
        <v>1523</v>
      </c>
      <c r="AY2092" s="1">
        <v>1.0</v>
      </c>
      <c r="AZ2092" s="1">
        <v>49.99</v>
      </c>
      <c r="BB2092" s="1">
        <v>49.99</v>
      </c>
    </row>
    <row r="2093">
      <c r="A2093" s="1" t="s">
        <v>619</v>
      </c>
      <c r="C2093" s="1" t="s">
        <v>56</v>
      </c>
      <c r="D2093" s="1" t="s">
        <v>3257</v>
      </c>
      <c r="Y2093" s="2">
        <v>45512.0</v>
      </c>
      <c r="AE2093" s="1">
        <v>139.99</v>
      </c>
      <c r="AG2093" s="3" t="str">
        <f>"2000006148288031"</f>
        <v>2000006148288031</v>
      </c>
      <c r="AH2093" s="1" t="s">
        <v>58</v>
      </c>
      <c r="AI2093" s="1" t="s">
        <v>59</v>
      </c>
      <c r="AJ2093" s="1" t="s">
        <v>59</v>
      </c>
      <c r="AK2093" s="1" t="s">
        <v>60</v>
      </c>
      <c r="AL2093" s="1" t="s">
        <v>60</v>
      </c>
      <c r="AW2093" s="1" t="s">
        <v>621</v>
      </c>
      <c r="AY2093" s="1">
        <v>1.0</v>
      </c>
      <c r="AZ2093" s="1">
        <v>139.99</v>
      </c>
      <c r="BB2093" s="1">
        <v>139.99</v>
      </c>
    </row>
    <row r="2094">
      <c r="A2094" s="1" t="s">
        <v>316</v>
      </c>
      <c r="C2094" s="1" t="s">
        <v>56</v>
      </c>
      <c r="D2094" s="1" t="s">
        <v>3258</v>
      </c>
      <c r="Y2094" s="2">
        <v>45512.0</v>
      </c>
      <c r="AE2094" s="1">
        <v>54.99</v>
      </c>
      <c r="AG2094" s="3" t="str">
        <f>"2000006148248105"</f>
        <v>2000006148248105</v>
      </c>
      <c r="AH2094" s="1" t="s">
        <v>58</v>
      </c>
      <c r="AI2094" s="1" t="s">
        <v>59</v>
      </c>
      <c r="AJ2094" s="1" t="s">
        <v>59</v>
      </c>
      <c r="AK2094" s="1" t="s">
        <v>60</v>
      </c>
      <c r="AL2094" s="1" t="s">
        <v>60</v>
      </c>
      <c r="AW2094" s="1" t="s">
        <v>318</v>
      </c>
      <c r="AY2094" s="1">
        <v>1.0</v>
      </c>
      <c r="AZ2094" s="1">
        <v>54.99</v>
      </c>
      <c r="BB2094" s="1">
        <v>54.99</v>
      </c>
    </row>
    <row r="2095">
      <c r="A2095" s="1" t="s">
        <v>86</v>
      </c>
      <c r="C2095" s="1" t="s">
        <v>56</v>
      </c>
      <c r="D2095" s="1" t="s">
        <v>3259</v>
      </c>
      <c r="Y2095" s="2">
        <v>45512.0</v>
      </c>
      <c r="AE2095" s="1">
        <v>64.99</v>
      </c>
      <c r="AG2095" s="3" t="str">
        <f>"2000006148243533"</f>
        <v>2000006148243533</v>
      </c>
      <c r="AH2095" s="1" t="s">
        <v>58</v>
      </c>
      <c r="AI2095" s="1" t="s">
        <v>59</v>
      </c>
      <c r="AJ2095" s="1" t="s">
        <v>59</v>
      </c>
      <c r="AK2095" s="1" t="s">
        <v>60</v>
      </c>
      <c r="AL2095" s="1" t="s">
        <v>60</v>
      </c>
      <c r="AW2095" s="1" t="s">
        <v>88</v>
      </c>
      <c r="AY2095" s="1">
        <v>1.0</v>
      </c>
      <c r="AZ2095" s="1">
        <v>64.99</v>
      </c>
      <c r="BB2095" s="1">
        <v>64.99</v>
      </c>
    </row>
    <row r="2096">
      <c r="A2096" s="1" t="s">
        <v>567</v>
      </c>
      <c r="C2096" s="1" t="s">
        <v>235</v>
      </c>
      <c r="D2096" s="1" t="s">
        <v>3249</v>
      </c>
      <c r="Y2096" s="2">
        <v>45512.0</v>
      </c>
      <c r="AE2096" s="1">
        <v>44.99</v>
      </c>
      <c r="AG2096" s="3" t="str">
        <f>"2000006148235287"</f>
        <v>2000006148235287</v>
      </c>
      <c r="AH2096" s="1" t="s">
        <v>58</v>
      </c>
      <c r="AI2096" s="1" t="s">
        <v>59</v>
      </c>
      <c r="AJ2096" s="1" t="s">
        <v>59</v>
      </c>
      <c r="AK2096" s="1" t="s">
        <v>60</v>
      </c>
      <c r="AL2096" s="1" t="s">
        <v>60</v>
      </c>
      <c r="AW2096" s="1" t="s">
        <v>569</v>
      </c>
      <c r="AY2096" s="1">
        <v>1.0</v>
      </c>
      <c r="AZ2096" s="1">
        <v>44.99</v>
      </c>
      <c r="BB2096" s="1">
        <v>44.99</v>
      </c>
    </row>
    <row r="2097">
      <c r="A2097" s="1" t="s">
        <v>3260</v>
      </c>
      <c r="C2097" s="1" t="s">
        <v>56</v>
      </c>
      <c r="D2097" s="1" t="s">
        <v>3261</v>
      </c>
      <c r="Y2097" s="2">
        <v>45512.0</v>
      </c>
      <c r="AE2097" s="1">
        <v>79.99</v>
      </c>
      <c r="AG2097" s="3" t="str">
        <f>"2000006148191081"</f>
        <v>2000006148191081</v>
      </c>
      <c r="AH2097" s="1" t="s">
        <v>58</v>
      </c>
      <c r="AI2097" s="1" t="s">
        <v>59</v>
      </c>
      <c r="AJ2097" s="1" t="s">
        <v>59</v>
      </c>
      <c r="AK2097" s="1" t="s">
        <v>60</v>
      </c>
      <c r="AL2097" s="1" t="s">
        <v>60</v>
      </c>
      <c r="AW2097" s="1" t="s">
        <v>3262</v>
      </c>
      <c r="AY2097" s="1">
        <v>1.0</v>
      </c>
      <c r="AZ2097" s="1">
        <v>79.99</v>
      </c>
      <c r="BB2097" s="1">
        <v>79.99</v>
      </c>
    </row>
    <row r="2098">
      <c r="A2098" s="1" t="s">
        <v>1964</v>
      </c>
      <c r="C2098" s="1" t="s">
        <v>56</v>
      </c>
      <c r="D2098" s="1" t="s">
        <v>3263</v>
      </c>
      <c r="Y2098" s="2">
        <v>45512.0</v>
      </c>
      <c r="AE2098" s="1">
        <v>59.99</v>
      </c>
      <c r="AG2098" s="3" t="str">
        <f>"2000006143988061"</f>
        <v>2000006143988061</v>
      </c>
      <c r="AH2098" s="1" t="s">
        <v>58</v>
      </c>
      <c r="AI2098" s="1" t="s">
        <v>59</v>
      </c>
      <c r="AJ2098" s="1" t="s">
        <v>59</v>
      </c>
      <c r="AK2098" s="1" t="s">
        <v>60</v>
      </c>
      <c r="AL2098" s="1" t="s">
        <v>60</v>
      </c>
      <c r="AW2098" s="1" t="s">
        <v>1966</v>
      </c>
      <c r="AY2098" s="1">
        <v>1.0</v>
      </c>
      <c r="AZ2098" s="1">
        <v>59.99</v>
      </c>
      <c r="BB2098" s="1">
        <v>59.99</v>
      </c>
    </row>
    <row r="2099">
      <c r="A2099" s="1" t="s">
        <v>2036</v>
      </c>
      <c r="C2099" s="1" t="s">
        <v>56</v>
      </c>
      <c r="D2099" s="1" t="s">
        <v>3264</v>
      </c>
      <c r="Y2099" s="2">
        <v>45512.0</v>
      </c>
      <c r="AE2099" s="1">
        <v>219.98</v>
      </c>
      <c r="AG2099" s="3" t="str">
        <f>"2000006148153583"</f>
        <v>2000006148153583</v>
      </c>
      <c r="AH2099" s="1" t="s">
        <v>58</v>
      </c>
      <c r="AI2099" s="1" t="s">
        <v>59</v>
      </c>
      <c r="AJ2099" s="1" t="s">
        <v>59</v>
      </c>
      <c r="AK2099" s="1" t="s">
        <v>60</v>
      </c>
      <c r="AL2099" s="1" t="s">
        <v>60</v>
      </c>
      <c r="AW2099" s="1" t="s">
        <v>3265</v>
      </c>
      <c r="AY2099" s="1">
        <v>2.0</v>
      </c>
      <c r="AZ2099" s="1">
        <v>109.99</v>
      </c>
      <c r="BB2099" s="1">
        <v>219.98</v>
      </c>
    </row>
    <row r="2100">
      <c r="A2100" s="1" t="s">
        <v>446</v>
      </c>
      <c r="C2100" s="1" t="s">
        <v>56</v>
      </c>
      <c r="D2100" s="1" t="s">
        <v>3266</v>
      </c>
      <c r="Y2100" s="2">
        <v>45512.0</v>
      </c>
      <c r="AE2100" s="1">
        <v>39.99</v>
      </c>
      <c r="AG2100" s="3" t="str">
        <f>"2000008986913396"</f>
        <v>2000008986913396</v>
      </c>
      <c r="AH2100" s="1" t="s">
        <v>58</v>
      </c>
      <c r="AI2100" s="1" t="s">
        <v>59</v>
      </c>
      <c r="AJ2100" s="1" t="s">
        <v>59</v>
      </c>
      <c r="AK2100" s="1" t="s">
        <v>60</v>
      </c>
      <c r="AL2100" s="1" t="s">
        <v>60</v>
      </c>
      <c r="AW2100" s="1" t="s">
        <v>448</v>
      </c>
      <c r="AY2100" s="1">
        <v>1.0</v>
      </c>
      <c r="AZ2100" s="1">
        <v>39.99</v>
      </c>
      <c r="BB2100" s="1">
        <v>39.99</v>
      </c>
    </row>
    <row r="2101">
      <c r="A2101" s="1" t="s">
        <v>915</v>
      </c>
      <c r="C2101" s="1" t="s">
        <v>56</v>
      </c>
      <c r="D2101" s="1" t="s">
        <v>3267</v>
      </c>
      <c r="Y2101" s="2">
        <v>45512.0</v>
      </c>
      <c r="AE2101" s="1">
        <v>109.99</v>
      </c>
      <c r="AG2101" s="3" t="str">
        <f>"2000008987085160"</f>
        <v>2000008987085160</v>
      </c>
      <c r="AH2101" s="1" t="s">
        <v>58</v>
      </c>
      <c r="AI2101" s="1" t="s">
        <v>59</v>
      </c>
      <c r="AJ2101" s="1" t="s">
        <v>59</v>
      </c>
      <c r="AK2101" s="1" t="s">
        <v>60</v>
      </c>
      <c r="AL2101" s="1" t="s">
        <v>60</v>
      </c>
      <c r="AW2101" s="1" t="s">
        <v>917</v>
      </c>
      <c r="AY2101" s="1">
        <v>1.0</v>
      </c>
      <c r="AZ2101" s="1">
        <v>109.99</v>
      </c>
      <c r="BB2101" s="1">
        <v>109.99</v>
      </c>
    </row>
    <row r="2102">
      <c r="A2102" s="1" t="s">
        <v>1668</v>
      </c>
      <c r="C2102" s="1" t="s">
        <v>56</v>
      </c>
      <c r="D2102" s="1" t="s">
        <v>3268</v>
      </c>
      <c r="Y2102" s="2">
        <v>45512.0</v>
      </c>
      <c r="AE2102" s="1">
        <v>89.99</v>
      </c>
      <c r="AG2102" s="3" t="str">
        <f>"2000006148123065"</f>
        <v>2000006148123065</v>
      </c>
      <c r="AH2102" s="1" t="s">
        <v>58</v>
      </c>
      <c r="AI2102" s="1" t="s">
        <v>59</v>
      </c>
      <c r="AJ2102" s="1" t="s">
        <v>59</v>
      </c>
      <c r="AK2102" s="1" t="s">
        <v>60</v>
      </c>
      <c r="AL2102" s="1" t="s">
        <v>60</v>
      </c>
      <c r="AW2102" s="1" t="s">
        <v>1670</v>
      </c>
      <c r="AY2102" s="1">
        <v>1.0</v>
      </c>
      <c r="AZ2102" s="1">
        <v>89.99</v>
      </c>
      <c r="BB2102" s="1">
        <v>89.99</v>
      </c>
    </row>
    <row r="2103">
      <c r="A2103" s="1" t="s">
        <v>3269</v>
      </c>
      <c r="C2103" s="1" t="s">
        <v>56</v>
      </c>
      <c r="D2103" s="1" t="s">
        <v>3270</v>
      </c>
      <c r="Y2103" s="2">
        <v>45512.0</v>
      </c>
      <c r="AE2103" s="1">
        <v>79.99</v>
      </c>
      <c r="AG2103" s="3" t="str">
        <f>"2000006148115003"</f>
        <v>2000006148115003</v>
      </c>
      <c r="AH2103" s="1" t="s">
        <v>58</v>
      </c>
      <c r="AI2103" s="1" t="s">
        <v>59</v>
      </c>
      <c r="AJ2103" s="1" t="s">
        <v>59</v>
      </c>
      <c r="AK2103" s="1" t="s">
        <v>60</v>
      </c>
      <c r="AL2103" s="1" t="s">
        <v>60</v>
      </c>
      <c r="AW2103" s="1" t="s">
        <v>3271</v>
      </c>
      <c r="AY2103" s="1">
        <v>1.0</v>
      </c>
      <c r="AZ2103" s="1">
        <v>79.99</v>
      </c>
      <c r="BB2103" s="1">
        <v>79.99</v>
      </c>
    </row>
    <row r="2104">
      <c r="A2104" s="1" t="s">
        <v>3260</v>
      </c>
      <c r="C2104" s="1" t="s">
        <v>56</v>
      </c>
      <c r="D2104" s="1" t="s">
        <v>3272</v>
      </c>
      <c r="Y2104" s="2">
        <v>45512.0</v>
      </c>
      <c r="AE2104" s="1">
        <v>79.99</v>
      </c>
      <c r="AG2104" s="3" t="str">
        <f>"2000006148100441"</f>
        <v>2000006148100441</v>
      </c>
      <c r="AH2104" s="1" t="s">
        <v>58</v>
      </c>
      <c r="AI2104" s="1" t="s">
        <v>59</v>
      </c>
      <c r="AJ2104" s="1" t="s">
        <v>59</v>
      </c>
      <c r="AK2104" s="1" t="s">
        <v>60</v>
      </c>
      <c r="AL2104" s="1" t="s">
        <v>60</v>
      </c>
      <c r="AW2104" s="1" t="s">
        <v>3262</v>
      </c>
      <c r="AY2104" s="1">
        <v>1.0</v>
      </c>
      <c r="AZ2104" s="1">
        <v>79.99</v>
      </c>
      <c r="BB2104" s="1">
        <v>79.99</v>
      </c>
    </row>
    <row r="2105">
      <c r="A2105" s="1" t="s">
        <v>2452</v>
      </c>
      <c r="C2105" s="1" t="s">
        <v>56</v>
      </c>
      <c r="D2105" s="1" t="s">
        <v>3273</v>
      </c>
      <c r="Y2105" s="2">
        <v>45512.0</v>
      </c>
      <c r="AE2105" s="1">
        <v>399.99</v>
      </c>
      <c r="AG2105" s="3" t="str">
        <f>"2000008986947548"</f>
        <v>2000008986947548</v>
      </c>
      <c r="AH2105" s="1" t="s">
        <v>58</v>
      </c>
      <c r="AI2105" s="1" t="s">
        <v>59</v>
      </c>
      <c r="AJ2105" s="1" t="s">
        <v>59</v>
      </c>
      <c r="AK2105" s="1" t="s">
        <v>60</v>
      </c>
      <c r="AL2105" s="1" t="s">
        <v>60</v>
      </c>
      <c r="AW2105" s="1" t="s">
        <v>2454</v>
      </c>
      <c r="AY2105" s="1">
        <v>1.0</v>
      </c>
      <c r="AZ2105" s="1">
        <v>399.99</v>
      </c>
      <c r="BB2105" s="1">
        <v>399.99</v>
      </c>
    </row>
    <row r="2106">
      <c r="A2106" s="1" t="s">
        <v>290</v>
      </c>
      <c r="C2106" s="1" t="s">
        <v>235</v>
      </c>
      <c r="D2106" s="1" t="s">
        <v>3274</v>
      </c>
      <c r="Y2106" s="2">
        <v>45512.0</v>
      </c>
      <c r="AE2106" s="1">
        <v>139.99</v>
      </c>
      <c r="AG2106" s="3" t="str">
        <f>"2000006148003487"</f>
        <v>2000006148003487</v>
      </c>
      <c r="AH2106" s="1" t="s">
        <v>58</v>
      </c>
      <c r="AI2106" s="1" t="s">
        <v>59</v>
      </c>
      <c r="AJ2106" s="1" t="s">
        <v>59</v>
      </c>
      <c r="AK2106" s="1" t="s">
        <v>60</v>
      </c>
      <c r="AL2106" s="1" t="s">
        <v>60</v>
      </c>
      <c r="AW2106" s="1" t="s">
        <v>292</v>
      </c>
      <c r="AY2106" s="1">
        <v>1.0</v>
      </c>
      <c r="AZ2106" s="1">
        <v>139.99</v>
      </c>
      <c r="BB2106" s="1">
        <v>139.99</v>
      </c>
    </row>
    <row r="2107">
      <c r="A2107" s="1" t="s">
        <v>942</v>
      </c>
      <c r="C2107" s="1" t="s">
        <v>56</v>
      </c>
      <c r="D2107" s="1" t="s">
        <v>3275</v>
      </c>
      <c r="Y2107" s="2">
        <v>45512.0</v>
      </c>
      <c r="AE2107" s="1">
        <v>114.99</v>
      </c>
      <c r="AG2107" s="3" t="str">
        <f>"2000006147989593"</f>
        <v>2000006147989593</v>
      </c>
      <c r="AH2107" s="1" t="s">
        <v>58</v>
      </c>
      <c r="AI2107" s="1" t="s">
        <v>59</v>
      </c>
      <c r="AJ2107" s="1" t="s">
        <v>59</v>
      </c>
      <c r="AK2107" s="1" t="s">
        <v>60</v>
      </c>
      <c r="AL2107" s="1" t="s">
        <v>60</v>
      </c>
      <c r="AW2107" s="1" t="s">
        <v>944</v>
      </c>
      <c r="AY2107" s="1">
        <v>1.0</v>
      </c>
      <c r="AZ2107" s="1">
        <v>114.99</v>
      </c>
      <c r="BB2107" s="1">
        <v>114.99</v>
      </c>
    </row>
    <row r="2108">
      <c r="A2108" s="1" t="s">
        <v>1716</v>
      </c>
      <c r="C2108" s="1" t="s">
        <v>56</v>
      </c>
      <c r="D2108" s="1" t="s">
        <v>2603</v>
      </c>
      <c r="Y2108" s="2">
        <v>45512.0</v>
      </c>
      <c r="AE2108" s="1">
        <v>64.99</v>
      </c>
      <c r="AG2108" s="3" t="str">
        <f>"2000006147982307"</f>
        <v>2000006147982307</v>
      </c>
      <c r="AH2108" s="1" t="s">
        <v>58</v>
      </c>
      <c r="AI2108" s="1" t="s">
        <v>59</v>
      </c>
      <c r="AJ2108" s="1" t="s">
        <v>59</v>
      </c>
      <c r="AK2108" s="1" t="s">
        <v>60</v>
      </c>
      <c r="AL2108" s="1" t="s">
        <v>60</v>
      </c>
      <c r="AW2108" s="1" t="s">
        <v>1718</v>
      </c>
      <c r="AY2108" s="1">
        <v>1.0</v>
      </c>
      <c r="AZ2108" s="1">
        <v>64.99</v>
      </c>
      <c r="BB2108" s="1">
        <v>64.99</v>
      </c>
    </row>
    <row r="2109">
      <c r="A2109" s="1" t="s">
        <v>3276</v>
      </c>
      <c r="C2109" s="1" t="s">
        <v>56</v>
      </c>
      <c r="D2109" s="1" t="s">
        <v>2603</v>
      </c>
      <c r="Y2109" s="2">
        <v>45512.0</v>
      </c>
      <c r="AE2109" s="1">
        <v>109.99</v>
      </c>
      <c r="AG2109" s="3" t="str">
        <f>"2000006147982311"</f>
        <v>2000006147982311</v>
      </c>
      <c r="AH2109" s="1" t="s">
        <v>58</v>
      </c>
      <c r="AI2109" s="1" t="s">
        <v>59</v>
      </c>
      <c r="AJ2109" s="1" t="s">
        <v>59</v>
      </c>
      <c r="AK2109" s="1" t="s">
        <v>60</v>
      </c>
      <c r="AL2109" s="1" t="s">
        <v>60</v>
      </c>
      <c r="AW2109" s="1" t="s">
        <v>3277</v>
      </c>
      <c r="AY2109" s="1">
        <v>1.0</v>
      </c>
      <c r="AZ2109" s="1">
        <v>109.99</v>
      </c>
      <c r="BB2109" s="1">
        <v>109.99</v>
      </c>
    </row>
    <row r="2110">
      <c r="A2110" s="1" t="s">
        <v>1377</v>
      </c>
      <c r="C2110" s="1" t="s">
        <v>56</v>
      </c>
      <c r="D2110" s="1" t="s">
        <v>3278</v>
      </c>
      <c r="Y2110" s="2">
        <v>45512.0</v>
      </c>
      <c r="AE2110" s="1">
        <v>99.99</v>
      </c>
      <c r="AG2110" s="3" t="str">
        <f>"2000006147954423"</f>
        <v>2000006147954423</v>
      </c>
      <c r="AH2110" s="1" t="s">
        <v>58</v>
      </c>
      <c r="AI2110" s="1" t="s">
        <v>59</v>
      </c>
      <c r="AJ2110" s="1" t="s">
        <v>59</v>
      </c>
      <c r="AK2110" s="1" t="s">
        <v>60</v>
      </c>
      <c r="AL2110" s="1" t="s">
        <v>60</v>
      </c>
      <c r="AW2110" s="1" t="s">
        <v>1379</v>
      </c>
      <c r="AY2110" s="1">
        <v>1.0</v>
      </c>
      <c r="AZ2110" s="1">
        <v>99.99</v>
      </c>
      <c r="BB2110" s="1">
        <v>99.99</v>
      </c>
    </row>
    <row r="2111">
      <c r="A2111" s="1" t="s">
        <v>3279</v>
      </c>
      <c r="C2111" s="1" t="s">
        <v>56</v>
      </c>
      <c r="D2111" s="1" t="s">
        <v>3280</v>
      </c>
      <c r="Y2111" s="2">
        <v>45512.0</v>
      </c>
      <c r="AE2111" s="1">
        <v>159.99</v>
      </c>
      <c r="AG2111" s="3" t="str">
        <f>"2000006147036743"</f>
        <v>2000006147036743</v>
      </c>
      <c r="AH2111" s="1" t="s">
        <v>58</v>
      </c>
      <c r="AI2111" s="1" t="s">
        <v>59</v>
      </c>
      <c r="AJ2111" s="1" t="s">
        <v>59</v>
      </c>
      <c r="AK2111" s="1" t="s">
        <v>60</v>
      </c>
      <c r="AL2111" s="1" t="s">
        <v>60</v>
      </c>
      <c r="AW2111" s="1" t="s">
        <v>3281</v>
      </c>
      <c r="AY2111" s="1">
        <v>1.0</v>
      </c>
      <c r="AZ2111" s="1">
        <v>159.99</v>
      </c>
      <c r="BB2111" s="1">
        <v>159.99</v>
      </c>
    </row>
    <row r="2112">
      <c r="A2112" s="1" t="s">
        <v>709</v>
      </c>
      <c r="C2112" s="1" t="s">
        <v>56</v>
      </c>
      <c r="D2112" s="1" t="s">
        <v>3282</v>
      </c>
      <c r="Y2112" s="2">
        <v>45512.0</v>
      </c>
      <c r="AE2112" s="1">
        <v>479.99</v>
      </c>
      <c r="AG2112" s="3" t="str">
        <f>"2000006147820855"</f>
        <v>2000006147820855</v>
      </c>
      <c r="AH2112" s="1" t="s">
        <v>58</v>
      </c>
      <c r="AI2112" s="1" t="s">
        <v>59</v>
      </c>
      <c r="AJ2112" s="1" t="s">
        <v>59</v>
      </c>
      <c r="AK2112" s="1" t="s">
        <v>60</v>
      </c>
      <c r="AL2112" s="1" t="s">
        <v>60</v>
      </c>
      <c r="AW2112" s="1" t="s">
        <v>711</v>
      </c>
      <c r="AY2112" s="1">
        <v>1.0</v>
      </c>
      <c r="AZ2112" s="1">
        <v>479.99</v>
      </c>
      <c r="BB2112" s="1">
        <v>479.99</v>
      </c>
    </row>
    <row r="2113">
      <c r="A2113" s="1" t="s">
        <v>345</v>
      </c>
      <c r="C2113" s="1" t="s">
        <v>56</v>
      </c>
      <c r="D2113" s="1" t="s">
        <v>3283</v>
      </c>
      <c r="Y2113" s="2">
        <v>45512.0</v>
      </c>
      <c r="AE2113" s="1">
        <v>164.99</v>
      </c>
      <c r="AG2113" s="3" t="str">
        <f t="shared" ref="AG2113:AG2114" si="82">"2000006147886919"</f>
        <v>2000006147886919</v>
      </c>
      <c r="AH2113" s="1" t="s">
        <v>58</v>
      </c>
      <c r="AI2113" s="1" t="s">
        <v>59</v>
      </c>
      <c r="AJ2113" s="1" t="s">
        <v>59</v>
      </c>
      <c r="AK2113" s="1" t="s">
        <v>60</v>
      </c>
      <c r="AL2113" s="1" t="s">
        <v>60</v>
      </c>
      <c r="AW2113" s="1" t="s">
        <v>347</v>
      </c>
      <c r="AY2113" s="1">
        <v>1.0</v>
      </c>
      <c r="AZ2113" s="1">
        <v>164.99</v>
      </c>
      <c r="BB2113" s="1">
        <v>164.99</v>
      </c>
    </row>
    <row r="2114">
      <c r="A2114" s="1" t="s">
        <v>564</v>
      </c>
      <c r="C2114" s="1" t="s">
        <v>56</v>
      </c>
      <c r="D2114" s="1" t="s">
        <v>3283</v>
      </c>
      <c r="Y2114" s="2">
        <v>45512.0</v>
      </c>
      <c r="AE2114" s="1">
        <v>204.99</v>
      </c>
      <c r="AG2114" s="3" t="str">
        <f t="shared" si="82"/>
        <v>2000006147886919</v>
      </c>
      <c r="AH2114" s="1" t="s">
        <v>58</v>
      </c>
      <c r="AI2114" s="1" t="s">
        <v>59</v>
      </c>
      <c r="AJ2114" s="1" t="s">
        <v>59</v>
      </c>
      <c r="AK2114" s="1" t="s">
        <v>60</v>
      </c>
      <c r="AL2114" s="1" t="s">
        <v>60</v>
      </c>
      <c r="AW2114" s="1" t="s">
        <v>566</v>
      </c>
      <c r="AY2114" s="1">
        <v>1.0</v>
      </c>
      <c r="AZ2114" s="1">
        <v>204.99</v>
      </c>
      <c r="BB2114" s="1">
        <v>204.99</v>
      </c>
    </row>
    <row r="2115">
      <c r="A2115" s="1" t="s">
        <v>360</v>
      </c>
      <c r="C2115" s="1" t="s">
        <v>56</v>
      </c>
      <c r="D2115" s="1" t="s">
        <v>3284</v>
      </c>
      <c r="Y2115" s="2">
        <v>45512.0</v>
      </c>
      <c r="AE2115" s="1">
        <v>47.18</v>
      </c>
      <c r="AG2115" s="3" t="str">
        <f>"2000006147881595"</f>
        <v>2000006147881595</v>
      </c>
      <c r="AH2115" s="1" t="s">
        <v>58</v>
      </c>
      <c r="AI2115" s="1" t="s">
        <v>59</v>
      </c>
      <c r="AJ2115" s="1" t="s">
        <v>59</v>
      </c>
      <c r="AK2115" s="1" t="s">
        <v>60</v>
      </c>
      <c r="AL2115" s="1" t="s">
        <v>60</v>
      </c>
      <c r="AW2115" s="1" t="s">
        <v>155</v>
      </c>
      <c r="AY2115" s="1">
        <v>1.0</v>
      </c>
      <c r="AZ2115" s="1">
        <v>47.18</v>
      </c>
      <c r="BB2115" s="1">
        <v>47.18</v>
      </c>
    </row>
    <row r="2116">
      <c r="A2116" s="1" t="s">
        <v>2269</v>
      </c>
      <c r="C2116" s="1" t="s">
        <v>56</v>
      </c>
      <c r="D2116" s="1" t="s">
        <v>3285</v>
      </c>
      <c r="Y2116" s="2">
        <v>45512.0</v>
      </c>
      <c r="AE2116" s="1">
        <v>49.99</v>
      </c>
      <c r="AG2116" s="3" t="str">
        <f>"2000006147827169"</f>
        <v>2000006147827169</v>
      </c>
      <c r="AH2116" s="1" t="s">
        <v>58</v>
      </c>
      <c r="AI2116" s="1" t="s">
        <v>59</v>
      </c>
      <c r="AJ2116" s="1" t="s">
        <v>59</v>
      </c>
      <c r="AK2116" s="1" t="s">
        <v>60</v>
      </c>
      <c r="AL2116" s="1" t="s">
        <v>60</v>
      </c>
      <c r="AW2116" s="1" t="s">
        <v>1838</v>
      </c>
      <c r="AY2116" s="1">
        <v>1.0</v>
      </c>
      <c r="AZ2116" s="1">
        <v>49.99</v>
      </c>
      <c r="BB2116" s="1">
        <v>49.99</v>
      </c>
    </row>
    <row r="2117">
      <c r="A2117" s="1" t="s">
        <v>3286</v>
      </c>
      <c r="C2117" s="1" t="s">
        <v>56</v>
      </c>
      <c r="D2117" s="1" t="s">
        <v>3287</v>
      </c>
      <c r="Y2117" s="2">
        <v>45512.0</v>
      </c>
      <c r="AE2117" s="1">
        <v>119.99</v>
      </c>
      <c r="AG2117" s="3" t="str">
        <f>"2000006147822245"</f>
        <v>2000006147822245</v>
      </c>
      <c r="AH2117" s="1" t="s">
        <v>58</v>
      </c>
      <c r="AI2117" s="1" t="s">
        <v>59</v>
      </c>
      <c r="AJ2117" s="1" t="s">
        <v>59</v>
      </c>
      <c r="AK2117" s="1" t="s">
        <v>60</v>
      </c>
      <c r="AL2117" s="1" t="s">
        <v>60</v>
      </c>
      <c r="AW2117" s="1" t="s">
        <v>353</v>
      </c>
      <c r="AY2117" s="1">
        <v>1.0</v>
      </c>
      <c r="AZ2117" s="1">
        <v>119.99</v>
      </c>
      <c r="BB2117" s="1">
        <v>119.99</v>
      </c>
    </row>
    <row r="2118">
      <c r="A2118" s="1" t="s">
        <v>514</v>
      </c>
      <c r="C2118" s="1" t="s">
        <v>56</v>
      </c>
      <c r="D2118" s="1" t="s">
        <v>3288</v>
      </c>
      <c r="Y2118" s="2">
        <v>45512.0</v>
      </c>
      <c r="AE2118" s="1">
        <v>119.98</v>
      </c>
      <c r="AG2118" s="3" t="str">
        <f>"2000006147770279"</f>
        <v>2000006147770279</v>
      </c>
      <c r="AH2118" s="1" t="s">
        <v>58</v>
      </c>
      <c r="AI2118" s="1" t="s">
        <v>59</v>
      </c>
      <c r="AJ2118" s="1" t="s">
        <v>59</v>
      </c>
      <c r="AK2118" s="1" t="s">
        <v>60</v>
      </c>
      <c r="AL2118" s="1" t="s">
        <v>60</v>
      </c>
      <c r="AW2118" s="1" t="s">
        <v>516</v>
      </c>
      <c r="AY2118" s="1">
        <v>2.0</v>
      </c>
      <c r="AZ2118" s="1">
        <v>59.99</v>
      </c>
      <c r="BB2118" s="1">
        <v>119.98</v>
      </c>
    </row>
    <row r="2119">
      <c r="A2119" s="1" t="s">
        <v>3289</v>
      </c>
      <c r="C2119" s="1" t="s">
        <v>56</v>
      </c>
      <c r="D2119" s="1" t="s">
        <v>3290</v>
      </c>
      <c r="Y2119" s="2">
        <v>45512.0</v>
      </c>
      <c r="AE2119" s="1">
        <v>49.99</v>
      </c>
      <c r="AG2119" s="3" t="str">
        <f>"2000006147770011"</f>
        <v>2000006147770011</v>
      </c>
      <c r="AH2119" s="1" t="s">
        <v>58</v>
      </c>
      <c r="AI2119" s="1" t="s">
        <v>59</v>
      </c>
      <c r="AJ2119" s="1" t="s">
        <v>59</v>
      </c>
      <c r="AK2119" s="1" t="s">
        <v>60</v>
      </c>
      <c r="AL2119" s="1" t="s">
        <v>60</v>
      </c>
      <c r="AW2119" s="1" t="s">
        <v>97</v>
      </c>
      <c r="AY2119" s="1">
        <v>1.0</v>
      </c>
      <c r="AZ2119" s="1">
        <v>49.99</v>
      </c>
      <c r="BB2119" s="1">
        <v>49.99</v>
      </c>
    </row>
    <row r="2120">
      <c r="A2120" s="1" t="s">
        <v>210</v>
      </c>
      <c r="C2120" s="1" t="s">
        <v>56</v>
      </c>
      <c r="D2120" s="1" t="s">
        <v>3291</v>
      </c>
      <c r="Y2120" s="2">
        <v>45512.0</v>
      </c>
      <c r="AE2120" s="1">
        <v>61.99</v>
      </c>
      <c r="AG2120" s="3" t="str">
        <f>"2000006147726777"</f>
        <v>2000006147726777</v>
      </c>
      <c r="AH2120" s="1" t="s">
        <v>58</v>
      </c>
      <c r="AI2120" s="1" t="s">
        <v>59</v>
      </c>
      <c r="AJ2120" s="1" t="s">
        <v>59</v>
      </c>
      <c r="AK2120" s="1" t="s">
        <v>60</v>
      </c>
      <c r="AL2120" s="1" t="s">
        <v>60</v>
      </c>
      <c r="AW2120" s="1" t="s">
        <v>211</v>
      </c>
      <c r="AY2120" s="1">
        <v>1.0</v>
      </c>
      <c r="AZ2120" s="1">
        <v>61.99</v>
      </c>
      <c r="BB2120" s="1">
        <v>61.99</v>
      </c>
    </row>
    <row r="2121">
      <c r="A2121" s="1" t="s">
        <v>567</v>
      </c>
      <c r="C2121" s="1" t="s">
        <v>56</v>
      </c>
      <c r="D2121" s="1" t="s">
        <v>3292</v>
      </c>
      <c r="Y2121" s="2">
        <v>45512.0</v>
      </c>
      <c r="AE2121" s="1">
        <v>44.99</v>
      </c>
      <c r="AG2121" s="3" t="str">
        <f>"2000006147724267"</f>
        <v>2000006147724267</v>
      </c>
      <c r="AH2121" s="1" t="s">
        <v>58</v>
      </c>
      <c r="AI2121" s="1" t="s">
        <v>59</v>
      </c>
      <c r="AJ2121" s="1" t="s">
        <v>59</v>
      </c>
      <c r="AK2121" s="1" t="s">
        <v>60</v>
      </c>
      <c r="AL2121" s="1" t="s">
        <v>60</v>
      </c>
      <c r="AW2121" s="1" t="s">
        <v>569</v>
      </c>
      <c r="AY2121" s="1">
        <v>1.0</v>
      </c>
      <c r="AZ2121" s="1">
        <v>44.99</v>
      </c>
      <c r="BB2121" s="1">
        <v>44.99</v>
      </c>
    </row>
    <row r="2122">
      <c r="A2122" s="1" t="s">
        <v>2521</v>
      </c>
      <c r="C2122" s="1" t="s">
        <v>56</v>
      </c>
      <c r="D2122" s="1" t="s">
        <v>3293</v>
      </c>
      <c r="Y2122" s="2">
        <v>45512.0</v>
      </c>
      <c r="AE2122" s="1">
        <v>69.99</v>
      </c>
      <c r="AG2122" s="3" t="str">
        <f>"2000008986208012"</f>
        <v>2000008986208012</v>
      </c>
      <c r="AH2122" s="1" t="s">
        <v>58</v>
      </c>
      <c r="AI2122" s="1" t="s">
        <v>59</v>
      </c>
      <c r="AJ2122" s="1" t="s">
        <v>59</v>
      </c>
      <c r="AK2122" s="1" t="s">
        <v>60</v>
      </c>
      <c r="AL2122" s="1" t="s">
        <v>60</v>
      </c>
      <c r="AW2122" s="1" t="s">
        <v>2523</v>
      </c>
      <c r="AY2122" s="1">
        <v>1.0</v>
      </c>
      <c r="AZ2122" s="1">
        <v>69.99</v>
      </c>
      <c r="BB2122" s="1">
        <v>69.99</v>
      </c>
    </row>
    <row r="2123">
      <c r="A2123" s="1" t="s">
        <v>2206</v>
      </c>
      <c r="C2123" s="1" t="s">
        <v>56</v>
      </c>
      <c r="D2123" s="1" t="s">
        <v>3294</v>
      </c>
      <c r="Y2123" s="2">
        <v>45512.0</v>
      </c>
      <c r="AE2123" s="1">
        <v>129.99</v>
      </c>
      <c r="AG2123" s="3" t="str">
        <f>"2000006147637309"</f>
        <v>2000006147637309</v>
      </c>
      <c r="AH2123" s="1" t="s">
        <v>58</v>
      </c>
      <c r="AI2123" s="1" t="s">
        <v>59</v>
      </c>
      <c r="AJ2123" s="1" t="s">
        <v>59</v>
      </c>
      <c r="AK2123" s="1" t="s">
        <v>60</v>
      </c>
      <c r="AL2123" s="1" t="s">
        <v>60</v>
      </c>
      <c r="AW2123" s="1" t="s">
        <v>2208</v>
      </c>
      <c r="AY2123" s="1">
        <v>1.0</v>
      </c>
      <c r="AZ2123" s="1">
        <v>129.99</v>
      </c>
      <c r="BB2123" s="1">
        <v>129.99</v>
      </c>
    </row>
    <row r="2124">
      <c r="A2124" s="1" t="s">
        <v>383</v>
      </c>
      <c r="C2124" s="1" t="s">
        <v>56</v>
      </c>
      <c r="D2124" s="1" t="s">
        <v>3295</v>
      </c>
      <c r="Y2124" s="2">
        <v>45512.0</v>
      </c>
      <c r="AE2124" s="1">
        <v>159.99</v>
      </c>
      <c r="AG2124" s="3" t="str">
        <f>"2000006147575759"</f>
        <v>2000006147575759</v>
      </c>
      <c r="AH2124" s="1" t="s">
        <v>58</v>
      </c>
      <c r="AI2124" s="1" t="s">
        <v>59</v>
      </c>
      <c r="AJ2124" s="1" t="s">
        <v>59</v>
      </c>
      <c r="AK2124" s="1" t="s">
        <v>60</v>
      </c>
      <c r="AL2124" s="1" t="s">
        <v>60</v>
      </c>
      <c r="AW2124" s="1" t="s">
        <v>385</v>
      </c>
      <c r="AY2124" s="1">
        <v>1.0</v>
      </c>
      <c r="AZ2124" s="1">
        <v>159.99</v>
      </c>
      <c r="BB2124" s="1">
        <v>159.99</v>
      </c>
    </row>
    <row r="2125">
      <c r="A2125" s="1" t="s">
        <v>224</v>
      </c>
      <c r="C2125" s="1" t="s">
        <v>56</v>
      </c>
      <c r="D2125" s="1" t="s">
        <v>3296</v>
      </c>
      <c r="Y2125" s="2">
        <v>45512.0</v>
      </c>
      <c r="AE2125" s="1">
        <v>119.99</v>
      </c>
      <c r="AG2125" s="3" t="str">
        <f>"2000006147536189"</f>
        <v>2000006147536189</v>
      </c>
      <c r="AH2125" s="1" t="s">
        <v>58</v>
      </c>
      <c r="AI2125" s="1" t="s">
        <v>59</v>
      </c>
      <c r="AJ2125" s="1" t="s">
        <v>59</v>
      </c>
      <c r="AK2125" s="1" t="s">
        <v>60</v>
      </c>
      <c r="AL2125" s="1" t="s">
        <v>60</v>
      </c>
      <c r="AW2125" s="1" t="s">
        <v>226</v>
      </c>
      <c r="AY2125" s="1">
        <v>1.0</v>
      </c>
      <c r="AZ2125" s="1">
        <v>119.99</v>
      </c>
      <c r="BB2125" s="1">
        <v>119.99</v>
      </c>
    </row>
    <row r="2126">
      <c r="A2126" s="1" t="s">
        <v>1521</v>
      </c>
      <c r="C2126" s="1" t="s">
        <v>56</v>
      </c>
      <c r="D2126" s="1" t="s">
        <v>2734</v>
      </c>
      <c r="Y2126" s="2">
        <v>45512.0</v>
      </c>
      <c r="AE2126" s="1">
        <v>49.99</v>
      </c>
      <c r="AG2126" s="3" t="str">
        <f>"2000006147562099"</f>
        <v>2000006147562099</v>
      </c>
      <c r="AH2126" s="1" t="s">
        <v>58</v>
      </c>
      <c r="AI2126" s="1" t="s">
        <v>59</v>
      </c>
      <c r="AJ2126" s="1" t="s">
        <v>59</v>
      </c>
      <c r="AK2126" s="1" t="s">
        <v>60</v>
      </c>
      <c r="AL2126" s="1" t="s">
        <v>60</v>
      </c>
      <c r="AW2126" s="1" t="s">
        <v>1523</v>
      </c>
      <c r="AY2126" s="1">
        <v>1.0</v>
      </c>
      <c r="AZ2126" s="1">
        <v>49.99</v>
      </c>
      <c r="BB2126" s="1">
        <v>49.99</v>
      </c>
    </row>
    <row r="2127">
      <c r="A2127" s="1" t="s">
        <v>768</v>
      </c>
      <c r="C2127" s="1" t="s">
        <v>56</v>
      </c>
      <c r="D2127" s="1" t="s">
        <v>3297</v>
      </c>
      <c r="Y2127" s="2">
        <v>45512.0</v>
      </c>
      <c r="AE2127" s="1">
        <v>159.99</v>
      </c>
      <c r="AG2127" s="3" t="str">
        <f>"2000008985925978"</f>
        <v>2000008985925978</v>
      </c>
      <c r="AH2127" s="1" t="s">
        <v>58</v>
      </c>
      <c r="AI2127" s="1" t="s">
        <v>59</v>
      </c>
      <c r="AJ2127" s="1" t="s">
        <v>59</v>
      </c>
      <c r="AK2127" s="1" t="s">
        <v>60</v>
      </c>
      <c r="AL2127" s="1" t="s">
        <v>60</v>
      </c>
      <c r="AW2127" s="1" t="s">
        <v>770</v>
      </c>
      <c r="AY2127" s="1">
        <v>1.0</v>
      </c>
      <c r="AZ2127" s="1">
        <v>159.99</v>
      </c>
      <c r="BB2127" s="1">
        <v>159.99</v>
      </c>
    </row>
    <row r="2128">
      <c r="A2128" s="1" t="s">
        <v>709</v>
      </c>
      <c r="C2128" s="1" t="s">
        <v>56</v>
      </c>
      <c r="D2128" s="1" t="s">
        <v>3298</v>
      </c>
      <c r="Y2128" s="2">
        <v>45512.0</v>
      </c>
      <c r="AE2128" s="1">
        <v>479.99</v>
      </c>
      <c r="AG2128" s="3" t="str">
        <f>"2000008985916292"</f>
        <v>2000008985916292</v>
      </c>
      <c r="AH2128" s="1" t="s">
        <v>58</v>
      </c>
      <c r="AI2128" s="1" t="s">
        <v>59</v>
      </c>
      <c r="AJ2128" s="1" t="s">
        <v>59</v>
      </c>
      <c r="AK2128" s="1" t="s">
        <v>60</v>
      </c>
      <c r="AL2128" s="1" t="s">
        <v>60</v>
      </c>
      <c r="AW2128" s="1" t="s">
        <v>711</v>
      </c>
      <c r="AY2128" s="1">
        <v>1.0</v>
      </c>
      <c r="AZ2128" s="1">
        <v>479.99</v>
      </c>
      <c r="BB2128" s="1">
        <v>479.99</v>
      </c>
    </row>
    <row r="2129">
      <c r="A2129" s="1" t="s">
        <v>396</v>
      </c>
      <c r="C2129" s="1" t="s">
        <v>56</v>
      </c>
      <c r="D2129" s="1" t="s">
        <v>3299</v>
      </c>
      <c r="Y2129" s="2">
        <v>45512.0</v>
      </c>
      <c r="AE2129" s="1">
        <v>259.99</v>
      </c>
      <c r="AG2129" s="3" t="str">
        <f>"2000008985834800"</f>
        <v>2000008985834800</v>
      </c>
      <c r="AH2129" s="1" t="s">
        <v>58</v>
      </c>
      <c r="AI2129" s="1" t="s">
        <v>59</v>
      </c>
      <c r="AJ2129" s="1" t="s">
        <v>59</v>
      </c>
      <c r="AK2129" s="1" t="s">
        <v>60</v>
      </c>
      <c r="AL2129" s="1" t="s">
        <v>60</v>
      </c>
      <c r="AW2129" s="1" t="s">
        <v>398</v>
      </c>
      <c r="AY2129" s="1">
        <v>1.0</v>
      </c>
      <c r="AZ2129" s="1">
        <v>259.99</v>
      </c>
      <c r="BB2129" s="1">
        <v>259.99</v>
      </c>
    </row>
    <row r="2130">
      <c r="A2130" s="1" t="s">
        <v>407</v>
      </c>
      <c r="C2130" s="1" t="s">
        <v>56</v>
      </c>
      <c r="D2130" s="1" t="s">
        <v>3300</v>
      </c>
      <c r="Y2130" s="2">
        <v>45512.0</v>
      </c>
      <c r="AE2130" s="1">
        <v>94.99</v>
      </c>
      <c r="AG2130" s="3" t="str">
        <f>"2000006147484183"</f>
        <v>2000006147484183</v>
      </c>
      <c r="AH2130" s="1" t="s">
        <v>58</v>
      </c>
      <c r="AI2130" s="1" t="s">
        <v>59</v>
      </c>
      <c r="AJ2130" s="1" t="s">
        <v>59</v>
      </c>
      <c r="AK2130" s="1" t="s">
        <v>60</v>
      </c>
      <c r="AL2130" s="1" t="s">
        <v>60</v>
      </c>
      <c r="AW2130" s="1" t="s">
        <v>409</v>
      </c>
      <c r="AY2130" s="1">
        <v>1.0</v>
      </c>
      <c r="AZ2130" s="1">
        <v>94.99</v>
      </c>
      <c r="BB2130" s="1">
        <v>94.99</v>
      </c>
    </row>
    <row r="2131">
      <c r="A2131" s="1" t="s">
        <v>1322</v>
      </c>
      <c r="C2131" s="1" t="s">
        <v>56</v>
      </c>
      <c r="D2131" s="1" t="s">
        <v>3301</v>
      </c>
      <c r="Y2131" s="2">
        <v>45512.0</v>
      </c>
      <c r="AE2131" s="1">
        <v>139.99</v>
      </c>
      <c r="AG2131" s="3" t="str">
        <f>"2000006147433807"</f>
        <v>2000006147433807</v>
      </c>
      <c r="AH2131" s="1" t="s">
        <v>58</v>
      </c>
      <c r="AI2131" s="1" t="s">
        <v>59</v>
      </c>
      <c r="AJ2131" s="1" t="s">
        <v>59</v>
      </c>
      <c r="AK2131" s="1" t="s">
        <v>60</v>
      </c>
      <c r="AL2131" s="1" t="s">
        <v>60</v>
      </c>
      <c r="AW2131" s="1" t="s">
        <v>279</v>
      </c>
      <c r="AY2131" s="1">
        <v>1.0</v>
      </c>
      <c r="AZ2131" s="1">
        <v>139.99</v>
      </c>
      <c r="BB2131" s="1">
        <v>139.99</v>
      </c>
    </row>
    <row r="2132">
      <c r="A2132" s="1" t="s">
        <v>329</v>
      </c>
      <c r="C2132" s="1" t="s">
        <v>56</v>
      </c>
      <c r="D2132" s="1" t="s">
        <v>3302</v>
      </c>
      <c r="Y2132" s="2">
        <v>45512.0</v>
      </c>
      <c r="AE2132" s="1">
        <v>429.99</v>
      </c>
      <c r="AG2132" s="3" t="str">
        <f>"2000006147305725"</f>
        <v>2000006147305725</v>
      </c>
      <c r="AH2132" s="1" t="s">
        <v>58</v>
      </c>
      <c r="AI2132" s="1" t="s">
        <v>59</v>
      </c>
      <c r="AJ2132" s="1" t="s">
        <v>59</v>
      </c>
      <c r="AK2132" s="1" t="s">
        <v>60</v>
      </c>
      <c r="AL2132" s="1" t="s">
        <v>60</v>
      </c>
      <c r="AW2132" s="1" t="s">
        <v>331</v>
      </c>
      <c r="AY2132" s="1">
        <v>1.0</v>
      </c>
      <c r="AZ2132" s="1">
        <v>429.99</v>
      </c>
      <c r="BB2132" s="1">
        <v>429.99</v>
      </c>
    </row>
    <row r="2133">
      <c r="A2133" s="1" t="s">
        <v>622</v>
      </c>
      <c r="C2133" s="1" t="s">
        <v>56</v>
      </c>
      <c r="D2133" s="1" t="s">
        <v>3303</v>
      </c>
      <c r="Y2133" s="2">
        <v>45512.0</v>
      </c>
      <c r="AE2133" s="1">
        <v>649.99</v>
      </c>
      <c r="AG2133" s="3" t="str">
        <f>"2000006147412817"</f>
        <v>2000006147412817</v>
      </c>
      <c r="AH2133" s="1" t="s">
        <v>58</v>
      </c>
      <c r="AI2133" s="1" t="s">
        <v>59</v>
      </c>
      <c r="AJ2133" s="1" t="s">
        <v>59</v>
      </c>
      <c r="AK2133" s="1" t="s">
        <v>60</v>
      </c>
      <c r="AL2133" s="1" t="s">
        <v>60</v>
      </c>
      <c r="AW2133" s="1" t="s">
        <v>624</v>
      </c>
      <c r="AY2133" s="1">
        <v>1.0</v>
      </c>
      <c r="AZ2133" s="1">
        <v>649.99</v>
      </c>
      <c r="BB2133" s="1">
        <v>649.99</v>
      </c>
    </row>
    <row r="2134">
      <c r="A2134" s="1" t="s">
        <v>2490</v>
      </c>
      <c r="C2134" s="1" t="s">
        <v>56</v>
      </c>
      <c r="D2134" s="1" t="s">
        <v>3304</v>
      </c>
      <c r="Y2134" s="2">
        <v>45512.0</v>
      </c>
      <c r="AE2134" s="1">
        <v>64.99</v>
      </c>
      <c r="AG2134" s="3" t="str">
        <f>"2000006147384749"</f>
        <v>2000006147384749</v>
      </c>
      <c r="AH2134" s="1" t="s">
        <v>58</v>
      </c>
      <c r="AI2134" s="1" t="s">
        <v>59</v>
      </c>
      <c r="AJ2134" s="1" t="s">
        <v>59</v>
      </c>
      <c r="AK2134" s="1" t="s">
        <v>60</v>
      </c>
      <c r="AL2134" s="1" t="s">
        <v>60</v>
      </c>
      <c r="AW2134" s="1" t="s">
        <v>2492</v>
      </c>
      <c r="AY2134" s="1">
        <v>1.0</v>
      </c>
      <c r="AZ2134" s="1">
        <v>64.99</v>
      </c>
      <c r="BB2134" s="1">
        <v>64.99</v>
      </c>
    </row>
    <row r="2135">
      <c r="A2135" s="1" t="s">
        <v>691</v>
      </c>
      <c r="C2135" s="1" t="s">
        <v>56</v>
      </c>
      <c r="D2135" s="1" t="s">
        <v>3305</v>
      </c>
      <c r="Y2135" s="2">
        <v>45512.0</v>
      </c>
      <c r="AE2135" s="1">
        <v>129.99</v>
      </c>
      <c r="AG2135" s="3" t="str">
        <f>"2000008985624582"</f>
        <v>2000008985624582</v>
      </c>
      <c r="AH2135" s="1" t="s">
        <v>58</v>
      </c>
      <c r="AI2135" s="1" t="s">
        <v>59</v>
      </c>
      <c r="AJ2135" s="1" t="s">
        <v>59</v>
      </c>
      <c r="AK2135" s="1" t="s">
        <v>60</v>
      </c>
      <c r="AL2135" s="1" t="s">
        <v>60</v>
      </c>
      <c r="AW2135" s="1" t="s">
        <v>693</v>
      </c>
      <c r="AY2135" s="1">
        <v>1.0</v>
      </c>
      <c r="AZ2135" s="1">
        <v>129.99</v>
      </c>
      <c r="BB2135" s="1">
        <v>129.99</v>
      </c>
    </row>
    <row r="2136">
      <c r="A2136" s="1" t="s">
        <v>2436</v>
      </c>
      <c r="C2136" s="1" t="s">
        <v>56</v>
      </c>
      <c r="D2136" s="1" t="s">
        <v>3306</v>
      </c>
      <c r="Y2136" s="2">
        <v>45512.0</v>
      </c>
      <c r="AE2136" s="1">
        <v>59.99</v>
      </c>
      <c r="AG2136" s="3" t="str">
        <f>"2000008985510220"</f>
        <v>2000008985510220</v>
      </c>
      <c r="AH2136" s="1" t="s">
        <v>58</v>
      </c>
      <c r="AI2136" s="1" t="s">
        <v>59</v>
      </c>
      <c r="AJ2136" s="1" t="s">
        <v>59</v>
      </c>
      <c r="AK2136" s="1" t="s">
        <v>60</v>
      </c>
      <c r="AL2136" s="1" t="s">
        <v>60</v>
      </c>
      <c r="AW2136" s="1" t="s">
        <v>2438</v>
      </c>
      <c r="AY2136" s="1">
        <v>1.0</v>
      </c>
      <c r="AZ2136" s="1">
        <v>59.99</v>
      </c>
      <c r="BB2136" s="1">
        <v>59.99</v>
      </c>
    </row>
    <row r="2137">
      <c r="A2137" s="1" t="s">
        <v>290</v>
      </c>
      <c r="C2137" s="1" t="s">
        <v>56</v>
      </c>
      <c r="D2137" s="1" t="s">
        <v>3307</v>
      </c>
      <c r="Y2137" s="2">
        <v>45512.0</v>
      </c>
      <c r="AE2137" s="1">
        <v>139.99</v>
      </c>
      <c r="AG2137" s="3" t="str">
        <f>"2000006147113235"</f>
        <v>2000006147113235</v>
      </c>
      <c r="AH2137" s="1" t="s">
        <v>58</v>
      </c>
      <c r="AI2137" s="1" t="s">
        <v>59</v>
      </c>
      <c r="AJ2137" s="1" t="s">
        <v>59</v>
      </c>
      <c r="AK2137" s="1" t="s">
        <v>60</v>
      </c>
      <c r="AL2137" s="1" t="s">
        <v>60</v>
      </c>
      <c r="AW2137" s="1" t="s">
        <v>292</v>
      </c>
      <c r="AY2137" s="1">
        <v>1.0</v>
      </c>
      <c r="AZ2137" s="1">
        <v>139.99</v>
      </c>
      <c r="BB2137" s="1">
        <v>139.99</v>
      </c>
    </row>
    <row r="2138">
      <c r="A2138" s="1" t="s">
        <v>508</v>
      </c>
      <c r="C2138" s="1" t="s">
        <v>56</v>
      </c>
      <c r="D2138" s="1" t="s">
        <v>3308</v>
      </c>
      <c r="Y2138" s="2">
        <v>45512.0</v>
      </c>
      <c r="AE2138" s="1">
        <v>184.99</v>
      </c>
      <c r="AG2138" s="3" t="str">
        <f>"2000006147286339"</f>
        <v>2000006147286339</v>
      </c>
      <c r="AH2138" s="1" t="s">
        <v>58</v>
      </c>
      <c r="AI2138" s="1" t="s">
        <v>59</v>
      </c>
      <c r="AJ2138" s="1" t="s">
        <v>59</v>
      </c>
      <c r="AK2138" s="1" t="s">
        <v>60</v>
      </c>
      <c r="AL2138" s="1" t="s">
        <v>60</v>
      </c>
      <c r="AW2138" s="1" t="s">
        <v>1535</v>
      </c>
      <c r="AY2138" s="1">
        <v>1.0</v>
      </c>
      <c r="AZ2138" s="1">
        <v>184.99</v>
      </c>
      <c r="BB2138" s="1">
        <v>184.99</v>
      </c>
    </row>
    <row r="2139">
      <c r="A2139" s="1" t="s">
        <v>508</v>
      </c>
      <c r="C2139" s="1" t="s">
        <v>56</v>
      </c>
      <c r="D2139" s="1" t="s">
        <v>3309</v>
      </c>
      <c r="Y2139" s="2">
        <v>45512.0</v>
      </c>
      <c r="AE2139" s="1">
        <v>184.99</v>
      </c>
      <c r="AG2139" s="3" t="str">
        <f>"2000006146023745"</f>
        <v>2000006146023745</v>
      </c>
      <c r="AH2139" s="1" t="s">
        <v>58</v>
      </c>
      <c r="AI2139" s="1" t="s">
        <v>59</v>
      </c>
      <c r="AJ2139" s="1" t="s">
        <v>59</v>
      </c>
      <c r="AK2139" s="1" t="s">
        <v>60</v>
      </c>
      <c r="AL2139" s="1" t="s">
        <v>60</v>
      </c>
      <c r="AW2139" s="1" t="s">
        <v>1535</v>
      </c>
      <c r="AY2139" s="1">
        <v>1.0</v>
      </c>
      <c r="AZ2139" s="1">
        <v>184.99</v>
      </c>
      <c r="BB2139" s="1">
        <v>184.99</v>
      </c>
    </row>
    <row r="2140">
      <c r="A2140" s="1" t="s">
        <v>3176</v>
      </c>
      <c r="C2140" s="1" t="s">
        <v>56</v>
      </c>
      <c r="D2140" s="1" t="s">
        <v>3310</v>
      </c>
      <c r="Y2140" s="2">
        <v>45512.0</v>
      </c>
      <c r="AE2140" s="1">
        <v>59.99</v>
      </c>
      <c r="AG2140" s="3" t="str">
        <f>"2000006147225381"</f>
        <v>2000006147225381</v>
      </c>
      <c r="AH2140" s="1" t="s">
        <v>58</v>
      </c>
      <c r="AI2140" s="1" t="s">
        <v>59</v>
      </c>
      <c r="AJ2140" s="1" t="s">
        <v>59</v>
      </c>
      <c r="AK2140" s="1" t="s">
        <v>60</v>
      </c>
      <c r="AL2140" s="1" t="s">
        <v>60</v>
      </c>
      <c r="AW2140" s="1" t="s">
        <v>3178</v>
      </c>
      <c r="AY2140" s="1">
        <v>1.0</v>
      </c>
      <c r="AZ2140" s="1">
        <v>59.99</v>
      </c>
      <c r="BB2140" s="1">
        <v>59.99</v>
      </c>
    </row>
    <row r="2141">
      <c r="A2141" s="1" t="s">
        <v>1386</v>
      </c>
      <c r="C2141" s="1" t="s">
        <v>56</v>
      </c>
      <c r="D2141" s="1" t="s">
        <v>3311</v>
      </c>
      <c r="Y2141" s="2">
        <v>45512.0</v>
      </c>
      <c r="AE2141" s="1">
        <v>54.99</v>
      </c>
      <c r="AG2141" s="3" t="str">
        <f>"2000008985107920"</f>
        <v>2000008985107920</v>
      </c>
      <c r="AH2141" s="1" t="s">
        <v>58</v>
      </c>
      <c r="AI2141" s="1" t="s">
        <v>59</v>
      </c>
      <c r="AJ2141" s="1" t="s">
        <v>59</v>
      </c>
      <c r="AK2141" s="1" t="s">
        <v>60</v>
      </c>
      <c r="AL2141" s="1" t="s">
        <v>60</v>
      </c>
      <c r="AW2141" s="1" t="s">
        <v>1388</v>
      </c>
      <c r="AY2141" s="1">
        <v>1.0</v>
      </c>
      <c r="AZ2141" s="1">
        <v>54.99</v>
      </c>
      <c r="BB2141" s="1">
        <v>54.99</v>
      </c>
    </row>
    <row r="2142">
      <c r="A2142" s="1" t="s">
        <v>2095</v>
      </c>
      <c r="C2142" s="1" t="s">
        <v>56</v>
      </c>
      <c r="D2142" s="1" t="s">
        <v>3312</v>
      </c>
      <c r="Y2142" s="2">
        <v>45512.0</v>
      </c>
      <c r="AE2142" s="1">
        <v>219.99</v>
      </c>
      <c r="AG2142" s="3" t="str">
        <f>"2000006147082577"</f>
        <v>2000006147082577</v>
      </c>
      <c r="AH2142" s="1" t="s">
        <v>58</v>
      </c>
      <c r="AI2142" s="1" t="s">
        <v>59</v>
      </c>
      <c r="AJ2142" s="1" t="s">
        <v>59</v>
      </c>
      <c r="AK2142" s="1" t="s">
        <v>60</v>
      </c>
      <c r="AL2142" s="1" t="s">
        <v>60</v>
      </c>
      <c r="AW2142" s="1" t="s">
        <v>2097</v>
      </c>
      <c r="AY2142" s="1">
        <v>1.0</v>
      </c>
      <c r="AZ2142" s="1">
        <v>219.99</v>
      </c>
      <c r="BB2142" s="1">
        <v>219.99</v>
      </c>
    </row>
    <row r="2143">
      <c r="A2143" s="1" t="s">
        <v>1727</v>
      </c>
      <c r="C2143" s="1" t="s">
        <v>56</v>
      </c>
      <c r="D2143" s="1" t="s">
        <v>3313</v>
      </c>
      <c r="Y2143" s="2">
        <v>45512.0</v>
      </c>
      <c r="AE2143" s="1">
        <v>549.99</v>
      </c>
      <c r="AG2143" s="3" t="str">
        <f>"2000008985049950"</f>
        <v>2000008985049950</v>
      </c>
      <c r="AH2143" s="1" t="s">
        <v>58</v>
      </c>
      <c r="AI2143" s="1" t="s">
        <v>59</v>
      </c>
      <c r="AJ2143" s="1" t="s">
        <v>59</v>
      </c>
      <c r="AK2143" s="1" t="s">
        <v>60</v>
      </c>
      <c r="AL2143" s="1" t="s">
        <v>60</v>
      </c>
      <c r="AW2143" s="1" t="s">
        <v>1729</v>
      </c>
      <c r="AY2143" s="1">
        <v>1.0</v>
      </c>
      <c r="AZ2143" s="1">
        <v>549.99</v>
      </c>
      <c r="BB2143" s="1">
        <v>549.99</v>
      </c>
    </row>
    <row r="2144">
      <c r="A2144" s="1" t="s">
        <v>262</v>
      </c>
      <c r="C2144" s="1" t="s">
        <v>56</v>
      </c>
      <c r="D2144" s="1" t="s">
        <v>3314</v>
      </c>
      <c r="Y2144" s="2">
        <v>45512.0</v>
      </c>
      <c r="AE2144" s="1">
        <v>129.99</v>
      </c>
      <c r="AG2144" s="3" t="str">
        <f>"2000006147048731"</f>
        <v>2000006147048731</v>
      </c>
      <c r="AH2144" s="1" t="s">
        <v>58</v>
      </c>
      <c r="AI2144" s="1" t="s">
        <v>59</v>
      </c>
      <c r="AJ2144" s="1" t="s">
        <v>59</v>
      </c>
      <c r="AK2144" s="1" t="s">
        <v>60</v>
      </c>
      <c r="AL2144" s="1" t="s">
        <v>60</v>
      </c>
      <c r="AW2144" s="1" t="s">
        <v>264</v>
      </c>
      <c r="AY2144" s="1">
        <v>1.0</v>
      </c>
      <c r="AZ2144" s="1">
        <v>129.99</v>
      </c>
      <c r="BB2144" s="1">
        <v>129.99</v>
      </c>
    </row>
    <row r="2145">
      <c r="A2145" s="1" t="s">
        <v>2535</v>
      </c>
      <c r="C2145" s="1" t="s">
        <v>56</v>
      </c>
      <c r="D2145" s="1" t="s">
        <v>3315</v>
      </c>
      <c r="Y2145" s="2">
        <v>45512.0</v>
      </c>
      <c r="AE2145" s="1">
        <v>289.99</v>
      </c>
      <c r="AG2145" s="3" t="str">
        <f>"2000006147002345"</f>
        <v>2000006147002345</v>
      </c>
      <c r="AH2145" s="1" t="s">
        <v>58</v>
      </c>
      <c r="AI2145" s="1" t="s">
        <v>59</v>
      </c>
      <c r="AJ2145" s="1" t="s">
        <v>59</v>
      </c>
      <c r="AK2145" s="1" t="s">
        <v>60</v>
      </c>
      <c r="AL2145" s="1" t="s">
        <v>60</v>
      </c>
      <c r="AW2145" s="1" t="s">
        <v>2537</v>
      </c>
      <c r="AY2145" s="1">
        <v>1.0</v>
      </c>
      <c r="AZ2145" s="1">
        <v>289.99</v>
      </c>
      <c r="BB2145" s="1">
        <v>289.99</v>
      </c>
    </row>
    <row r="2146">
      <c r="A2146" s="1" t="s">
        <v>390</v>
      </c>
      <c r="C2146" s="1" t="s">
        <v>56</v>
      </c>
      <c r="D2146" s="1" t="s">
        <v>3316</v>
      </c>
      <c r="Y2146" s="2">
        <v>45512.0</v>
      </c>
      <c r="AE2146" s="1">
        <v>79.99</v>
      </c>
      <c r="AG2146" s="3" t="str">
        <f>"2000006147031117"</f>
        <v>2000006147031117</v>
      </c>
      <c r="AH2146" s="1" t="s">
        <v>58</v>
      </c>
      <c r="AI2146" s="1" t="s">
        <v>59</v>
      </c>
      <c r="AJ2146" s="1" t="s">
        <v>59</v>
      </c>
      <c r="AK2146" s="1" t="s">
        <v>60</v>
      </c>
      <c r="AL2146" s="1" t="s">
        <v>60</v>
      </c>
      <c r="AW2146" s="1" t="s">
        <v>392</v>
      </c>
      <c r="AY2146" s="1">
        <v>1.0</v>
      </c>
      <c r="AZ2146" s="1">
        <v>79.99</v>
      </c>
      <c r="BB2146" s="1">
        <v>79.99</v>
      </c>
    </row>
    <row r="2147">
      <c r="A2147" s="1" t="s">
        <v>3317</v>
      </c>
      <c r="C2147" s="1" t="s">
        <v>56</v>
      </c>
      <c r="D2147" s="1" t="s">
        <v>3318</v>
      </c>
      <c r="Y2147" s="2">
        <v>45512.0</v>
      </c>
      <c r="AE2147" s="1">
        <v>99.99</v>
      </c>
      <c r="AG2147" s="3" t="str">
        <f>"2000008984930626"</f>
        <v>2000008984930626</v>
      </c>
      <c r="AH2147" s="1" t="s">
        <v>58</v>
      </c>
      <c r="AI2147" s="1" t="s">
        <v>59</v>
      </c>
      <c r="AJ2147" s="1" t="s">
        <v>59</v>
      </c>
      <c r="AK2147" s="1" t="s">
        <v>60</v>
      </c>
      <c r="AL2147" s="1" t="s">
        <v>60</v>
      </c>
      <c r="AW2147" s="1" t="s">
        <v>617</v>
      </c>
      <c r="AY2147" s="1">
        <v>1.0</v>
      </c>
      <c r="AZ2147" s="1">
        <v>99.99</v>
      </c>
      <c r="BB2147" s="1">
        <v>99.99</v>
      </c>
    </row>
    <row r="2148">
      <c r="A2148" s="1" t="s">
        <v>243</v>
      </c>
      <c r="C2148" s="1" t="s">
        <v>56</v>
      </c>
      <c r="D2148" s="1" t="s">
        <v>3319</v>
      </c>
      <c r="Y2148" s="2">
        <v>45512.0</v>
      </c>
      <c r="AE2148" s="1">
        <v>119.99</v>
      </c>
      <c r="AG2148" s="3" t="str">
        <f>"2000008984910218"</f>
        <v>2000008984910218</v>
      </c>
      <c r="AH2148" s="1" t="s">
        <v>58</v>
      </c>
      <c r="AI2148" s="1" t="s">
        <v>59</v>
      </c>
      <c r="AJ2148" s="1" t="s">
        <v>59</v>
      </c>
      <c r="AK2148" s="1" t="s">
        <v>60</v>
      </c>
      <c r="AL2148" s="1" t="s">
        <v>60</v>
      </c>
      <c r="AW2148" s="1" t="s">
        <v>2864</v>
      </c>
      <c r="AY2148" s="1">
        <v>1.0</v>
      </c>
      <c r="AZ2148" s="1">
        <v>119.99</v>
      </c>
      <c r="BB2148" s="1">
        <v>119.99</v>
      </c>
    </row>
    <row r="2149">
      <c r="A2149" s="1" t="s">
        <v>383</v>
      </c>
      <c r="C2149" s="1" t="s">
        <v>56</v>
      </c>
      <c r="D2149" s="1" t="s">
        <v>3320</v>
      </c>
      <c r="Y2149" s="2">
        <v>45512.0</v>
      </c>
      <c r="AE2149" s="1">
        <v>159.99</v>
      </c>
      <c r="AG2149" s="3" t="str">
        <f>"2000008984808888"</f>
        <v>2000008984808888</v>
      </c>
      <c r="AH2149" s="1" t="s">
        <v>58</v>
      </c>
      <c r="AI2149" s="1" t="s">
        <v>59</v>
      </c>
      <c r="AJ2149" s="1" t="s">
        <v>59</v>
      </c>
      <c r="AK2149" s="1" t="s">
        <v>60</v>
      </c>
      <c r="AL2149" s="1" t="s">
        <v>60</v>
      </c>
      <c r="AW2149" s="1" t="s">
        <v>385</v>
      </c>
      <c r="AY2149" s="1">
        <v>1.0</v>
      </c>
      <c r="AZ2149" s="1">
        <v>159.99</v>
      </c>
      <c r="BB2149" s="1">
        <v>159.99</v>
      </c>
    </row>
    <row r="2150">
      <c r="A2150" s="1" t="s">
        <v>2375</v>
      </c>
      <c r="C2150" s="1" t="s">
        <v>56</v>
      </c>
      <c r="D2150" s="1" t="s">
        <v>3321</v>
      </c>
      <c r="Y2150" s="2">
        <v>45512.0</v>
      </c>
      <c r="AE2150" s="1">
        <v>499.98</v>
      </c>
      <c r="AG2150" s="3" t="str">
        <f>"2000006146986513"</f>
        <v>2000006146986513</v>
      </c>
      <c r="AH2150" s="1" t="s">
        <v>58</v>
      </c>
      <c r="AI2150" s="1" t="s">
        <v>59</v>
      </c>
      <c r="AJ2150" s="1" t="s">
        <v>59</v>
      </c>
      <c r="AK2150" s="1" t="s">
        <v>60</v>
      </c>
      <c r="AL2150" s="1" t="s">
        <v>60</v>
      </c>
      <c r="AW2150" s="1" t="s">
        <v>2376</v>
      </c>
      <c r="AY2150" s="1">
        <v>2.0</v>
      </c>
      <c r="AZ2150" s="1">
        <v>249.99</v>
      </c>
      <c r="BB2150" s="1">
        <v>499.98</v>
      </c>
    </row>
    <row r="2151">
      <c r="A2151" s="1" t="s">
        <v>1120</v>
      </c>
      <c r="C2151" s="1" t="s">
        <v>56</v>
      </c>
      <c r="D2151" s="1" t="s">
        <v>3322</v>
      </c>
      <c r="Y2151" s="2">
        <v>45512.0</v>
      </c>
      <c r="AE2151" s="1">
        <v>59.99</v>
      </c>
      <c r="AG2151" s="3" t="str">
        <f>"2000006146968059"</f>
        <v>2000006146968059</v>
      </c>
      <c r="AH2151" s="1" t="s">
        <v>58</v>
      </c>
      <c r="AI2151" s="1" t="s">
        <v>59</v>
      </c>
      <c r="AJ2151" s="1" t="s">
        <v>59</v>
      </c>
      <c r="AK2151" s="1" t="s">
        <v>60</v>
      </c>
      <c r="AL2151" s="1" t="s">
        <v>60</v>
      </c>
      <c r="AW2151" s="1" t="s">
        <v>1122</v>
      </c>
      <c r="AY2151" s="1">
        <v>1.0</v>
      </c>
      <c r="AZ2151" s="1">
        <v>59.99</v>
      </c>
      <c r="BB2151" s="1">
        <v>59.99</v>
      </c>
    </row>
    <row r="2152">
      <c r="A2152" s="1" t="s">
        <v>275</v>
      </c>
      <c r="C2152" s="1" t="s">
        <v>56</v>
      </c>
      <c r="D2152" s="1" t="s">
        <v>3323</v>
      </c>
      <c r="Y2152" s="2">
        <v>45512.0</v>
      </c>
      <c r="AE2152" s="1">
        <v>54.99</v>
      </c>
      <c r="AG2152" s="3" t="str">
        <f t="shared" ref="AG2152:AG2153" si="83">"2000006146928985"</f>
        <v>2000006146928985</v>
      </c>
      <c r="AH2152" s="1" t="s">
        <v>58</v>
      </c>
      <c r="AI2152" s="1" t="s">
        <v>59</v>
      </c>
      <c r="AJ2152" s="1" t="s">
        <v>59</v>
      </c>
      <c r="AK2152" s="1" t="s">
        <v>60</v>
      </c>
      <c r="AL2152" s="1" t="s">
        <v>60</v>
      </c>
      <c r="AW2152" s="1" t="s">
        <v>110</v>
      </c>
      <c r="AY2152" s="1">
        <v>1.0</v>
      </c>
      <c r="AZ2152" s="1">
        <v>54.99</v>
      </c>
      <c r="BB2152" s="1">
        <v>54.99</v>
      </c>
    </row>
    <row r="2153">
      <c r="A2153" s="1" t="s">
        <v>108</v>
      </c>
      <c r="C2153" s="1" t="s">
        <v>56</v>
      </c>
      <c r="D2153" s="1" t="s">
        <v>3323</v>
      </c>
      <c r="Y2153" s="2">
        <v>45512.0</v>
      </c>
      <c r="AE2153" s="1">
        <v>109.98</v>
      </c>
      <c r="AG2153" s="3" t="str">
        <f t="shared" si="83"/>
        <v>2000006146928985</v>
      </c>
      <c r="AH2153" s="1" t="s">
        <v>58</v>
      </c>
      <c r="AI2153" s="1" t="s">
        <v>59</v>
      </c>
      <c r="AJ2153" s="1" t="s">
        <v>59</v>
      </c>
      <c r="AK2153" s="1" t="s">
        <v>60</v>
      </c>
      <c r="AL2153" s="1" t="s">
        <v>60</v>
      </c>
      <c r="AW2153" s="1" t="s">
        <v>110</v>
      </c>
      <c r="AY2153" s="1">
        <v>2.0</v>
      </c>
      <c r="AZ2153" s="1">
        <v>54.99</v>
      </c>
      <c r="BB2153" s="1">
        <v>109.98</v>
      </c>
    </row>
    <row r="2154">
      <c r="A2154" s="1" t="s">
        <v>342</v>
      </c>
      <c r="C2154" s="1" t="s">
        <v>56</v>
      </c>
      <c r="D2154" s="1" t="s">
        <v>3324</v>
      </c>
      <c r="Y2154" s="2">
        <v>45512.0</v>
      </c>
      <c r="AE2154" s="1">
        <v>50.99</v>
      </c>
      <c r="AG2154" s="3" t="str">
        <f>"2000006146906779"</f>
        <v>2000006146906779</v>
      </c>
      <c r="AH2154" s="1" t="s">
        <v>58</v>
      </c>
      <c r="AI2154" s="1" t="s">
        <v>59</v>
      </c>
      <c r="AJ2154" s="1" t="s">
        <v>59</v>
      </c>
      <c r="AK2154" s="1" t="s">
        <v>60</v>
      </c>
      <c r="AL2154" s="1" t="s">
        <v>60</v>
      </c>
      <c r="AW2154" s="1" t="s">
        <v>344</v>
      </c>
      <c r="AY2154" s="1">
        <v>1.0</v>
      </c>
      <c r="AZ2154" s="1">
        <v>50.99</v>
      </c>
      <c r="BB2154" s="1">
        <v>50.99</v>
      </c>
    </row>
    <row r="2155">
      <c r="A2155" s="1" t="s">
        <v>77</v>
      </c>
      <c r="C2155" s="1" t="s">
        <v>56</v>
      </c>
      <c r="D2155" s="1" t="s">
        <v>3325</v>
      </c>
      <c r="Y2155" s="2">
        <v>45512.0</v>
      </c>
      <c r="AE2155" s="1">
        <v>64.99</v>
      </c>
      <c r="AG2155" s="3" t="str">
        <f>"2000008984738674"</f>
        <v>2000008984738674</v>
      </c>
      <c r="AH2155" s="1" t="s">
        <v>58</v>
      </c>
      <c r="AI2155" s="1" t="s">
        <v>59</v>
      </c>
      <c r="AJ2155" s="1" t="s">
        <v>59</v>
      </c>
      <c r="AK2155" s="1" t="s">
        <v>60</v>
      </c>
      <c r="AL2155" s="1" t="s">
        <v>60</v>
      </c>
      <c r="AW2155" s="1" t="s">
        <v>79</v>
      </c>
      <c r="AY2155" s="1">
        <v>1.0</v>
      </c>
      <c r="AZ2155" s="1">
        <v>64.99</v>
      </c>
      <c r="BB2155" s="1">
        <v>64.99</v>
      </c>
    </row>
    <row r="2156">
      <c r="A2156" s="1" t="s">
        <v>2942</v>
      </c>
      <c r="C2156" s="1" t="s">
        <v>56</v>
      </c>
      <c r="D2156" s="1" t="s">
        <v>3326</v>
      </c>
      <c r="Y2156" s="2">
        <v>45512.0</v>
      </c>
      <c r="AE2156" s="1">
        <v>49.99</v>
      </c>
      <c r="AG2156" s="3" t="str">
        <f>"2000006146807285"</f>
        <v>2000006146807285</v>
      </c>
      <c r="AH2156" s="1" t="s">
        <v>58</v>
      </c>
      <c r="AI2156" s="1" t="s">
        <v>59</v>
      </c>
      <c r="AJ2156" s="1" t="s">
        <v>59</v>
      </c>
      <c r="AK2156" s="1" t="s">
        <v>60</v>
      </c>
      <c r="AL2156" s="1" t="s">
        <v>60</v>
      </c>
      <c r="AW2156" s="1" t="s">
        <v>2944</v>
      </c>
      <c r="AY2156" s="1">
        <v>1.0</v>
      </c>
      <c r="AZ2156" s="1">
        <v>49.99</v>
      </c>
      <c r="BB2156" s="1">
        <v>49.99</v>
      </c>
    </row>
    <row r="2157">
      <c r="A2157" s="1" t="s">
        <v>3162</v>
      </c>
      <c r="C2157" s="1" t="s">
        <v>56</v>
      </c>
      <c r="D2157" s="1" t="s">
        <v>3327</v>
      </c>
      <c r="Y2157" s="2">
        <v>45512.0</v>
      </c>
      <c r="AE2157" s="1">
        <v>129.99</v>
      </c>
      <c r="AG2157" s="3" t="str">
        <f>"2000006146704303"</f>
        <v>2000006146704303</v>
      </c>
      <c r="AH2157" s="1" t="s">
        <v>58</v>
      </c>
      <c r="AI2157" s="1" t="s">
        <v>59</v>
      </c>
      <c r="AJ2157" s="1" t="s">
        <v>59</v>
      </c>
      <c r="AK2157" s="1" t="s">
        <v>60</v>
      </c>
      <c r="AL2157" s="1" t="s">
        <v>60</v>
      </c>
      <c r="AW2157" s="1" t="s">
        <v>3164</v>
      </c>
      <c r="AY2157" s="1">
        <v>1.0</v>
      </c>
      <c r="AZ2157" s="1">
        <v>129.99</v>
      </c>
      <c r="BB2157" s="1">
        <v>129.99</v>
      </c>
    </row>
    <row r="2158">
      <c r="A2158" s="1" t="s">
        <v>280</v>
      </c>
      <c r="C2158" s="1" t="s">
        <v>56</v>
      </c>
      <c r="D2158" s="1" t="s">
        <v>3328</v>
      </c>
      <c r="Y2158" s="2">
        <v>45512.0</v>
      </c>
      <c r="AE2158" s="1">
        <v>119.99</v>
      </c>
      <c r="AG2158" s="3" t="str">
        <f>"2000006146652239"</f>
        <v>2000006146652239</v>
      </c>
      <c r="AH2158" s="1" t="s">
        <v>58</v>
      </c>
      <c r="AI2158" s="1" t="s">
        <v>59</v>
      </c>
      <c r="AJ2158" s="1" t="s">
        <v>59</v>
      </c>
      <c r="AK2158" s="1" t="s">
        <v>60</v>
      </c>
      <c r="AL2158" s="1" t="s">
        <v>60</v>
      </c>
      <c r="AW2158" s="1" t="s">
        <v>282</v>
      </c>
      <c r="AY2158" s="1">
        <v>1.0</v>
      </c>
      <c r="AZ2158" s="1">
        <v>119.99</v>
      </c>
      <c r="BB2158" s="1">
        <v>119.99</v>
      </c>
    </row>
    <row r="2159">
      <c r="A2159" s="1" t="s">
        <v>135</v>
      </c>
      <c r="C2159" s="1" t="s">
        <v>56</v>
      </c>
      <c r="D2159" s="1" t="s">
        <v>3329</v>
      </c>
      <c r="Y2159" s="2">
        <v>45512.0</v>
      </c>
      <c r="AE2159" s="1">
        <v>89.99</v>
      </c>
      <c r="AG2159" s="3" t="str">
        <f t="shared" ref="AG2159:AG2160" si="84">"2000006146750911"</f>
        <v>2000006146750911</v>
      </c>
      <c r="AH2159" s="1" t="s">
        <v>58</v>
      </c>
      <c r="AI2159" s="1" t="s">
        <v>59</v>
      </c>
      <c r="AJ2159" s="1" t="s">
        <v>59</v>
      </c>
      <c r="AK2159" s="1" t="s">
        <v>60</v>
      </c>
      <c r="AL2159" s="1" t="s">
        <v>60</v>
      </c>
      <c r="AW2159" s="1" t="s">
        <v>137</v>
      </c>
      <c r="AY2159" s="1">
        <v>1.0</v>
      </c>
      <c r="AZ2159" s="1">
        <v>89.99</v>
      </c>
      <c r="BB2159" s="1">
        <v>89.99</v>
      </c>
    </row>
    <row r="2160">
      <c r="A2160" s="1" t="s">
        <v>691</v>
      </c>
      <c r="C2160" s="1" t="s">
        <v>56</v>
      </c>
      <c r="D2160" s="1" t="s">
        <v>3329</v>
      </c>
      <c r="Y2160" s="2">
        <v>45512.0</v>
      </c>
      <c r="AE2160" s="1">
        <v>129.99</v>
      </c>
      <c r="AG2160" s="3" t="str">
        <f t="shared" si="84"/>
        <v>2000006146750911</v>
      </c>
      <c r="AH2160" s="1" t="s">
        <v>58</v>
      </c>
      <c r="AI2160" s="1" t="s">
        <v>59</v>
      </c>
      <c r="AJ2160" s="1" t="s">
        <v>59</v>
      </c>
      <c r="AK2160" s="1" t="s">
        <v>60</v>
      </c>
      <c r="AL2160" s="1" t="s">
        <v>60</v>
      </c>
      <c r="AW2160" s="1" t="s">
        <v>693</v>
      </c>
      <c r="AY2160" s="1">
        <v>1.0</v>
      </c>
      <c r="AZ2160" s="1">
        <v>129.99</v>
      </c>
      <c r="BB2160" s="1">
        <v>129.99</v>
      </c>
    </row>
    <row r="2161">
      <c r="A2161" s="1" t="s">
        <v>2490</v>
      </c>
      <c r="C2161" s="1" t="s">
        <v>56</v>
      </c>
      <c r="D2161" s="1" t="s">
        <v>2638</v>
      </c>
      <c r="Y2161" s="2">
        <v>45512.0</v>
      </c>
      <c r="AE2161" s="1">
        <v>64.99</v>
      </c>
      <c r="AG2161" s="3" t="str">
        <f>"2000006146740985"</f>
        <v>2000006146740985</v>
      </c>
      <c r="AH2161" s="1" t="s">
        <v>58</v>
      </c>
      <c r="AI2161" s="1" t="s">
        <v>59</v>
      </c>
      <c r="AJ2161" s="1" t="s">
        <v>59</v>
      </c>
      <c r="AK2161" s="1" t="s">
        <v>60</v>
      </c>
      <c r="AL2161" s="1" t="s">
        <v>60</v>
      </c>
      <c r="AW2161" s="1" t="s">
        <v>2492</v>
      </c>
      <c r="AY2161" s="1">
        <v>1.0</v>
      </c>
      <c r="AZ2161" s="1">
        <v>64.99</v>
      </c>
      <c r="BB2161" s="1">
        <v>64.99</v>
      </c>
    </row>
    <row r="2162">
      <c r="A2162" s="1" t="s">
        <v>307</v>
      </c>
      <c r="C2162" s="1" t="s">
        <v>56</v>
      </c>
      <c r="D2162" s="1" t="s">
        <v>3330</v>
      </c>
      <c r="Y2162" s="2">
        <v>45512.0</v>
      </c>
      <c r="AE2162" s="1">
        <v>64.99</v>
      </c>
      <c r="AG2162" s="3" t="str">
        <f>"2000006146724859"</f>
        <v>2000006146724859</v>
      </c>
      <c r="AH2162" s="1" t="s">
        <v>58</v>
      </c>
      <c r="AI2162" s="1" t="s">
        <v>59</v>
      </c>
      <c r="AJ2162" s="1" t="s">
        <v>59</v>
      </c>
      <c r="AK2162" s="1" t="s">
        <v>60</v>
      </c>
      <c r="AL2162" s="1" t="s">
        <v>60</v>
      </c>
      <c r="AW2162" s="1" t="s">
        <v>309</v>
      </c>
      <c r="AY2162" s="1">
        <v>1.0</v>
      </c>
      <c r="AZ2162" s="1">
        <v>64.99</v>
      </c>
      <c r="BB2162" s="1">
        <v>64.99</v>
      </c>
    </row>
    <row r="2163">
      <c r="A2163" s="1" t="s">
        <v>3228</v>
      </c>
      <c r="C2163" s="1" t="s">
        <v>56</v>
      </c>
      <c r="D2163" s="1" t="s">
        <v>3331</v>
      </c>
      <c r="Y2163" s="2">
        <v>45512.0</v>
      </c>
      <c r="AE2163" s="1">
        <v>169.99</v>
      </c>
      <c r="AG2163" s="3" t="str">
        <f>"2000006146722883"</f>
        <v>2000006146722883</v>
      </c>
      <c r="AH2163" s="1" t="s">
        <v>58</v>
      </c>
      <c r="AI2163" s="1" t="s">
        <v>59</v>
      </c>
      <c r="AJ2163" s="1" t="s">
        <v>59</v>
      </c>
      <c r="AK2163" s="1" t="s">
        <v>60</v>
      </c>
      <c r="AL2163" s="1" t="s">
        <v>60</v>
      </c>
      <c r="AW2163" s="1" t="s">
        <v>3230</v>
      </c>
      <c r="AY2163" s="1">
        <v>1.0</v>
      </c>
      <c r="AZ2163" s="1">
        <v>169.99</v>
      </c>
      <c r="BB2163" s="1">
        <v>169.99</v>
      </c>
    </row>
    <row r="2164">
      <c r="A2164" s="1" t="s">
        <v>3332</v>
      </c>
      <c r="C2164" s="1" t="s">
        <v>56</v>
      </c>
      <c r="D2164" s="1" t="s">
        <v>3333</v>
      </c>
      <c r="Y2164" s="2">
        <v>45512.0</v>
      </c>
      <c r="AE2164" s="1">
        <v>39.99</v>
      </c>
      <c r="AG2164" s="3" t="str">
        <f>"2000006146350857"</f>
        <v>2000006146350857</v>
      </c>
      <c r="AH2164" s="1" t="s">
        <v>58</v>
      </c>
      <c r="AI2164" s="1" t="s">
        <v>59</v>
      </c>
      <c r="AJ2164" s="1" t="s">
        <v>59</v>
      </c>
      <c r="AK2164" s="1" t="s">
        <v>60</v>
      </c>
      <c r="AL2164" s="1" t="s">
        <v>60</v>
      </c>
      <c r="AW2164" s="1" t="s">
        <v>673</v>
      </c>
      <c r="AY2164" s="1">
        <v>1.0</v>
      </c>
      <c r="AZ2164" s="1">
        <v>39.99</v>
      </c>
      <c r="BB2164" s="1">
        <v>39.99</v>
      </c>
    </row>
    <row r="2165">
      <c r="A2165" s="1" t="s">
        <v>3049</v>
      </c>
      <c r="C2165" s="1" t="s">
        <v>56</v>
      </c>
      <c r="D2165" s="1" t="s">
        <v>3334</v>
      </c>
      <c r="Y2165" s="2">
        <v>45512.0</v>
      </c>
      <c r="AE2165" s="1">
        <v>79.99</v>
      </c>
      <c r="AG2165" s="3" t="str">
        <f>"2000006146598409"</f>
        <v>2000006146598409</v>
      </c>
      <c r="AH2165" s="1" t="s">
        <v>58</v>
      </c>
      <c r="AI2165" s="1" t="s">
        <v>59</v>
      </c>
      <c r="AJ2165" s="1" t="s">
        <v>59</v>
      </c>
      <c r="AK2165" s="1" t="s">
        <v>60</v>
      </c>
      <c r="AL2165" s="1" t="s">
        <v>60</v>
      </c>
      <c r="AW2165" s="1" t="s">
        <v>3051</v>
      </c>
      <c r="AY2165" s="1">
        <v>1.0</v>
      </c>
      <c r="AZ2165" s="1">
        <v>79.99</v>
      </c>
      <c r="BB2165" s="1">
        <v>79.99</v>
      </c>
    </row>
    <row r="2166">
      <c r="A2166" s="1" t="s">
        <v>3335</v>
      </c>
      <c r="C2166" s="1" t="s">
        <v>235</v>
      </c>
      <c r="D2166" s="1" t="s">
        <v>3336</v>
      </c>
      <c r="Y2166" s="2">
        <v>45512.0</v>
      </c>
      <c r="AE2166" s="1">
        <v>159.98</v>
      </c>
      <c r="AG2166" s="3" t="str">
        <f>"2000006146586995"</f>
        <v>2000006146586995</v>
      </c>
      <c r="AH2166" s="1" t="s">
        <v>58</v>
      </c>
      <c r="AI2166" s="1" t="s">
        <v>59</v>
      </c>
      <c r="AJ2166" s="1" t="s">
        <v>59</v>
      </c>
      <c r="AK2166" s="1" t="s">
        <v>60</v>
      </c>
      <c r="AL2166" s="1" t="s">
        <v>60</v>
      </c>
      <c r="AW2166" s="1" t="s">
        <v>3337</v>
      </c>
      <c r="AY2166" s="1">
        <v>2.0</v>
      </c>
      <c r="AZ2166" s="1">
        <v>79.99</v>
      </c>
      <c r="BB2166" s="1">
        <v>159.98</v>
      </c>
    </row>
    <row r="2167">
      <c r="A2167" s="1" t="s">
        <v>872</v>
      </c>
      <c r="C2167" s="1" t="s">
        <v>235</v>
      </c>
      <c r="D2167" s="1" t="s">
        <v>3338</v>
      </c>
      <c r="Y2167" s="2">
        <v>45512.0</v>
      </c>
      <c r="AE2167" s="1">
        <v>249.99</v>
      </c>
      <c r="AG2167" s="3" t="str">
        <f>"2000008984082864"</f>
        <v>2000008984082864</v>
      </c>
      <c r="AH2167" s="1" t="s">
        <v>58</v>
      </c>
      <c r="AI2167" s="1" t="s">
        <v>59</v>
      </c>
      <c r="AJ2167" s="1" t="s">
        <v>59</v>
      </c>
      <c r="AK2167" s="1" t="s">
        <v>60</v>
      </c>
      <c r="AL2167" s="1" t="s">
        <v>60</v>
      </c>
      <c r="AW2167" s="1" t="s">
        <v>874</v>
      </c>
      <c r="AY2167" s="1">
        <v>1.0</v>
      </c>
      <c r="AZ2167" s="1">
        <v>249.99</v>
      </c>
      <c r="BB2167" s="1">
        <v>249.99</v>
      </c>
    </row>
    <row r="2168">
      <c r="A2168" s="1" t="s">
        <v>175</v>
      </c>
      <c r="C2168" s="1" t="s">
        <v>56</v>
      </c>
      <c r="D2168" s="1" t="s">
        <v>3339</v>
      </c>
      <c r="Y2168" s="2">
        <v>45512.0</v>
      </c>
      <c r="AE2168" s="1">
        <v>199.99</v>
      </c>
      <c r="AG2168" s="3" t="str">
        <f>"2000008984028944"</f>
        <v>2000008984028944</v>
      </c>
      <c r="AH2168" s="1" t="s">
        <v>58</v>
      </c>
      <c r="AI2168" s="1" t="s">
        <v>59</v>
      </c>
      <c r="AJ2168" s="1" t="s">
        <v>59</v>
      </c>
      <c r="AK2168" s="1" t="s">
        <v>60</v>
      </c>
      <c r="AL2168" s="1" t="s">
        <v>60</v>
      </c>
      <c r="AW2168" s="1" t="s">
        <v>177</v>
      </c>
      <c r="AY2168" s="1">
        <v>1.0</v>
      </c>
      <c r="AZ2168" s="1">
        <v>199.99</v>
      </c>
      <c r="BB2168" s="1">
        <v>199.99</v>
      </c>
    </row>
    <row r="2169">
      <c r="A2169" s="1" t="s">
        <v>3340</v>
      </c>
      <c r="C2169" s="1" t="s">
        <v>56</v>
      </c>
      <c r="D2169" s="1" t="s">
        <v>3341</v>
      </c>
      <c r="Y2169" s="2">
        <v>45512.0</v>
      </c>
      <c r="AE2169" s="1">
        <v>89.99</v>
      </c>
      <c r="AG2169" s="3" t="str">
        <f>"2000006146480879"</f>
        <v>2000006146480879</v>
      </c>
      <c r="AH2169" s="1" t="s">
        <v>58</v>
      </c>
      <c r="AI2169" s="1" t="s">
        <v>59</v>
      </c>
      <c r="AJ2169" s="1" t="s">
        <v>59</v>
      </c>
      <c r="AK2169" s="1" t="s">
        <v>60</v>
      </c>
      <c r="AL2169" s="1" t="s">
        <v>60</v>
      </c>
      <c r="AW2169" s="1" t="s">
        <v>3342</v>
      </c>
      <c r="AY2169" s="1">
        <v>1.0</v>
      </c>
      <c r="AZ2169" s="1">
        <v>89.99</v>
      </c>
      <c r="BB2169" s="1">
        <v>89.99</v>
      </c>
    </row>
    <row r="2170">
      <c r="A2170" s="1" t="s">
        <v>2784</v>
      </c>
      <c r="C2170" s="1" t="s">
        <v>56</v>
      </c>
      <c r="D2170" s="1" t="s">
        <v>3343</v>
      </c>
      <c r="Y2170" s="2">
        <v>45512.0</v>
      </c>
      <c r="AE2170" s="1">
        <v>39.99</v>
      </c>
      <c r="AG2170" s="3" t="str">
        <f>"2000006146447279"</f>
        <v>2000006146447279</v>
      </c>
      <c r="AH2170" s="1" t="s">
        <v>58</v>
      </c>
      <c r="AI2170" s="1" t="s">
        <v>59</v>
      </c>
      <c r="AJ2170" s="1" t="s">
        <v>59</v>
      </c>
      <c r="AK2170" s="1" t="s">
        <v>60</v>
      </c>
      <c r="AL2170" s="1" t="s">
        <v>60</v>
      </c>
      <c r="AW2170" s="1" t="s">
        <v>1529</v>
      </c>
      <c r="AY2170" s="1">
        <v>1.0</v>
      </c>
      <c r="AZ2170" s="1">
        <v>39.99</v>
      </c>
      <c r="BB2170" s="1">
        <v>39.99</v>
      </c>
    </row>
    <row r="2171">
      <c r="A2171" s="1" t="s">
        <v>2195</v>
      </c>
      <c r="C2171" s="1" t="s">
        <v>235</v>
      </c>
      <c r="D2171" s="1" t="s">
        <v>3344</v>
      </c>
      <c r="Y2171" s="2">
        <v>45512.0</v>
      </c>
      <c r="AE2171" s="1">
        <v>44.99</v>
      </c>
      <c r="AG2171" s="3" t="str">
        <f>"2000006146441455"</f>
        <v>2000006146441455</v>
      </c>
      <c r="AH2171" s="1" t="s">
        <v>58</v>
      </c>
      <c r="AI2171" s="1" t="s">
        <v>59</v>
      </c>
      <c r="AJ2171" s="1" t="s">
        <v>59</v>
      </c>
      <c r="AK2171" s="1" t="s">
        <v>60</v>
      </c>
      <c r="AL2171" s="1" t="s">
        <v>60</v>
      </c>
      <c r="AW2171" s="1" t="s">
        <v>2197</v>
      </c>
      <c r="AY2171" s="1">
        <v>1.0</v>
      </c>
      <c r="AZ2171" s="1">
        <v>44.99</v>
      </c>
      <c r="BB2171" s="1">
        <v>44.99</v>
      </c>
    </row>
    <row r="2172">
      <c r="A2172" s="1" t="s">
        <v>2195</v>
      </c>
      <c r="C2172" s="1" t="s">
        <v>235</v>
      </c>
      <c r="D2172" s="1" t="s">
        <v>3344</v>
      </c>
      <c r="Y2172" s="2">
        <v>45512.0</v>
      </c>
      <c r="AE2172" s="1">
        <v>314.93</v>
      </c>
      <c r="AG2172" s="3" t="str">
        <f>"2000006146441457"</f>
        <v>2000006146441457</v>
      </c>
      <c r="AH2172" s="1" t="s">
        <v>58</v>
      </c>
      <c r="AI2172" s="1" t="s">
        <v>59</v>
      </c>
      <c r="AJ2172" s="1" t="s">
        <v>59</v>
      </c>
      <c r="AK2172" s="1" t="s">
        <v>60</v>
      </c>
      <c r="AL2172" s="1" t="s">
        <v>60</v>
      </c>
      <c r="AW2172" s="1" t="s">
        <v>2197</v>
      </c>
      <c r="AY2172" s="1">
        <v>7.0</v>
      </c>
      <c r="AZ2172" s="1">
        <v>44.99</v>
      </c>
      <c r="BB2172" s="1">
        <v>314.93</v>
      </c>
    </row>
    <row r="2173">
      <c r="A2173" s="1" t="s">
        <v>3345</v>
      </c>
      <c r="C2173" s="1" t="s">
        <v>56</v>
      </c>
      <c r="D2173" s="1" t="s">
        <v>3346</v>
      </c>
      <c r="Y2173" s="2">
        <v>45512.0</v>
      </c>
      <c r="AE2173" s="1">
        <v>54.99</v>
      </c>
      <c r="AG2173" s="3" t="str">
        <f>"2000006146409919"</f>
        <v>2000006146409919</v>
      </c>
      <c r="AH2173" s="1" t="s">
        <v>58</v>
      </c>
      <c r="AI2173" s="1" t="s">
        <v>59</v>
      </c>
      <c r="AJ2173" s="1" t="s">
        <v>59</v>
      </c>
      <c r="AK2173" s="1" t="s">
        <v>60</v>
      </c>
      <c r="AL2173" s="1" t="s">
        <v>60</v>
      </c>
      <c r="AW2173" s="1" t="s">
        <v>3347</v>
      </c>
      <c r="AY2173" s="1">
        <v>1.0</v>
      </c>
      <c r="AZ2173" s="1">
        <v>54.99</v>
      </c>
      <c r="BB2173" s="1">
        <v>54.99</v>
      </c>
    </row>
    <row r="2174">
      <c r="A2174" s="1" t="s">
        <v>1253</v>
      </c>
      <c r="C2174" s="1" t="s">
        <v>56</v>
      </c>
      <c r="D2174" s="1" t="s">
        <v>1549</v>
      </c>
      <c r="Y2174" s="2">
        <v>45512.0</v>
      </c>
      <c r="AE2174" s="1">
        <v>139.98</v>
      </c>
      <c r="AG2174" s="3" t="str">
        <f>"2000006146391719"</f>
        <v>2000006146391719</v>
      </c>
      <c r="AH2174" s="1" t="s">
        <v>58</v>
      </c>
      <c r="AI2174" s="1" t="s">
        <v>59</v>
      </c>
      <c r="AJ2174" s="1" t="s">
        <v>59</v>
      </c>
      <c r="AK2174" s="1" t="s">
        <v>60</v>
      </c>
      <c r="AL2174" s="1" t="s">
        <v>60</v>
      </c>
      <c r="AW2174" s="1" t="s">
        <v>1254</v>
      </c>
      <c r="AY2174" s="1">
        <v>2.0</v>
      </c>
      <c r="AZ2174" s="1">
        <v>69.99</v>
      </c>
      <c r="BB2174" s="1">
        <v>139.98</v>
      </c>
    </row>
    <row r="2175">
      <c r="A2175" s="1" t="s">
        <v>633</v>
      </c>
      <c r="C2175" s="1" t="s">
        <v>56</v>
      </c>
      <c r="D2175" s="1" t="s">
        <v>3348</v>
      </c>
      <c r="Y2175" s="2">
        <v>45512.0</v>
      </c>
      <c r="AE2175" s="1">
        <v>69.99</v>
      </c>
      <c r="AG2175" s="3" t="str">
        <f>"2000006146350929"</f>
        <v>2000006146350929</v>
      </c>
      <c r="AH2175" s="1" t="s">
        <v>58</v>
      </c>
      <c r="AI2175" s="1" t="s">
        <v>59</v>
      </c>
      <c r="AJ2175" s="1" t="s">
        <v>59</v>
      </c>
      <c r="AK2175" s="1" t="s">
        <v>60</v>
      </c>
      <c r="AL2175" s="1" t="s">
        <v>60</v>
      </c>
      <c r="AW2175" s="1" t="s">
        <v>635</v>
      </c>
      <c r="AY2175" s="1">
        <v>1.0</v>
      </c>
      <c r="AZ2175" s="1">
        <v>69.99</v>
      </c>
      <c r="BB2175" s="1">
        <v>69.99</v>
      </c>
    </row>
    <row r="2176">
      <c r="A2176" s="1" t="s">
        <v>3349</v>
      </c>
      <c r="C2176" s="1" t="s">
        <v>56</v>
      </c>
      <c r="D2176" s="1" t="s">
        <v>3350</v>
      </c>
      <c r="Y2176" s="2">
        <v>45512.0</v>
      </c>
      <c r="AE2176" s="1">
        <v>189.99</v>
      </c>
      <c r="AG2176" s="3" t="str">
        <f>"2000006146329913"</f>
        <v>2000006146329913</v>
      </c>
      <c r="AH2176" s="1" t="s">
        <v>58</v>
      </c>
      <c r="AI2176" s="1" t="s">
        <v>59</v>
      </c>
      <c r="AJ2176" s="1" t="s">
        <v>59</v>
      </c>
      <c r="AK2176" s="1" t="s">
        <v>60</v>
      </c>
      <c r="AL2176" s="1" t="s">
        <v>60</v>
      </c>
      <c r="AW2176" s="1" t="s">
        <v>1955</v>
      </c>
      <c r="AY2176" s="1">
        <v>1.0</v>
      </c>
      <c r="AZ2176" s="1">
        <v>189.99</v>
      </c>
      <c r="BB2176" s="1">
        <v>189.99</v>
      </c>
    </row>
    <row r="2177">
      <c r="A2177" s="1" t="s">
        <v>615</v>
      </c>
      <c r="C2177" s="1" t="s">
        <v>56</v>
      </c>
      <c r="D2177" s="1" t="s">
        <v>3351</v>
      </c>
      <c r="Y2177" s="2">
        <v>45512.0</v>
      </c>
      <c r="AE2177" s="1">
        <v>199.98</v>
      </c>
      <c r="AG2177" s="3" t="str">
        <f>"2000006146313645"</f>
        <v>2000006146313645</v>
      </c>
      <c r="AH2177" s="1" t="s">
        <v>58</v>
      </c>
      <c r="AI2177" s="1" t="s">
        <v>59</v>
      </c>
      <c r="AJ2177" s="1" t="s">
        <v>59</v>
      </c>
      <c r="AK2177" s="1" t="s">
        <v>60</v>
      </c>
      <c r="AL2177" s="1" t="s">
        <v>60</v>
      </c>
      <c r="AW2177" s="1" t="s">
        <v>617</v>
      </c>
      <c r="AY2177" s="1">
        <v>2.0</v>
      </c>
      <c r="AZ2177" s="1">
        <v>99.99</v>
      </c>
      <c r="BB2177" s="1">
        <v>199.98</v>
      </c>
    </row>
    <row r="2178">
      <c r="A2178" s="1" t="s">
        <v>420</v>
      </c>
      <c r="C2178" s="1" t="s">
        <v>56</v>
      </c>
      <c r="D2178" s="1" t="s">
        <v>3352</v>
      </c>
      <c r="Y2178" s="2">
        <v>45512.0</v>
      </c>
      <c r="AE2178" s="1">
        <v>1159.98</v>
      </c>
      <c r="AG2178" s="3" t="str">
        <f>"2000006146293913"</f>
        <v>2000006146293913</v>
      </c>
      <c r="AH2178" s="1" t="s">
        <v>58</v>
      </c>
      <c r="AI2178" s="1" t="s">
        <v>59</v>
      </c>
      <c r="AJ2178" s="1" t="s">
        <v>59</v>
      </c>
      <c r="AK2178" s="1" t="s">
        <v>60</v>
      </c>
      <c r="AL2178" s="1" t="s">
        <v>60</v>
      </c>
      <c r="AW2178" s="1" t="s">
        <v>422</v>
      </c>
      <c r="AY2178" s="1">
        <v>2.0</v>
      </c>
      <c r="AZ2178" s="1">
        <v>579.99</v>
      </c>
      <c r="BB2178" s="1">
        <v>1159.98</v>
      </c>
    </row>
    <row r="2179">
      <c r="A2179" s="1" t="s">
        <v>2688</v>
      </c>
      <c r="C2179" s="1" t="s">
        <v>235</v>
      </c>
      <c r="D2179" s="1" t="s">
        <v>3353</v>
      </c>
      <c r="Y2179" s="2">
        <v>45512.0</v>
      </c>
      <c r="AE2179" s="1">
        <v>49.99</v>
      </c>
      <c r="AG2179" s="3" t="str">
        <f>"2000006146249347"</f>
        <v>2000006146249347</v>
      </c>
      <c r="AH2179" s="1" t="s">
        <v>58</v>
      </c>
      <c r="AI2179" s="1" t="s">
        <v>59</v>
      </c>
      <c r="AJ2179" s="1" t="s">
        <v>59</v>
      </c>
      <c r="AK2179" s="1" t="s">
        <v>60</v>
      </c>
      <c r="AL2179" s="1" t="s">
        <v>60</v>
      </c>
      <c r="AW2179" s="1" t="s">
        <v>2690</v>
      </c>
      <c r="AY2179" s="1">
        <v>1.0</v>
      </c>
      <c r="AZ2179" s="1">
        <v>49.99</v>
      </c>
      <c r="BB2179" s="1">
        <v>49.99</v>
      </c>
    </row>
    <row r="2180">
      <c r="A2180" s="1" t="s">
        <v>933</v>
      </c>
      <c r="C2180" s="1" t="s">
        <v>56</v>
      </c>
      <c r="D2180" s="1" t="s">
        <v>3354</v>
      </c>
      <c r="Y2180" s="2">
        <v>45512.0</v>
      </c>
      <c r="AE2180" s="1">
        <v>79.99</v>
      </c>
      <c r="AG2180" s="3" t="str">
        <f>"2000008983445804"</f>
        <v>2000008983445804</v>
      </c>
      <c r="AH2180" s="1" t="s">
        <v>58</v>
      </c>
      <c r="AI2180" s="1" t="s">
        <v>59</v>
      </c>
      <c r="AJ2180" s="1" t="s">
        <v>59</v>
      </c>
      <c r="AK2180" s="1" t="s">
        <v>60</v>
      </c>
      <c r="AL2180" s="1" t="s">
        <v>60</v>
      </c>
      <c r="AW2180" s="1" t="s">
        <v>935</v>
      </c>
      <c r="AY2180" s="1">
        <v>1.0</v>
      </c>
      <c r="AZ2180" s="1">
        <v>79.99</v>
      </c>
      <c r="BB2180" s="1">
        <v>79.99</v>
      </c>
    </row>
    <row r="2181">
      <c r="A2181" s="1" t="s">
        <v>633</v>
      </c>
      <c r="C2181" s="1" t="s">
        <v>56</v>
      </c>
      <c r="D2181" s="1" t="s">
        <v>3355</v>
      </c>
      <c r="Y2181" s="2">
        <v>45512.0</v>
      </c>
      <c r="AE2181" s="1">
        <v>69.99</v>
      </c>
      <c r="AG2181" s="3" t="str">
        <f>"2000006146199497"</f>
        <v>2000006146199497</v>
      </c>
      <c r="AH2181" s="1" t="s">
        <v>58</v>
      </c>
      <c r="AI2181" s="1" t="s">
        <v>59</v>
      </c>
      <c r="AJ2181" s="1" t="s">
        <v>59</v>
      </c>
      <c r="AK2181" s="1" t="s">
        <v>60</v>
      </c>
      <c r="AL2181" s="1" t="s">
        <v>60</v>
      </c>
      <c r="AW2181" s="1" t="s">
        <v>635</v>
      </c>
      <c r="AY2181" s="1">
        <v>1.0</v>
      </c>
      <c r="AZ2181" s="1">
        <v>69.99</v>
      </c>
      <c r="BB2181" s="1">
        <v>69.99</v>
      </c>
    </row>
    <row r="2182">
      <c r="A2182" s="1" t="s">
        <v>575</v>
      </c>
      <c r="C2182" s="1" t="s">
        <v>56</v>
      </c>
      <c r="D2182" s="1" t="s">
        <v>3356</v>
      </c>
      <c r="Y2182" s="2">
        <v>45512.0</v>
      </c>
      <c r="AE2182" s="1">
        <v>49.99</v>
      </c>
      <c r="AG2182" s="3" t="str">
        <f>"2000006146195801"</f>
        <v>2000006146195801</v>
      </c>
      <c r="AH2182" s="1" t="s">
        <v>58</v>
      </c>
      <c r="AI2182" s="1" t="s">
        <v>59</v>
      </c>
      <c r="AJ2182" s="1" t="s">
        <v>59</v>
      </c>
      <c r="AK2182" s="1" t="s">
        <v>60</v>
      </c>
      <c r="AL2182" s="1" t="s">
        <v>60</v>
      </c>
      <c r="AW2182" s="1" t="s">
        <v>97</v>
      </c>
      <c r="AY2182" s="1">
        <v>1.0</v>
      </c>
      <c r="AZ2182" s="1">
        <v>49.99</v>
      </c>
      <c r="BB2182" s="1">
        <v>49.99</v>
      </c>
    </row>
    <row r="2183">
      <c r="A2183" s="1" t="s">
        <v>529</v>
      </c>
      <c r="C2183" s="1" t="s">
        <v>56</v>
      </c>
      <c r="D2183" s="1" t="s">
        <v>3357</v>
      </c>
      <c r="Y2183" s="2">
        <v>45512.0</v>
      </c>
      <c r="AE2183" s="1">
        <v>54.99</v>
      </c>
      <c r="AG2183" s="3" t="str">
        <f>"2000008983416102"</f>
        <v>2000008983416102</v>
      </c>
      <c r="AH2183" s="1" t="s">
        <v>58</v>
      </c>
      <c r="AI2183" s="1" t="s">
        <v>59</v>
      </c>
      <c r="AJ2183" s="1" t="s">
        <v>59</v>
      </c>
      <c r="AK2183" s="1" t="s">
        <v>60</v>
      </c>
      <c r="AL2183" s="1" t="s">
        <v>60</v>
      </c>
      <c r="AW2183" s="1" t="s">
        <v>110</v>
      </c>
      <c r="AY2183" s="1">
        <v>1.0</v>
      </c>
      <c r="AZ2183" s="1">
        <v>54.99</v>
      </c>
      <c r="BB2183" s="1">
        <v>54.99</v>
      </c>
    </row>
    <row r="2184">
      <c r="A2184" s="1" t="s">
        <v>639</v>
      </c>
      <c r="C2184" s="1" t="s">
        <v>56</v>
      </c>
      <c r="D2184" s="1" t="s">
        <v>3358</v>
      </c>
      <c r="Y2184" s="2">
        <v>45512.0</v>
      </c>
      <c r="AE2184" s="1">
        <v>289.99</v>
      </c>
      <c r="AG2184" s="3" t="str">
        <f>"2000006146180571"</f>
        <v>2000006146180571</v>
      </c>
      <c r="AH2184" s="1" t="s">
        <v>58</v>
      </c>
      <c r="AI2184" s="1" t="s">
        <v>59</v>
      </c>
      <c r="AJ2184" s="1" t="s">
        <v>59</v>
      </c>
      <c r="AK2184" s="1" t="s">
        <v>60</v>
      </c>
      <c r="AL2184" s="1" t="s">
        <v>60</v>
      </c>
      <c r="AW2184" s="1" t="s">
        <v>641</v>
      </c>
      <c r="AY2184" s="1">
        <v>1.0</v>
      </c>
      <c r="AZ2184" s="1">
        <v>289.99</v>
      </c>
      <c r="BB2184" s="1">
        <v>289.99</v>
      </c>
    </row>
    <row r="2185">
      <c r="A2185" s="1" t="s">
        <v>950</v>
      </c>
      <c r="C2185" s="1" t="s">
        <v>56</v>
      </c>
      <c r="D2185" s="1" t="s">
        <v>3359</v>
      </c>
      <c r="Y2185" s="2">
        <v>45512.0</v>
      </c>
      <c r="AE2185" s="1">
        <v>239.98</v>
      </c>
      <c r="AG2185" s="3" t="str">
        <f>"2000006146076485"</f>
        <v>2000006146076485</v>
      </c>
      <c r="AH2185" s="1" t="s">
        <v>58</v>
      </c>
      <c r="AI2185" s="1" t="s">
        <v>59</v>
      </c>
      <c r="AJ2185" s="1" t="s">
        <v>59</v>
      </c>
      <c r="AK2185" s="1" t="s">
        <v>60</v>
      </c>
      <c r="AL2185" s="1" t="s">
        <v>60</v>
      </c>
      <c r="AW2185" s="1" t="s">
        <v>952</v>
      </c>
      <c r="AY2185" s="1">
        <v>2.0</v>
      </c>
      <c r="AZ2185" s="1">
        <v>119.99</v>
      </c>
      <c r="BB2185" s="1">
        <v>239.98</v>
      </c>
    </row>
    <row r="2186">
      <c r="A2186" s="1" t="s">
        <v>135</v>
      </c>
      <c r="C2186" s="1" t="s">
        <v>56</v>
      </c>
      <c r="D2186" s="1" t="s">
        <v>3360</v>
      </c>
      <c r="Y2186" s="2">
        <v>45512.0</v>
      </c>
      <c r="AE2186" s="1">
        <v>89.99</v>
      </c>
      <c r="AG2186" s="3" t="str">
        <f>"2000006146020665"</f>
        <v>2000006146020665</v>
      </c>
      <c r="AH2186" s="1" t="s">
        <v>58</v>
      </c>
      <c r="AI2186" s="1" t="s">
        <v>59</v>
      </c>
      <c r="AJ2186" s="1" t="s">
        <v>59</v>
      </c>
      <c r="AK2186" s="1" t="s">
        <v>60</v>
      </c>
      <c r="AL2186" s="1" t="s">
        <v>60</v>
      </c>
      <c r="AW2186" s="1" t="s">
        <v>137</v>
      </c>
      <c r="AY2186" s="1">
        <v>1.0</v>
      </c>
      <c r="AZ2186" s="1">
        <v>89.99</v>
      </c>
      <c r="BB2186" s="1">
        <v>89.99</v>
      </c>
    </row>
    <row r="2187">
      <c r="A2187" s="1" t="s">
        <v>2490</v>
      </c>
      <c r="C2187" s="1" t="s">
        <v>56</v>
      </c>
      <c r="D2187" s="1" t="s">
        <v>3361</v>
      </c>
      <c r="Y2187" s="2">
        <v>45512.0</v>
      </c>
      <c r="AE2187" s="1">
        <v>64.99</v>
      </c>
      <c r="AG2187" s="3" t="str">
        <f>"2000006146027575"</f>
        <v>2000006146027575</v>
      </c>
      <c r="AH2187" s="1" t="s">
        <v>58</v>
      </c>
      <c r="AI2187" s="1" t="s">
        <v>59</v>
      </c>
      <c r="AJ2187" s="1" t="s">
        <v>59</v>
      </c>
      <c r="AK2187" s="1" t="s">
        <v>60</v>
      </c>
      <c r="AL2187" s="1" t="s">
        <v>60</v>
      </c>
      <c r="AW2187" s="1" t="s">
        <v>2492</v>
      </c>
      <c r="AY2187" s="1">
        <v>1.0</v>
      </c>
      <c r="AZ2187" s="1">
        <v>64.99</v>
      </c>
      <c r="BB2187" s="1">
        <v>64.99</v>
      </c>
    </row>
    <row r="2188">
      <c r="A2188" s="1" t="s">
        <v>900</v>
      </c>
      <c r="C2188" s="1" t="s">
        <v>56</v>
      </c>
      <c r="D2188" s="1" t="s">
        <v>3362</v>
      </c>
      <c r="Y2188" s="2">
        <v>45512.0</v>
      </c>
      <c r="AE2188" s="1">
        <v>89.99</v>
      </c>
      <c r="AG2188" s="3" t="str">
        <f>"2000006146013457"</f>
        <v>2000006146013457</v>
      </c>
      <c r="AH2188" s="1" t="s">
        <v>58</v>
      </c>
      <c r="AI2188" s="1" t="s">
        <v>59</v>
      </c>
      <c r="AJ2188" s="1" t="s">
        <v>59</v>
      </c>
      <c r="AK2188" s="1" t="s">
        <v>60</v>
      </c>
      <c r="AL2188" s="1" t="s">
        <v>60</v>
      </c>
      <c r="AW2188" s="1" t="s">
        <v>902</v>
      </c>
      <c r="AY2188" s="1">
        <v>1.0</v>
      </c>
      <c r="AZ2188" s="1">
        <v>89.99</v>
      </c>
      <c r="BB2188" s="1">
        <v>89.99</v>
      </c>
    </row>
    <row r="2189">
      <c r="A2189" s="1" t="s">
        <v>3363</v>
      </c>
      <c r="C2189" s="1" t="s">
        <v>56</v>
      </c>
      <c r="D2189" s="1" t="s">
        <v>3364</v>
      </c>
      <c r="Y2189" s="2">
        <v>45512.0</v>
      </c>
      <c r="AE2189" s="1">
        <v>69.99</v>
      </c>
      <c r="AG2189" s="3" t="str">
        <f>"2000006146005947"</f>
        <v>2000006146005947</v>
      </c>
      <c r="AH2189" s="1" t="s">
        <v>58</v>
      </c>
      <c r="AI2189" s="1" t="s">
        <v>59</v>
      </c>
      <c r="AJ2189" s="1" t="s">
        <v>59</v>
      </c>
      <c r="AK2189" s="1" t="s">
        <v>60</v>
      </c>
      <c r="AL2189" s="1" t="s">
        <v>60</v>
      </c>
      <c r="AW2189" s="1" t="s">
        <v>3365</v>
      </c>
      <c r="AY2189" s="1">
        <v>1.0</v>
      </c>
      <c r="AZ2189" s="1">
        <v>69.99</v>
      </c>
      <c r="BB2189" s="1">
        <v>69.99</v>
      </c>
    </row>
    <row r="2190">
      <c r="A2190" s="1" t="s">
        <v>819</v>
      </c>
      <c r="C2190" s="1" t="s">
        <v>56</v>
      </c>
      <c r="D2190" s="1" t="s">
        <v>3366</v>
      </c>
      <c r="Y2190" s="2">
        <v>45512.0</v>
      </c>
      <c r="AE2190" s="1">
        <v>449.99</v>
      </c>
      <c r="AG2190" s="3" t="str">
        <f>"2000008982925732"</f>
        <v>2000008982925732</v>
      </c>
      <c r="AH2190" s="1" t="s">
        <v>58</v>
      </c>
      <c r="AI2190" s="1" t="s">
        <v>59</v>
      </c>
      <c r="AJ2190" s="1" t="s">
        <v>59</v>
      </c>
      <c r="AK2190" s="1" t="s">
        <v>60</v>
      </c>
      <c r="AL2190" s="1" t="s">
        <v>60</v>
      </c>
      <c r="AW2190" s="1" t="s">
        <v>821</v>
      </c>
      <c r="AY2190" s="1">
        <v>1.0</v>
      </c>
      <c r="AZ2190" s="1">
        <v>449.99</v>
      </c>
      <c r="BB2190" s="1">
        <v>449.99</v>
      </c>
    </row>
    <row r="2191">
      <c r="A2191" s="1" t="s">
        <v>256</v>
      </c>
      <c r="C2191" s="1" t="s">
        <v>56</v>
      </c>
      <c r="D2191" s="1" t="s">
        <v>3367</v>
      </c>
      <c r="Y2191" s="2">
        <v>45512.0</v>
      </c>
      <c r="AE2191" s="1">
        <v>299.96</v>
      </c>
      <c r="AG2191" s="3" t="str">
        <f>"2000006145893547"</f>
        <v>2000006145893547</v>
      </c>
      <c r="AH2191" s="1" t="s">
        <v>58</v>
      </c>
      <c r="AI2191" s="1" t="s">
        <v>59</v>
      </c>
      <c r="AJ2191" s="1" t="s">
        <v>59</v>
      </c>
      <c r="AK2191" s="1" t="s">
        <v>60</v>
      </c>
      <c r="AL2191" s="1" t="s">
        <v>60</v>
      </c>
      <c r="AW2191" s="1" t="s">
        <v>258</v>
      </c>
      <c r="AY2191" s="1">
        <v>2.0</v>
      </c>
      <c r="AZ2191" s="1">
        <v>149.98</v>
      </c>
      <c r="BB2191" s="1">
        <v>299.96</v>
      </c>
    </row>
    <row r="2192">
      <c r="A2192" s="1" t="s">
        <v>1031</v>
      </c>
      <c r="C2192" s="1" t="s">
        <v>56</v>
      </c>
      <c r="D2192" s="1" t="s">
        <v>3368</v>
      </c>
      <c r="Y2192" s="2">
        <v>45512.0</v>
      </c>
      <c r="AE2192" s="1">
        <v>69.99</v>
      </c>
      <c r="AG2192" s="3" t="str">
        <f>"2000006145816495"</f>
        <v>2000006145816495</v>
      </c>
      <c r="AH2192" s="1" t="s">
        <v>58</v>
      </c>
      <c r="AI2192" s="1" t="s">
        <v>59</v>
      </c>
      <c r="AJ2192" s="1" t="s">
        <v>59</v>
      </c>
      <c r="AK2192" s="1" t="s">
        <v>60</v>
      </c>
      <c r="AL2192" s="1" t="s">
        <v>60</v>
      </c>
      <c r="AW2192" s="1" t="s">
        <v>1033</v>
      </c>
      <c r="AY2192" s="1">
        <v>1.0</v>
      </c>
      <c r="AZ2192" s="1">
        <v>69.99</v>
      </c>
      <c r="BB2192" s="1">
        <v>69.99</v>
      </c>
    </row>
    <row r="2193">
      <c r="A2193" s="1" t="s">
        <v>2269</v>
      </c>
      <c r="C2193" s="1" t="s">
        <v>56</v>
      </c>
      <c r="D2193" s="1" t="s">
        <v>3369</v>
      </c>
      <c r="Y2193" s="2">
        <v>45512.0</v>
      </c>
      <c r="AE2193" s="1">
        <v>49.99</v>
      </c>
      <c r="AG2193" s="3" t="str">
        <f>"2000006145784139"</f>
        <v>2000006145784139</v>
      </c>
      <c r="AH2193" s="1" t="s">
        <v>58</v>
      </c>
      <c r="AI2193" s="1" t="s">
        <v>59</v>
      </c>
      <c r="AJ2193" s="1" t="s">
        <v>59</v>
      </c>
      <c r="AK2193" s="1" t="s">
        <v>60</v>
      </c>
      <c r="AL2193" s="1" t="s">
        <v>60</v>
      </c>
      <c r="AW2193" s="1" t="s">
        <v>1838</v>
      </c>
      <c r="AY2193" s="1">
        <v>1.0</v>
      </c>
      <c r="AZ2193" s="1">
        <v>49.99</v>
      </c>
      <c r="BB2193" s="1">
        <v>49.99</v>
      </c>
    </row>
    <row r="2194">
      <c r="A2194" s="1" t="s">
        <v>3370</v>
      </c>
      <c r="C2194" s="1" t="s">
        <v>56</v>
      </c>
      <c r="D2194" s="1" t="s">
        <v>3371</v>
      </c>
      <c r="Y2194" s="2">
        <v>45512.0</v>
      </c>
      <c r="AE2194" s="1">
        <v>131.98</v>
      </c>
      <c r="AG2194" s="3" t="str">
        <f>"2000006145741827"</f>
        <v>2000006145741827</v>
      </c>
      <c r="AH2194" s="1" t="s">
        <v>58</v>
      </c>
      <c r="AI2194" s="1" t="s">
        <v>59</v>
      </c>
      <c r="AJ2194" s="1" t="s">
        <v>59</v>
      </c>
      <c r="AK2194" s="1" t="s">
        <v>60</v>
      </c>
      <c r="AL2194" s="1" t="s">
        <v>60</v>
      </c>
      <c r="AW2194" s="1" t="s">
        <v>3372</v>
      </c>
      <c r="AY2194" s="1">
        <v>2.0</v>
      </c>
      <c r="AZ2194" s="1">
        <v>65.99</v>
      </c>
      <c r="BB2194" s="1">
        <v>131.98</v>
      </c>
    </row>
    <row r="2195">
      <c r="A2195" s="1" t="s">
        <v>2913</v>
      </c>
      <c r="C2195" s="1" t="s">
        <v>56</v>
      </c>
      <c r="D2195" s="1" t="s">
        <v>3373</v>
      </c>
      <c r="Y2195" s="2">
        <v>45512.0</v>
      </c>
      <c r="AE2195" s="1">
        <v>89.99</v>
      </c>
      <c r="AG2195" s="3" t="str">
        <f>"2000006145735029"</f>
        <v>2000006145735029</v>
      </c>
      <c r="AH2195" s="1" t="s">
        <v>58</v>
      </c>
      <c r="AI2195" s="1" t="s">
        <v>59</v>
      </c>
      <c r="AJ2195" s="1" t="s">
        <v>59</v>
      </c>
      <c r="AK2195" s="1" t="s">
        <v>60</v>
      </c>
      <c r="AL2195" s="1" t="s">
        <v>60</v>
      </c>
      <c r="AW2195" s="1" t="s">
        <v>2915</v>
      </c>
      <c r="AY2195" s="1">
        <v>1.0</v>
      </c>
      <c r="AZ2195" s="1">
        <v>89.99</v>
      </c>
      <c r="BB2195" s="1">
        <v>89.99</v>
      </c>
    </row>
    <row r="2196">
      <c r="A2196" s="1" t="s">
        <v>1632</v>
      </c>
      <c r="C2196" s="1" t="s">
        <v>56</v>
      </c>
      <c r="D2196" s="1" t="s">
        <v>3374</v>
      </c>
      <c r="Y2196" s="2">
        <v>45512.0</v>
      </c>
      <c r="AE2196" s="1">
        <v>619.99</v>
      </c>
      <c r="AG2196" s="3" t="str">
        <f>"2000008982507294"</f>
        <v>2000008982507294</v>
      </c>
      <c r="AH2196" s="1" t="s">
        <v>58</v>
      </c>
      <c r="AI2196" s="1" t="s">
        <v>59</v>
      </c>
      <c r="AJ2196" s="1" t="s">
        <v>59</v>
      </c>
      <c r="AK2196" s="1" t="s">
        <v>60</v>
      </c>
      <c r="AL2196" s="1" t="s">
        <v>60</v>
      </c>
      <c r="AW2196" s="1" t="s">
        <v>1634</v>
      </c>
      <c r="AY2196" s="1">
        <v>1.0</v>
      </c>
      <c r="AZ2196" s="1">
        <v>619.99</v>
      </c>
      <c r="BB2196" s="1">
        <v>619.99</v>
      </c>
    </row>
    <row r="2197">
      <c r="A2197" s="1" t="s">
        <v>3375</v>
      </c>
      <c r="C2197" s="1" t="s">
        <v>56</v>
      </c>
      <c r="D2197" s="1" t="s">
        <v>3376</v>
      </c>
      <c r="Y2197" s="2">
        <v>45512.0</v>
      </c>
      <c r="AE2197" s="1">
        <v>109.99</v>
      </c>
      <c r="AG2197" s="3" t="str">
        <f>"2000008982140314"</f>
        <v>2000008982140314</v>
      </c>
      <c r="AH2197" s="1" t="s">
        <v>58</v>
      </c>
      <c r="AI2197" s="1" t="s">
        <v>59</v>
      </c>
      <c r="AJ2197" s="1" t="s">
        <v>59</v>
      </c>
      <c r="AK2197" s="1" t="s">
        <v>60</v>
      </c>
      <c r="AL2197" s="1" t="s">
        <v>60</v>
      </c>
      <c r="AW2197" s="1" t="s">
        <v>3377</v>
      </c>
      <c r="AY2197" s="1">
        <v>1.0</v>
      </c>
      <c r="AZ2197" s="1">
        <v>109.99</v>
      </c>
      <c r="BB2197" s="1">
        <v>109.99</v>
      </c>
    </row>
    <row r="2198">
      <c r="A2198" s="1" t="s">
        <v>2582</v>
      </c>
      <c r="C2198" s="1" t="s">
        <v>56</v>
      </c>
      <c r="D2198" s="1" t="s">
        <v>3378</v>
      </c>
      <c r="Y2198" s="2">
        <v>45512.0</v>
      </c>
      <c r="AE2198" s="1">
        <v>109.99</v>
      </c>
      <c r="AG2198" s="3" t="str">
        <f>"2000006145512123"</f>
        <v>2000006145512123</v>
      </c>
      <c r="AH2198" s="1" t="s">
        <v>58</v>
      </c>
      <c r="AI2198" s="1" t="s">
        <v>59</v>
      </c>
      <c r="AJ2198" s="1" t="s">
        <v>59</v>
      </c>
      <c r="AK2198" s="1" t="s">
        <v>60</v>
      </c>
      <c r="AL2198" s="1" t="s">
        <v>60</v>
      </c>
      <c r="AW2198" s="1" t="s">
        <v>2584</v>
      </c>
      <c r="AY2198" s="1">
        <v>1.0</v>
      </c>
      <c r="AZ2198" s="1">
        <v>109.99</v>
      </c>
      <c r="BB2198" s="1">
        <v>109.99</v>
      </c>
    </row>
    <row r="2199">
      <c r="A2199" s="1" t="s">
        <v>368</v>
      </c>
      <c r="C2199" s="1" t="s">
        <v>56</v>
      </c>
      <c r="D2199" s="1" t="s">
        <v>3379</v>
      </c>
      <c r="Y2199" s="2">
        <v>45512.0</v>
      </c>
      <c r="AE2199" s="1">
        <v>94.99</v>
      </c>
      <c r="AG2199" s="3" t="str">
        <f>"2000006145455423"</f>
        <v>2000006145455423</v>
      </c>
      <c r="AH2199" s="1" t="s">
        <v>58</v>
      </c>
      <c r="AI2199" s="1" t="s">
        <v>59</v>
      </c>
      <c r="AJ2199" s="1" t="s">
        <v>59</v>
      </c>
      <c r="AK2199" s="1" t="s">
        <v>60</v>
      </c>
      <c r="AL2199" s="1" t="s">
        <v>60</v>
      </c>
      <c r="AW2199" s="1" t="s">
        <v>370</v>
      </c>
      <c r="AY2199" s="1">
        <v>1.0</v>
      </c>
      <c r="AZ2199" s="1">
        <v>94.99</v>
      </c>
      <c r="BB2199" s="1">
        <v>94.99</v>
      </c>
    </row>
    <row r="2200">
      <c r="A2200" s="1" t="s">
        <v>163</v>
      </c>
      <c r="C2200" s="1" t="s">
        <v>56</v>
      </c>
      <c r="D2200" s="1" t="s">
        <v>3380</v>
      </c>
      <c r="Y2200" s="2">
        <v>45512.0</v>
      </c>
      <c r="AE2200" s="1">
        <v>59.99</v>
      </c>
      <c r="AG2200" s="3" t="str">
        <f>"2000008981759412"</f>
        <v>2000008981759412</v>
      </c>
      <c r="AH2200" s="1" t="s">
        <v>58</v>
      </c>
      <c r="AI2200" s="1" t="s">
        <v>59</v>
      </c>
      <c r="AJ2200" s="1" t="s">
        <v>59</v>
      </c>
      <c r="AK2200" s="1" t="s">
        <v>60</v>
      </c>
      <c r="AL2200" s="1" t="s">
        <v>60</v>
      </c>
      <c r="AW2200" s="1" t="s">
        <v>165</v>
      </c>
      <c r="AY2200" s="1">
        <v>1.0</v>
      </c>
      <c r="AZ2200" s="1">
        <v>59.99</v>
      </c>
      <c r="BB2200" s="1">
        <v>59.99</v>
      </c>
    </row>
    <row r="2201">
      <c r="A2201" s="1" t="s">
        <v>163</v>
      </c>
      <c r="C2201" s="1" t="s">
        <v>235</v>
      </c>
      <c r="D2201" s="1" t="s">
        <v>3381</v>
      </c>
      <c r="Y2201" s="2">
        <v>45512.0</v>
      </c>
      <c r="AE2201" s="1">
        <v>59.99</v>
      </c>
      <c r="AG2201" s="3" t="str">
        <f>"2000006145274857"</f>
        <v>2000006145274857</v>
      </c>
      <c r="AH2201" s="1" t="s">
        <v>58</v>
      </c>
      <c r="AI2201" s="1" t="s">
        <v>59</v>
      </c>
      <c r="AJ2201" s="1" t="s">
        <v>59</v>
      </c>
      <c r="AK2201" s="1" t="s">
        <v>60</v>
      </c>
      <c r="AL2201" s="1" t="s">
        <v>60</v>
      </c>
      <c r="AW2201" s="1" t="s">
        <v>165</v>
      </c>
      <c r="AY2201" s="1">
        <v>1.0</v>
      </c>
      <c r="AZ2201" s="1">
        <v>59.99</v>
      </c>
      <c r="BB2201" s="1">
        <v>59.99</v>
      </c>
    </row>
    <row r="2202">
      <c r="A2202" s="1" t="s">
        <v>514</v>
      </c>
      <c r="C2202" s="1" t="s">
        <v>56</v>
      </c>
      <c r="D2202" s="1" t="s">
        <v>3382</v>
      </c>
      <c r="Y2202" s="2">
        <v>45512.0</v>
      </c>
      <c r="AE2202" s="1">
        <v>299.95</v>
      </c>
      <c r="AG2202" s="3" t="str">
        <f>"2000006145250103"</f>
        <v>2000006145250103</v>
      </c>
      <c r="AH2202" s="1" t="s">
        <v>58</v>
      </c>
      <c r="AI2202" s="1" t="s">
        <v>59</v>
      </c>
      <c r="AJ2202" s="1" t="s">
        <v>59</v>
      </c>
      <c r="AK2202" s="1" t="s">
        <v>60</v>
      </c>
      <c r="AL2202" s="1" t="s">
        <v>60</v>
      </c>
      <c r="AW2202" s="1" t="s">
        <v>516</v>
      </c>
      <c r="AY2202" s="1">
        <v>5.0</v>
      </c>
      <c r="AZ2202" s="1">
        <v>59.99</v>
      </c>
      <c r="BB2202" s="1">
        <v>299.95</v>
      </c>
    </row>
    <row r="2203">
      <c r="A2203" s="1" t="s">
        <v>2627</v>
      </c>
      <c r="C2203" s="1" t="s">
        <v>56</v>
      </c>
      <c r="D2203" s="1" t="s">
        <v>3383</v>
      </c>
      <c r="Y2203" s="2">
        <v>45512.0</v>
      </c>
      <c r="AE2203" s="1">
        <v>69.99</v>
      </c>
      <c r="AG2203" s="3" t="str">
        <f>"2000006143930397"</f>
        <v>2000006143930397</v>
      </c>
      <c r="AH2203" s="1" t="s">
        <v>58</v>
      </c>
      <c r="AI2203" s="1" t="s">
        <v>59</v>
      </c>
      <c r="AJ2203" s="1" t="s">
        <v>59</v>
      </c>
      <c r="AK2203" s="1" t="s">
        <v>60</v>
      </c>
      <c r="AL2203" s="1" t="s">
        <v>60</v>
      </c>
      <c r="AW2203" s="1" t="s">
        <v>2629</v>
      </c>
      <c r="AY2203" s="1">
        <v>1.0</v>
      </c>
      <c r="AZ2203" s="1">
        <v>69.99</v>
      </c>
      <c r="BB2203" s="1">
        <v>69.99</v>
      </c>
    </row>
    <row r="2204">
      <c r="A2204" s="1" t="s">
        <v>2122</v>
      </c>
      <c r="C2204" s="1" t="s">
        <v>56</v>
      </c>
      <c r="D2204" s="1" t="s">
        <v>3384</v>
      </c>
      <c r="Y2204" s="2">
        <v>45512.0</v>
      </c>
      <c r="AE2204" s="1">
        <v>109.99</v>
      </c>
      <c r="AG2204" s="3" t="str">
        <f>"2000006144980519"</f>
        <v>2000006144980519</v>
      </c>
      <c r="AH2204" s="1" t="s">
        <v>58</v>
      </c>
      <c r="AI2204" s="1" t="s">
        <v>59</v>
      </c>
      <c r="AJ2204" s="1" t="s">
        <v>59</v>
      </c>
      <c r="AK2204" s="1" t="s">
        <v>60</v>
      </c>
      <c r="AL2204" s="1" t="s">
        <v>60</v>
      </c>
      <c r="AW2204" s="1" t="s">
        <v>1631</v>
      </c>
      <c r="AY2204" s="1">
        <v>1.0</v>
      </c>
      <c r="AZ2204" s="1">
        <v>109.99</v>
      </c>
      <c r="BB2204" s="1">
        <v>109.99</v>
      </c>
    </row>
    <row r="2205">
      <c r="A2205" s="1" t="s">
        <v>224</v>
      </c>
      <c r="C2205" s="1" t="s">
        <v>56</v>
      </c>
      <c r="D2205" s="1" t="s">
        <v>3385</v>
      </c>
      <c r="Y2205" s="2">
        <v>45512.0</v>
      </c>
      <c r="AE2205" s="1">
        <v>119.99</v>
      </c>
      <c r="AG2205" s="3" t="str">
        <f t="shared" ref="AG2205:AG2206" si="85">"2000006144852401"</f>
        <v>2000006144852401</v>
      </c>
      <c r="AH2205" s="1" t="s">
        <v>58</v>
      </c>
      <c r="AI2205" s="1" t="s">
        <v>59</v>
      </c>
      <c r="AJ2205" s="1" t="s">
        <v>59</v>
      </c>
      <c r="AK2205" s="1" t="s">
        <v>60</v>
      </c>
      <c r="AL2205" s="1" t="s">
        <v>60</v>
      </c>
      <c r="AW2205" s="1" t="s">
        <v>226</v>
      </c>
      <c r="AY2205" s="1">
        <v>1.0</v>
      </c>
      <c r="AZ2205" s="1">
        <v>119.99</v>
      </c>
      <c r="BB2205" s="1">
        <v>119.99</v>
      </c>
    </row>
    <row r="2206">
      <c r="A2206" s="1" t="s">
        <v>210</v>
      </c>
      <c r="C2206" s="1" t="s">
        <v>56</v>
      </c>
      <c r="D2206" s="1" t="s">
        <v>3385</v>
      </c>
      <c r="Y2206" s="2">
        <v>45512.0</v>
      </c>
      <c r="AE2206" s="1">
        <v>61.99</v>
      </c>
      <c r="AG2206" s="3" t="str">
        <f t="shared" si="85"/>
        <v>2000006144852401</v>
      </c>
      <c r="AH2206" s="1" t="s">
        <v>58</v>
      </c>
      <c r="AI2206" s="1" t="s">
        <v>59</v>
      </c>
      <c r="AJ2206" s="1" t="s">
        <v>59</v>
      </c>
      <c r="AK2206" s="1" t="s">
        <v>60</v>
      </c>
      <c r="AL2206" s="1" t="s">
        <v>60</v>
      </c>
      <c r="AW2206" s="1" t="s">
        <v>211</v>
      </c>
      <c r="AY2206" s="1">
        <v>1.0</v>
      </c>
      <c r="AZ2206" s="1">
        <v>61.99</v>
      </c>
      <c r="BB2206" s="1">
        <v>61.99</v>
      </c>
    </row>
    <row r="2207">
      <c r="A2207" s="1" t="s">
        <v>2582</v>
      </c>
      <c r="C2207" s="1" t="s">
        <v>56</v>
      </c>
      <c r="D2207" s="1" t="s">
        <v>3386</v>
      </c>
      <c r="Y2207" s="2">
        <v>45512.0</v>
      </c>
      <c r="AE2207" s="1">
        <v>109.99</v>
      </c>
      <c r="AG2207" s="3" t="str">
        <f>"2000006144685717"</f>
        <v>2000006144685717</v>
      </c>
      <c r="AH2207" s="1" t="s">
        <v>58</v>
      </c>
      <c r="AI2207" s="1" t="s">
        <v>59</v>
      </c>
      <c r="AJ2207" s="1" t="s">
        <v>59</v>
      </c>
      <c r="AK2207" s="1" t="s">
        <v>60</v>
      </c>
      <c r="AL2207" s="1" t="s">
        <v>60</v>
      </c>
      <c r="AW2207" s="1" t="s">
        <v>2584</v>
      </c>
      <c r="AY2207" s="1">
        <v>1.0</v>
      </c>
      <c r="AZ2207" s="1">
        <v>109.99</v>
      </c>
      <c r="BB2207" s="1">
        <v>109.99</v>
      </c>
    </row>
    <row r="2208">
      <c r="A2208" s="1" t="s">
        <v>3387</v>
      </c>
      <c r="C2208" s="1" t="s">
        <v>56</v>
      </c>
      <c r="D2208" s="1" t="s">
        <v>3388</v>
      </c>
      <c r="Y2208" s="2">
        <v>45512.0</v>
      </c>
      <c r="AE2208" s="1">
        <v>59.99</v>
      </c>
      <c r="AG2208" s="3" t="str">
        <f>"2000006144664829"</f>
        <v>2000006144664829</v>
      </c>
      <c r="AH2208" s="1" t="s">
        <v>58</v>
      </c>
      <c r="AI2208" s="1" t="s">
        <v>59</v>
      </c>
      <c r="AJ2208" s="1" t="s">
        <v>59</v>
      </c>
      <c r="AK2208" s="1" t="s">
        <v>60</v>
      </c>
      <c r="AL2208" s="1" t="s">
        <v>60</v>
      </c>
      <c r="AW2208" s="1" t="s">
        <v>500</v>
      </c>
      <c r="AY2208" s="1">
        <v>1.0</v>
      </c>
      <c r="AZ2208" s="1">
        <v>59.99</v>
      </c>
      <c r="BB2208" s="1">
        <v>59.99</v>
      </c>
    </row>
    <row r="2209">
      <c r="A2209" s="1" t="s">
        <v>498</v>
      </c>
      <c r="C2209" s="1" t="s">
        <v>56</v>
      </c>
      <c r="D2209" s="1" t="s">
        <v>3388</v>
      </c>
      <c r="Y2209" s="2">
        <v>45512.0</v>
      </c>
      <c r="AE2209" s="1">
        <v>59.99</v>
      </c>
      <c r="AG2209" s="3" t="str">
        <f>"2000006144664831"</f>
        <v>2000006144664831</v>
      </c>
      <c r="AH2209" s="1" t="s">
        <v>58</v>
      </c>
      <c r="AI2209" s="1" t="s">
        <v>59</v>
      </c>
      <c r="AJ2209" s="1" t="s">
        <v>59</v>
      </c>
      <c r="AK2209" s="1" t="s">
        <v>60</v>
      </c>
      <c r="AL2209" s="1" t="s">
        <v>60</v>
      </c>
      <c r="AW2209" s="1" t="s">
        <v>500</v>
      </c>
      <c r="AY2209" s="1">
        <v>1.0</v>
      </c>
      <c r="AZ2209" s="1">
        <v>59.99</v>
      </c>
      <c r="BB2209" s="1">
        <v>59.99</v>
      </c>
    </row>
    <row r="2210">
      <c r="A2210" s="1" t="s">
        <v>3027</v>
      </c>
      <c r="C2210" s="1" t="s">
        <v>56</v>
      </c>
      <c r="D2210" s="1" t="s">
        <v>3389</v>
      </c>
      <c r="Y2210" s="2">
        <v>45512.0</v>
      </c>
      <c r="AE2210" s="1">
        <v>139.98</v>
      </c>
      <c r="AG2210" s="3" t="str">
        <f>"2000006144568449"</f>
        <v>2000006144568449</v>
      </c>
      <c r="AH2210" s="1" t="s">
        <v>58</v>
      </c>
      <c r="AI2210" s="1" t="s">
        <v>59</v>
      </c>
      <c r="AJ2210" s="1" t="s">
        <v>59</v>
      </c>
      <c r="AK2210" s="1" t="s">
        <v>60</v>
      </c>
      <c r="AL2210" s="1" t="s">
        <v>60</v>
      </c>
      <c r="AW2210" s="1" t="s">
        <v>3029</v>
      </c>
      <c r="AY2210" s="1">
        <v>2.0</v>
      </c>
      <c r="AZ2210" s="1">
        <v>69.99</v>
      </c>
      <c r="BB2210" s="1">
        <v>139.98</v>
      </c>
    </row>
    <row r="2211">
      <c r="A2211" s="1" t="s">
        <v>195</v>
      </c>
      <c r="C2211" s="1" t="s">
        <v>56</v>
      </c>
      <c r="D2211" s="1" t="s">
        <v>3390</v>
      </c>
      <c r="Y2211" s="2">
        <v>45512.0</v>
      </c>
      <c r="AE2211" s="1">
        <v>47.99</v>
      </c>
      <c r="AG2211" s="3" t="str">
        <f>"2000006144547679"</f>
        <v>2000006144547679</v>
      </c>
      <c r="AH2211" s="1" t="s">
        <v>58</v>
      </c>
      <c r="AI2211" s="1" t="s">
        <v>59</v>
      </c>
      <c r="AJ2211" s="1" t="s">
        <v>59</v>
      </c>
      <c r="AK2211" s="1" t="s">
        <v>60</v>
      </c>
      <c r="AL2211" s="1" t="s">
        <v>60</v>
      </c>
      <c r="AW2211" s="1" t="s">
        <v>197</v>
      </c>
      <c r="AY2211" s="1">
        <v>1.0</v>
      </c>
      <c r="AZ2211" s="1">
        <v>47.99</v>
      </c>
      <c r="BB2211" s="1">
        <v>47.99</v>
      </c>
    </row>
    <row r="2212">
      <c r="A2212" s="1" t="s">
        <v>360</v>
      </c>
      <c r="C2212" s="1" t="s">
        <v>56</v>
      </c>
      <c r="D2212" s="1" t="s">
        <v>3391</v>
      </c>
      <c r="Y2212" s="2">
        <v>45512.0</v>
      </c>
      <c r="AE2212" s="1">
        <v>47.18</v>
      </c>
      <c r="AG2212" s="3" t="str">
        <f t="shared" ref="AG2212:AG2213" si="86">"2000006144533921"</f>
        <v>2000006144533921</v>
      </c>
      <c r="AH2212" s="1" t="s">
        <v>58</v>
      </c>
      <c r="AI2212" s="1" t="s">
        <v>59</v>
      </c>
      <c r="AJ2212" s="1" t="s">
        <v>59</v>
      </c>
      <c r="AK2212" s="1" t="s">
        <v>60</v>
      </c>
      <c r="AL2212" s="1" t="s">
        <v>60</v>
      </c>
      <c r="AW2212" s="1" t="s">
        <v>155</v>
      </c>
      <c r="AY2212" s="1">
        <v>1.0</v>
      </c>
      <c r="AZ2212" s="1">
        <v>47.18</v>
      </c>
      <c r="BB2212" s="1">
        <v>47.18</v>
      </c>
    </row>
    <row r="2213">
      <c r="A2213" s="1" t="s">
        <v>153</v>
      </c>
      <c r="C2213" s="1" t="s">
        <v>56</v>
      </c>
      <c r="D2213" s="1" t="s">
        <v>3391</v>
      </c>
      <c r="Y2213" s="2">
        <v>45512.0</v>
      </c>
      <c r="AE2213" s="1">
        <v>47.18</v>
      </c>
      <c r="AG2213" s="3" t="str">
        <f t="shared" si="86"/>
        <v>2000006144533921</v>
      </c>
      <c r="AH2213" s="1" t="s">
        <v>58</v>
      </c>
      <c r="AI2213" s="1" t="s">
        <v>59</v>
      </c>
      <c r="AJ2213" s="1" t="s">
        <v>59</v>
      </c>
      <c r="AK2213" s="1" t="s">
        <v>60</v>
      </c>
      <c r="AL2213" s="1" t="s">
        <v>60</v>
      </c>
      <c r="AW2213" s="1" t="s">
        <v>155</v>
      </c>
      <c r="AY2213" s="1">
        <v>1.0</v>
      </c>
      <c r="AZ2213" s="1">
        <v>47.18</v>
      </c>
      <c r="BB2213" s="1">
        <v>47.18</v>
      </c>
    </row>
    <row r="2214">
      <c r="A2214" s="1" t="s">
        <v>1859</v>
      </c>
      <c r="C2214" s="1" t="s">
        <v>56</v>
      </c>
      <c r="D2214" s="1" t="s">
        <v>3392</v>
      </c>
      <c r="Y2214" s="2">
        <v>45512.0</v>
      </c>
      <c r="AE2214" s="1">
        <v>89.99</v>
      </c>
      <c r="AG2214" s="3" t="str">
        <f>"2000006144490455"</f>
        <v>2000006144490455</v>
      </c>
      <c r="AH2214" s="1" t="s">
        <v>58</v>
      </c>
      <c r="AI2214" s="1" t="s">
        <v>59</v>
      </c>
      <c r="AJ2214" s="1" t="s">
        <v>59</v>
      </c>
      <c r="AK2214" s="1" t="s">
        <v>60</v>
      </c>
      <c r="AL2214" s="1" t="s">
        <v>60</v>
      </c>
      <c r="AW2214" s="1" t="s">
        <v>1861</v>
      </c>
      <c r="AY2214" s="1">
        <v>1.0</v>
      </c>
      <c r="AZ2214" s="1">
        <v>89.99</v>
      </c>
      <c r="BB2214" s="1">
        <v>89.99</v>
      </c>
    </row>
    <row r="2215">
      <c r="A2215" s="1" t="s">
        <v>3393</v>
      </c>
      <c r="C2215" s="1" t="s">
        <v>56</v>
      </c>
      <c r="D2215" s="1" t="s">
        <v>3394</v>
      </c>
      <c r="Y2215" s="2">
        <v>45512.0</v>
      </c>
      <c r="AE2215" s="1">
        <v>54.99</v>
      </c>
      <c r="AG2215" s="3" t="str">
        <f>"2000006144475681"</f>
        <v>2000006144475681</v>
      </c>
      <c r="AH2215" s="1" t="s">
        <v>58</v>
      </c>
      <c r="AI2215" s="1" t="s">
        <v>59</v>
      </c>
      <c r="AJ2215" s="1" t="s">
        <v>59</v>
      </c>
      <c r="AK2215" s="1" t="s">
        <v>60</v>
      </c>
      <c r="AL2215" s="1" t="s">
        <v>60</v>
      </c>
      <c r="AW2215" s="1" t="s">
        <v>3395</v>
      </c>
      <c r="AY2215" s="1">
        <v>1.0</v>
      </c>
      <c r="AZ2215" s="1">
        <v>54.99</v>
      </c>
      <c r="BB2215" s="1">
        <v>54.99</v>
      </c>
    </row>
    <row r="2216">
      <c r="A2216" s="1" t="s">
        <v>198</v>
      </c>
      <c r="C2216" s="1" t="s">
        <v>56</v>
      </c>
      <c r="D2216" s="1" t="s">
        <v>3396</v>
      </c>
      <c r="Y2216" s="2">
        <v>45512.0</v>
      </c>
      <c r="AE2216" s="1">
        <v>49.99</v>
      </c>
      <c r="AG2216" s="3" t="str">
        <f>"2000006144472879"</f>
        <v>2000006144472879</v>
      </c>
      <c r="AH2216" s="1" t="s">
        <v>58</v>
      </c>
      <c r="AI2216" s="1" t="s">
        <v>59</v>
      </c>
      <c r="AJ2216" s="1" t="s">
        <v>59</v>
      </c>
      <c r="AK2216" s="1" t="s">
        <v>60</v>
      </c>
      <c r="AL2216" s="1" t="s">
        <v>60</v>
      </c>
      <c r="AW2216" s="1" t="s">
        <v>200</v>
      </c>
      <c r="AY2216" s="1">
        <v>1.0</v>
      </c>
      <c r="AZ2216" s="1">
        <v>49.99</v>
      </c>
      <c r="BB2216" s="1">
        <v>49.99</v>
      </c>
    </row>
    <row r="2217">
      <c r="A2217" s="1" t="s">
        <v>3397</v>
      </c>
      <c r="C2217" s="1" t="s">
        <v>56</v>
      </c>
      <c r="D2217" s="1" t="s">
        <v>3398</v>
      </c>
      <c r="Y2217" s="2">
        <v>45512.0</v>
      </c>
      <c r="AE2217" s="1">
        <v>54.99</v>
      </c>
      <c r="AG2217" s="3" t="str">
        <f t="shared" ref="AG2217:AG2222" si="87">"2000006144455945"</f>
        <v>2000006144455945</v>
      </c>
      <c r="AH2217" s="1" t="s">
        <v>58</v>
      </c>
      <c r="AI2217" s="1" t="s">
        <v>59</v>
      </c>
      <c r="AJ2217" s="1" t="s">
        <v>59</v>
      </c>
      <c r="AK2217" s="1" t="s">
        <v>60</v>
      </c>
      <c r="AL2217" s="1" t="s">
        <v>60</v>
      </c>
      <c r="AW2217" s="1" t="s">
        <v>3399</v>
      </c>
      <c r="AY2217" s="1">
        <v>1.0</v>
      </c>
      <c r="AZ2217" s="1">
        <v>54.99</v>
      </c>
      <c r="BB2217" s="1">
        <v>54.99</v>
      </c>
    </row>
    <row r="2218">
      <c r="A2218" s="1" t="s">
        <v>2967</v>
      </c>
      <c r="C2218" s="1" t="s">
        <v>56</v>
      </c>
      <c r="D2218" s="1" t="s">
        <v>3398</v>
      </c>
      <c r="Y2218" s="2">
        <v>45512.0</v>
      </c>
      <c r="AE2218" s="1">
        <v>54.99</v>
      </c>
      <c r="AG2218" s="3" t="str">
        <f t="shared" si="87"/>
        <v>2000006144455945</v>
      </c>
      <c r="AH2218" s="1" t="s">
        <v>58</v>
      </c>
      <c r="AI2218" s="1" t="s">
        <v>59</v>
      </c>
      <c r="AJ2218" s="1" t="s">
        <v>59</v>
      </c>
      <c r="AK2218" s="1" t="s">
        <v>60</v>
      </c>
      <c r="AL2218" s="1" t="s">
        <v>60</v>
      </c>
      <c r="AW2218" s="1" t="s">
        <v>3399</v>
      </c>
      <c r="AY2218" s="1">
        <v>1.0</v>
      </c>
      <c r="AZ2218" s="1">
        <v>54.99</v>
      </c>
      <c r="BB2218" s="1">
        <v>54.99</v>
      </c>
    </row>
    <row r="2219">
      <c r="A2219" s="1" t="s">
        <v>3400</v>
      </c>
      <c r="C2219" s="1" t="s">
        <v>56</v>
      </c>
      <c r="D2219" s="1" t="s">
        <v>3398</v>
      </c>
      <c r="Y2219" s="2">
        <v>45512.0</v>
      </c>
      <c r="AE2219" s="1">
        <v>54.99</v>
      </c>
      <c r="AG2219" s="3" t="str">
        <f t="shared" si="87"/>
        <v>2000006144455945</v>
      </c>
      <c r="AH2219" s="1" t="s">
        <v>58</v>
      </c>
      <c r="AI2219" s="1" t="s">
        <v>59</v>
      </c>
      <c r="AJ2219" s="1" t="s">
        <v>59</v>
      </c>
      <c r="AK2219" s="1" t="s">
        <v>60</v>
      </c>
      <c r="AL2219" s="1" t="s">
        <v>60</v>
      </c>
      <c r="AW2219" s="1" t="s">
        <v>3399</v>
      </c>
      <c r="AY2219" s="1">
        <v>1.0</v>
      </c>
      <c r="AZ2219" s="1">
        <v>54.99</v>
      </c>
      <c r="BB2219" s="1">
        <v>54.99</v>
      </c>
    </row>
    <row r="2220">
      <c r="A2220" s="1" t="s">
        <v>3401</v>
      </c>
      <c r="C2220" s="1" t="s">
        <v>56</v>
      </c>
      <c r="D2220" s="1" t="s">
        <v>3398</v>
      </c>
      <c r="Y2220" s="2">
        <v>45512.0</v>
      </c>
      <c r="AE2220" s="1">
        <v>54.99</v>
      </c>
      <c r="AG2220" s="3" t="str">
        <f t="shared" si="87"/>
        <v>2000006144455945</v>
      </c>
      <c r="AH2220" s="1" t="s">
        <v>58</v>
      </c>
      <c r="AI2220" s="1" t="s">
        <v>59</v>
      </c>
      <c r="AJ2220" s="1" t="s">
        <v>59</v>
      </c>
      <c r="AK2220" s="1" t="s">
        <v>60</v>
      </c>
      <c r="AL2220" s="1" t="s">
        <v>60</v>
      </c>
      <c r="AW2220" s="1" t="s">
        <v>3399</v>
      </c>
      <c r="AY2220" s="1">
        <v>1.0</v>
      </c>
      <c r="AZ2220" s="1">
        <v>54.99</v>
      </c>
      <c r="BB2220" s="1">
        <v>54.99</v>
      </c>
    </row>
    <row r="2221">
      <c r="A2221" s="1" t="s">
        <v>3402</v>
      </c>
      <c r="C2221" s="1" t="s">
        <v>56</v>
      </c>
      <c r="D2221" s="1" t="s">
        <v>3398</v>
      </c>
      <c r="Y2221" s="2">
        <v>45512.0</v>
      </c>
      <c r="AE2221" s="1">
        <v>54.99</v>
      </c>
      <c r="AG2221" s="3" t="str">
        <f t="shared" si="87"/>
        <v>2000006144455945</v>
      </c>
      <c r="AH2221" s="1" t="s">
        <v>58</v>
      </c>
      <c r="AI2221" s="1" t="s">
        <v>59</v>
      </c>
      <c r="AJ2221" s="1" t="s">
        <v>59</v>
      </c>
      <c r="AK2221" s="1" t="s">
        <v>60</v>
      </c>
      <c r="AL2221" s="1" t="s">
        <v>60</v>
      </c>
      <c r="AW2221" s="1" t="s">
        <v>3399</v>
      </c>
      <c r="AY2221" s="1">
        <v>1.0</v>
      </c>
      <c r="AZ2221" s="1">
        <v>54.99</v>
      </c>
      <c r="BB2221" s="1">
        <v>54.99</v>
      </c>
    </row>
    <row r="2222">
      <c r="A2222" s="1" t="s">
        <v>1336</v>
      </c>
      <c r="C2222" s="1" t="s">
        <v>56</v>
      </c>
      <c r="D2222" s="1" t="s">
        <v>3398</v>
      </c>
      <c r="Y2222" s="2">
        <v>45512.0</v>
      </c>
      <c r="AE2222" s="1">
        <v>54.99</v>
      </c>
      <c r="AG2222" s="3" t="str">
        <f t="shared" si="87"/>
        <v>2000006144455945</v>
      </c>
      <c r="AH2222" s="1" t="s">
        <v>58</v>
      </c>
      <c r="AI2222" s="1" t="s">
        <v>59</v>
      </c>
      <c r="AJ2222" s="1" t="s">
        <v>59</v>
      </c>
      <c r="AK2222" s="1" t="s">
        <v>60</v>
      </c>
      <c r="AL2222" s="1" t="s">
        <v>60</v>
      </c>
      <c r="AW2222" s="1" t="s">
        <v>3399</v>
      </c>
      <c r="AY2222" s="1">
        <v>1.0</v>
      </c>
      <c r="AZ2222" s="1">
        <v>54.99</v>
      </c>
      <c r="BB2222" s="1">
        <v>54.99</v>
      </c>
    </row>
    <row r="2223">
      <c r="A2223" s="1" t="s">
        <v>83</v>
      </c>
      <c r="C2223" s="1" t="s">
        <v>56</v>
      </c>
      <c r="D2223" s="1" t="s">
        <v>3403</v>
      </c>
      <c r="Y2223" s="2">
        <v>45512.0</v>
      </c>
      <c r="AE2223" s="1">
        <v>54.99</v>
      </c>
      <c r="AG2223" s="3" t="str">
        <f t="shared" ref="AG2223:AG2225" si="88">"2000006144450019"</f>
        <v>2000006144450019</v>
      </c>
      <c r="AH2223" s="1" t="s">
        <v>58</v>
      </c>
      <c r="AI2223" s="1" t="s">
        <v>59</v>
      </c>
      <c r="AJ2223" s="1" t="s">
        <v>59</v>
      </c>
      <c r="AK2223" s="1" t="s">
        <v>60</v>
      </c>
      <c r="AL2223" s="1" t="s">
        <v>60</v>
      </c>
      <c r="AW2223" s="1" t="s">
        <v>85</v>
      </c>
      <c r="AY2223" s="1">
        <v>1.0</v>
      </c>
      <c r="AZ2223" s="1">
        <v>54.99</v>
      </c>
      <c r="BB2223" s="1">
        <v>54.99</v>
      </c>
    </row>
    <row r="2224">
      <c r="A2224" s="1" t="s">
        <v>221</v>
      </c>
      <c r="C2224" s="1" t="s">
        <v>56</v>
      </c>
      <c r="D2224" s="1" t="s">
        <v>3403</v>
      </c>
      <c r="Y2224" s="2">
        <v>45512.0</v>
      </c>
      <c r="AE2224" s="1">
        <v>99.99</v>
      </c>
      <c r="AG2224" s="3" t="str">
        <f t="shared" si="88"/>
        <v>2000006144450019</v>
      </c>
      <c r="AH2224" s="1" t="s">
        <v>58</v>
      </c>
      <c r="AI2224" s="1" t="s">
        <v>59</v>
      </c>
      <c r="AJ2224" s="1" t="s">
        <v>59</v>
      </c>
      <c r="AK2224" s="1" t="s">
        <v>60</v>
      </c>
      <c r="AL2224" s="1" t="s">
        <v>60</v>
      </c>
      <c r="AW2224" s="1" t="s">
        <v>223</v>
      </c>
      <c r="AY2224" s="1">
        <v>1.0</v>
      </c>
      <c r="AZ2224" s="1">
        <v>99.99</v>
      </c>
      <c r="BB2224" s="1">
        <v>99.99</v>
      </c>
    </row>
    <row r="2225">
      <c r="A2225" s="1" t="s">
        <v>275</v>
      </c>
      <c r="C2225" s="1" t="s">
        <v>56</v>
      </c>
      <c r="D2225" s="1" t="s">
        <v>3403</v>
      </c>
      <c r="Y2225" s="2">
        <v>45512.0</v>
      </c>
      <c r="AE2225" s="1">
        <v>54.99</v>
      </c>
      <c r="AG2225" s="3" t="str">
        <f t="shared" si="88"/>
        <v>2000006144450019</v>
      </c>
      <c r="AH2225" s="1" t="s">
        <v>58</v>
      </c>
      <c r="AI2225" s="1" t="s">
        <v>59</v>
      </c>
      <c r="AJ2225" s="1" t="s">
        <v>59</v>
      </c>
      <c r="AK2225" s="1" t="s">
        <v>60</v>
      </c>
      <c r="AL2225" s="1" t="s">
        <v>60</v>
      </c>
      <c r="AW2225" s="1" t="s">
        <v>110</v>
      </c>
      <c r="AY2225" s="1">
        <v>1.0</v>
      </c>
      <c r="AZ2225" s="1">
        <v>54.99</v>
      </c>
      <c r="BB2225" s="1">
        <v>54.99</v>
      </c>
    </row>
    <row r="2226">
      <c r="A2226" s="1" t="s">
        <v>3404</v>
      </c>
      <c r="C2226" s="1" t="s">
        <v>56</v>
      </c>
      <c r="D2226" s="1" t="s">
        <v>3405</v>
      </c>
      <c r="Y2226" s="2">
        <v>45512.0</v>
      </c>
      <c r="AE2226" s="1">
        <v>89.99</v>
      </c>
      <c r="AG2226" s="3" t="str">
        <f>"2000006144431043"</f>
        <v>2000006144431043</v>
      </c>
      <c r="AH2226" s="1" t="s">
        <v>58</v>
      </c>
      <c r="AI2226" s="1" t="s">
        <v>59</v>
      </c>
      <c r="AJ2226" s="1" t="s">
        <v>59</v>
      </c>
      <c r="AK2226" s="1" t="s">
        <v>60</v>
      </c>
      <c r="AL2226" s="1" t="s">
        <v>60</v>
      </c>
      <c r="AW2226" s="1" t="s">
        <v>3406</v>
      </c>
      <c r="AY2226" s="1">
        <v>1.0</v>
      </c>
      <c r="AZ2226" s="1">
        <v>89.99</v>
      </c>
      <c r="BB2226" s="1">
        <v>89.99</v>
      </c>
    </row>
    <row r="2227">
      <c r="A2227" s="1" t="s">
        <v>966</v>
      </c>
      <c r="C2227" s="1" t="s">
        <v>56</v>
      </c>
      <c r="D2227" s="1" t="s">
        <v>3407</v>
      </c>
      <c r="Y2227" s="2">
        <v>45512.0</v>
      </c>
      <c r="AE2227" s="1">
        <v>399.99</v>
      </c>
      <c r="AG2227" s="3" t="str">
        <f>"2000008979895070"</f>
        <v>2000008979895070</v>
      </c>
      <c r="AH2227" s="1" t="s">
        <v>58</v>
      </c>
      <c r="AI2227" s="1" t="s">
        <v>59</v>
      </c>
      <c r="AJ2227" s="1" t="s">
        <v>59</v>
      </c>
      <c r="AK2227" s="1" t="s">
        <v>60</v>
      </c>
      <c r="AL2227" s="1" t="s">
        <v>60</v>
      </c>
      <c r="AW2227" s="1" t="s">
        <v>3408</v>
      </c>
      <c r="AY2227" s="1">
        <v>1.0</v>
      </c>
      <c r="AZ2227" s="1">
        <v>399.99</v>
      </c>
      <c r="BB2227" s="1">
        <v>399.99</v>
      </c>
    </row>
    <row r="2228">
      <c r="A2228" s="1" t="s">
        <v>283</v>
      </c>
      <c r="C2228" s="1" t="s">
        <v>235</v>
      </c>
      <c r="D2228" s="1" t="s">
        <v>2646</v>
      </c>
      <c r="Y2228" s="2">
        <v>45512.0</v>
      </c>
      <c r="AE2228" s="1">
        <v>499.99</v>
      </c>
      <c r="AG2228" s="3" t="str">
        <f>"2000008979900036"</f>
        <v>2000008979900036</v>
      </c>
      <c r="AH2228" s="1" t="s">
        <v>58</v>
      </c>
      <c r="AI2228" s="1" t="s">
        <v>59</v>
      </c>
      <c r="AJ2228" s="1" t="s">
        <v>59</v>
      </c>
      <c r="AK2228" s="1" t="s">
        <v>60</v>
      </c>
      <c r="AL2228" s="1" t="s">
        <v>60</v>
      </c>
      <c r="AW2228" s="1" t="s">
        <v>285</v>
      </c>
      <c r="AY2228" s="1">
        <v>1.0</v>
      </c>
      <c r="AZ2228" s="1">
        <v>499.99</v>
      </c>
      <c r="BB2228" s="1">
        <v>499.99</v>
      </c>
    </row>
    <row r="2229">
      <c r="A2229" s="1" t="s">
        <v>1160</v>
      </c>
      <c r="C2229" s="1" t="s">
        <v>56</v>
      </c>
      <c r="D2229" s="1" t="s">
        <v>3409</v>
      </c>
      <c r="Y2229" s="2">
        <v>45512.0</v>
      </c>
      <c r="AE2229" s="1">
        <v>294.99</v>
      </c>
      <c r="AG2229" s="3" t="str">
        <f>"2000006144391177"</f>
        <v>2000006144391177</v>
      </c>
      <c r="AH2229" s="1" t="s">
        <v>58</v>
      </c>
      <c r="AI2229" s="1" t="s">
        <v>59</v>
      </c>
      <c r="AJ2229" s="1" t="s">
        <v>59</v>
      </c>
      <c r="AK2229" s="1" t="s">
        <v>60</v>
      </c>
      <c r="AL2229" s="1" t="s">
        <v>60</v>
      </c>
      <c r="AW2229" s="1" t="s">
        <v>1162</v>
      </c>
      <c r="AY2229" s="1">
        <v>1.0</v>
      </c>
      <c r="AZ2229" s="1">
        <v>294.99</v>
      </c>
      <c r="BB2229" s="1">
        <v>294.99</v>
      </c>
    </row>
    <row r="2230">
      <c r="A2230" s="1" t="s">
        <v>3410</v>
      </c>
      <c r="C2230" s="1" t="s">
        <v>56</v>
      </c>
      <c r="D2230" s="1" t="s">
        <v>3411</v>
      </c>
      <c r="Y2230" s="2">
        <v>45512.0</v>
      </c>
      <c r="AE2230" s="1">
        <v>39.99</v>
      </c>
      <c r="AG2230" s="3" t="str">
        <f>"2000006144377629"</f>
        <v>2000006144377629</v>
      </c>
      <c r="AH2230" s="1" t="s">
        <v>58</v>
      </c>
      <c r="AI2230" s="1" t="s">
        <v>59</v>
      </c>
      <c r="AJ2230" s="1" t="s">
        <v>59</v>
      </c>
      <c r="AK2230" s="1" t="s">
        <v>60</v>
      </c>
      <c r="AL2230" s="1" t="s">
        <v>60</v>
      </c>
      <c r="AW2230" s="1" t="s">
        <v>3412</v>
      </c>
      <c r="AY2230" s="1">
        <v>1.0</v>
      </c>
      <c r="AZ2230" s="1">
        <v>39.99</v>
      </c>
      <c r="BB2230" s="1">
        <v>39.99</v>
      </c>
    </row>
    <row r="2231">
      <c r="A2231" s="1" t="s">
        <v>407</v>
      </c>
      <c r="C2231" s="1" t="s">
        <v>56</v>
      </c>
      <c r="D2231" s="1" t="s">
        <v>3411</v>
      </c>
      <c r="Y2231" s="2">
        <v>45512.0</v>
      </c>
      <c r="AE2231" s="1">
        <v>94.99</v>
      </c>
      <c r="AG2231" s="3" t="str">
        <f t="shared" ref="AG2231:AG2233" si="89">"2000006144377627"</f>
        <v>2000006144377627</v>
      </c>
      <c r="AH2231" s="1" t="s">
        <v>58</v>
      </c>
      <c r="AI2231" s="1" t="s">
        <v>59</v>
      </c>
      <c r="AJ2231" s="1" t="s">
        <v>59</v>
      </c>
      <c r="AK2231" s="1" t="s">
        <v>60</v>
      </c>
      <c r="AL2231" s="1" t="s">
        <v>60</v>
      </c>
      <c r="AW2231" s="1" t="s">
        <v>409</v>
      </c>
      <c r="AY2231" s="1">
        <v>1.0</v>
      </c>
      <c r="AZ2231" s="1">
        <v>94.99</v>
      </c>
      <c r="BB2231" s="1">
        <v>94.99</v>
      </c>
    </row>
    <row r="2232">
      <c r="A2232" s="1" t="s">
        <v>271</v>
      </c>
      <c r="C2232" s="1" t="s">
        <v>56</v>
      </c>
      <c r="D2232" s="1" t="s">
        <v>3411</v>
      </c>
      <c r="Y2232" s="2">
        <v>45512.0</v>
      </c>
      <c r="AE2232" s="1">
        <v>109.98</v>
      </c>
      <c r="AG2232" s="3" t="str">
        <f t="shared" si="89"/>
        <v>2000006144377627</v>
      </c>
      <c r="AH2232" s="1" t="s">
        <v>58</v>
      </c>
      <c r="AI2232" s="1" t="s">
        <v>59</v>
      </c>
      <c r="AJ2232" s="1" t="s">
        <v>59</v>
      </c>
      <c r="AK2232" s="1" t="s">
        <v>60</v>
      </c>
      <c r="AL2232" s="1" t="s">
        <v>60</v>
      </c>
      <c r="AW2232" s="1" t="s">
        <v>110</v>
      </c>
      <c r="AY2232" s="1">
        <v>2.0</v>
      </c>
      <c r="AZ2232" s="1">
        <v>54.99</v>
      </c>
      <c r="BB2232" s="1">
        <v>109.98</v>
      </c>
    </row>
    <row r="2233">
      <c r="A2233" s="1" t="s">
        <v>3173</v>
      </c>
      <c r="C2233" s="1" t="s">
        <v>56</v>
      </c>
      <c r="D2233" s="1" t="s">
        <v>3411</v>
      </c>
      <c r="Y2233" s="2">
        <v>45512.0</v>
      </c>
      <c r="AE2233" s="1">
        <v>84.99</v>
      </c>
      <c r="AG2233" s="3" t="str">
        <f t="shared" si="89"/>
        <v>2000006144377627</v>
      </c>
      <c r="AH2233" s="1" t="s">
        <v>58</v>
      </c>
      <c r="AI2233" s="1" t="s">
        <v>59</v>
      </c>
      <c r="AJ2233" s="1" t="s">
        <v>59</v>
      </c>
      <c r="AK2233" s="1" t="s">
        <v>60</v>
      </c>
      <c r="AL2233" s="1" t="s">
        <v>60</v>
      </c>
      <c r="AW2233" s="1" t="s">
        <v>3175</v>
      </c>
      <c r="AY2233" s="1">
        <v>1.0</v>
      </c>
      <c r="AZ2233" s="1">
        <v>84.99</v>
      </c>
      <c r="BB2233" s="1">
        <v>84.99</v>
      </c>
    </row>
    <row r="2234">
      <c r="A2234" s="1" t="s">
        <v>3413</v>
      </c>
      <c r="C2234" s="1" t="s">
        <v>56</v>
      </c>
      <c r="D2234" s="1" t="s">
        <v>3414</v>
      </c>
      <c r="Y2234" s="2">
        <v>45512.0</v>
      </c>
      <c r="AE2234" s="1">
        <v>39.99</v>
      </c>
      <c r="AG2234" s="3" t="str">
        <f>"2000006144381453"</f>
        <v>2000006144381453</v>
      </c>
      <c r="AH2234" s="1" t="s">
        <v>58</v>
      </c>
      <c r="AI2234" s="1" t="s">
        <v>59</v>
      </c>
      <c r="AJ2234" s="1" t="s">
        <v>59</v>
      </c>
      <c r="AK2234" s="1" t="s">
        <v>60</v>
      </c>
      <c r="AL2234" s="1" t="s">
        <v>60</v>
      </c>
      <c r="AW2234" s="1" t="s">
        <v>3415</v>
      </c>
      <c r="AY2234" s="1">
        <v>1.0</v>
      </c>
      <c r="AZ2234" s="1">
        <v>39.99</v>
      </c>
      <c r="BB2234" s="1">
        <v>39.99</v>
      </c>
    </row>
    <row r="2235">
      <c r="A2235" s="1" t="s">
        <v>2694</v>
      </c>
      <c r="C2235" s="1" t="s">
        <v>56</v>
      </c>
      <c r="D2235" s="1" t="s">
        <v>3416</v>
      </c>
      <c r="Y2235" s="2">
        <v>45512.0</v>
      </c>
      <c r="AE2235" s="1">
        <v>118.99</v>
      </c>
      <c r="AG2235" s="3" t="str">
        <f>"2000006144361583"</f>
        <v>2000006144361583</v>
      </c>
      <c r="AH2235" s="1" t="s">
        <v>58</v>
      </c>
      <c r="AI2235" s="1" t="s">
        <v>59</v>
      </c>
      <c r="AJ2235" s="1" t="s">
        <v>59</v>
      </c>
      <c r="AK2235" s="1" t="s">
        <v>60</v>
      </c>
      <c r="AL2235" s="1" t="s">
        <v>60</v>
      </c>
      <c r="AW2235" s="1" t="s">
        <v>2696</v>
      </c>
      <c r="AY2235" s="1">
        <v>1.0</v>
      </c>
      <c r="AZ2235" s="1">
        <v>118.99</v>
      </c>
      <c r="BB2235" s="1">
        <v>118.99</v>
      </c>
    </row>
    <row r="2236">
      <c r="A2236" s="1" t="s">
        <v>83</v>
      </c>
      <c r="C2236" s="1" t="s">
        <v>56</v>
      </c>
      <c r="D2236" s="1" t="s">
        <v>3417</v>
      </c>
      <c r="Y2236" s="2">
        <v>45512.0</v>
      </c>
      <c r="AE2236" s="1">
        <v>54.99</v>
      </c>
      <c r="AG2236" s="3" t="str">
        <f>"2000006144364777"</f>
        <v>2000006144364777</v>
      </c>
      <c r="AH2236" s="1" t="s">
        <v>58</v>
      </c>
      <c r="AI2236" s="1" t="s">
        <v>59</v>
      </c>
      <c r="AJ2236" s="1" t="s">
        <v>59</v>
      </c>
      <c r="AK2236" s="1" t="s">
        <v>60</v>
      </c>
      <c r="AL2236" s="1" t="s">
        <v>60</v>
      </c>
      <c r="AW2236" s="1" t="s">
        <v>85</v>
      </c>
      <c r="AY2236" s="1">
        <v>1.0</v>
      </c>
      <c r="AZ2236" s="1">
        <v>54.99</v>
      </c>
      <c r="BB2236" s="1">
        <v>54.99</v>
      </c>
    </row>
    <row r="2237">
      <c r="A2237" s="1" t="s">
        <v>3418</v>
      </c>
      <c r="C2237" s="1" t="s">
        <v>56</v>
      </c>
      <c r="D2237" s="1" t="s">
        <v>3419</v>
      </c>
      <c r="Y2237" s="2">
        <v>45512.0</v>
      </c>
      <c r="AE2237" s="1">
        <v>89.99</v>
      </c>
      <c r="AG2237" s="3" t="str">
        <f>"2000006144363005"</f>
        <v>2000006144363005</v>
      </c>
      <c r="AH2237" s="1" t="s">
        <v>58</v>
      </c>
      <c r="AI2237" s="1" t="s">
        <v>59</v>
      </c>
      <c r="AJ2237" s="1" t="s">
        <v>59</v>
      </c>
      <c r="AK2237" s="1" t="s">
        <v>60</v>
      </c>
      <c r="AL2237" s="1" t="s">
        <v>60</v>
      </c>
      <c r="AW2237" s="1" t="s">
        <v>3420</v>
      </c>
      <c r="AY2237" s="1">
        <v>1.0</v>
      </c>
      <c r="AZ2237" s="1">
        <v>89.99</v>
      </c>
      <c r="BB2237" s="1">
        <v>89.99</v>
      </c>
    </row>
    <row r="2238">
      <c r="A2238" s="1" t="s">
        <v>80</v>
      </c>
      <c r="C2238" s="1" t="s">
        <v>56</v>
      </c>
      <c r="D2238" s="1" t="s">
        <v>3421</v>
      </c>
      <c r="Y2238" s="2">
        <v>45512.0</v>
      </c>
      <c r="AE2238" s="1">
        <v>174.99</v>
      </c>
      <c r="AG2238" s="3" t="str">
        <f>"2000006144348801"</f>
        <v>2000006144348801</v>
      </c>
      <c r="AH2238" s="1" t="s">
        <v>58</v>
      </c>
      <c r="AI2238" s="1" t="s">
        <v>59</v>
      </c>
      <c r="AJ2238" s="1" t="s">
        <v>59</v>
      </c>
      <c r="AK2238" s="1" t="s">
        <v>60</v>
      </c>
      <c r="AL2238" s="1" t="s">
        <v>60</v>
      </c>
      <c r="AW2238" s="1" t="s">
        <v>82</v>
      </c>
      <c r="AY2238" s="1">
        <v>1.0</v>
      </c>
      <c r="AZ2238" s="1">
        <v>174.99</v>
      </c>
      <c r="BB2238" s="1">
        <v>174.99</v>
      </c>
    </row>
    <row r="2239">
      <c r="A2239" s="1" t="s">
        <v>265</v>
      </c>
      <c r="C2239" s="1" t="s">
        <v>56</v>
      </c>
      <c r="D2239" s="1" t="s">
        <v>3422</v>
      </c>
      <c r="Y2239" s="2">
        <v>45512.0</v>
      </c>
      <c r="AE2239" s="1">
        <v>229.98</v>
      </c>
      <c r="AG2239" s="3" t="str">
        <f>"2000006144354275"</f>
        <v>2000006144354275</v>
      </c>
      <c r="AH2239" s="1" t="s">
        <v>58</v>
      </c>
      <c r="AI2239" s="1" t="s">
        <v>59</v>
      </c>
      <c r="AJ2239" s="1" t="s">
        <v>59</v>
      </c>
      <c r="AK2239" s="1" t="s">
        <v>60</v>
      </c>
      <c r="AL2239" s="1" t="s">
        <v>60</v>
      </c>
      <c r="AW2239" s="1" t="s">
        <v>1997</v>
      </c>
      <c r="AY2239" s="1">
        <v>2.0</v>
      </c>
      <c r="AZ2239" s="1">
        <v>114.99</v>
      </c>
      <c r="BB2239" s="1">
        <v>229.98</v>
      </c>
    </row>
    <row r="2240">
      <c r="A2240" s="1" t="s">
        <v>1350</v>
      </c>
      <c r="C2240" s="1" t="s">
        <v>235</v>
      </c>
      <c r="D2240" s="1" t="s">
        <v>3423</v>
      </c>
      <c r="Y2240" s="2">
        <v>45512.0</v>
      </c>
      <c r="AE2240" s="1">
        <v>189.99</v>
      </c>
      <c r="AG2240" s="3" t="str">
        <f>"2000006144351099"</f>
        <v>2000006144351099</v>
      </c>
      <c r="AH2240" s="1" t="s">
        <v>58</v>
      </c>
      <c r="AI2240" s="1" t="s">
        <v>59</v>
      </c>
      <c r="AJ2240" s="1" t="s">
        <v>59</v>
      </c>
      <c r="AK2240" s="1" t="s">
        <v>60</v>
      </c>
      <c r="AL2240" s="1" t="s">
        <v>60</v>
      </c>
      <c r="AW2240" s="1" t="s">
        <v>1352</v>
      </c>
      <c r="AY2240" s="1">
        <v>1.0</v>
      </c>
      <c r="AZ2240" s="1">
        <v>189.99</v>
      </c>
      <c r="BB2240" s="1">
        <v>189.99</v>
      </c>
    </row>
    <row r="2241">
      <c r="A2241" s="1" t="s">
        <v>2195</v>
      </c>
      <c r="C2241" s="1" t="s">
        <v>56</v>
      </c>
      <c r="D2241" s="1" t="s">
        <v>3424</v>
      </c>
      <c r="Y2241" s="2">
        <v>45512.0</v>
      </c>
      <c r="AE2241" s="1">
        <v>44.99</v>
      </c>
      <c r="AG2241" s="3" t="str">
        <f>"2000006144332951"</f>
        <v>2000006144332951</v>
      </c>
      <c r="AH2241" s="1" t="s">
        <v>58</v>
      </c>
      <c r="AI2241" s="1" t="s">
        <v>59</v>
      </c>
      <c r="AJ2241" s="1" t="s">
        <v>59</v>
      </c>
      <c r="AK2241" s="1" t="s">
        <v>60</v>
      </c>
      <c r="AL2241" s="1" t="s">
        <v>60</v>
      </c>
      <c r="AW2241" s="1" t="s">
        <v>2197</v>
      </c>
      <c r="AY2241" s="1">
        <v>1.0</v>
      </c>
      <c r="AZ2241" s="1">
        <v>44.99</v>
      </c>
      <c r="BB2241" s="1">
        <v>44.99</v>
      </c>
    </row>
    <row r="2242">
      <c r="A2242" s="1" t="s">
        <v>950</v>
      </c>
      <c r="C2242" s="1" t="s">
        <v>56</v>
      </c>
      <c r="D2242" s="1" t="s">
        <v>3425</v>
      </c>
      <c r="Y2242" s="2">
        <v>45512.0</v>
      </c>
      <c r="AE2242" s="1">
        <v>119.99</v>
      </c>
      <c r="AG2242" s="3" t="str">
        <f>"2000008979727706"</f>
        <v>2000008979727706</v>
      </c>
      <c r="AH2242" s="1" t="s">
        <v>58</v>
      </c>
      <c r="AI2242" s="1" t="s">
        <v>59</v>
      </c>
      <c r="AJ2242" s="1" t="s">
        <v>59</v>
      </c>
      <c r="AK2242" s="1" t="s">
        <v>60</v>
      </c>
      <c r="AL2242" s="1" t="s">
        <v>60</v>
      </c>
      <c r="AW2242" s="1" t="s">
        <v>952</v>
      </c>
      <c r="AY2242" s="1">
        <v>1.0</v>
      </c>
      <c r="AZ2242" s="1">
        <v>119.99</v>
      </c>
      <c r="BB2242" s="1">
        <v>119.99</v>
      </c>
    </row>
    <row r="2243">
      <c r="A2243" s="1" t="s">
        <v>230</v>
      </c>
      <c r="C2243" s="1" t="s">
        <v>56</v>
      </c>
      <c r="D2243" s="1" t="s">
        <v>3426</v>
      </c>
      <c r="Y2243" s="2">
        <v>45512.0</v>
      </c>
      <c r="AE2243" s="1">
        <v>54.99</v>
      </c>
      <c r="AG2243" s="3" t="str">
        <f>"2000006144298065"</f>
        <v>2000006144298065</v>
      </c>
      <c r="AH2243" s="1" t="s">
        <v>58</v>
      </c>
      <c r="AI2243" s="1" t="s">
        <v>59</v>
      </c>
      <c r="AJ2243" s="1" t="s">
        <v>59</v>
      </c>
      <c r="AK2243" s="1" t="s">
        <v>60</v>
      </c>
      <c r="AL2243" s="1" t="s">
        <v>60</v>
      </c>
      <c r="AW2243" s="1" t="s">
        <v>85</v>
      </c>
      <c r="AY2243" s="1">
        <v>1.0</v>
      </c>
      <c r="AZ2243" s="1">
        <v>54.99</v>
      </c>
      <c r="BB2243" s="1">
        <v>54.99</v>
      </c>
    </row>
    <row r="2244">
      <c r="A2244" s="1" t="s">
        <v>798</v>
      </c>
      <c r="C2244" s="1" t="s">
        <v>56</v>
      </c>
      <c r="D2244" s="1" t="s">
        <v>3427</v>
      </c>
      <c r="Y2244" s="2">
        <v>45512.0</v>
      </c>
      <c r="AE2244" s="1">
        <v>89.99</v>
      </c>
      <c r="AG2244" s="3" t="str">
        <f>"2000006144299731"</f>
        <v>2000006144299731</v>
      </c>
      <c r="AH2244" s="1" t="s">
        <v>58</v>
      </c>
      <c r="AI2244" s="1" t="s">
        <v>59</v>
      </c>
      <c r="AJ2244" s="1" t="s">
        <v>59</v>
      </c>
      <c r="AK2244" s="1" t="s">
        <v>60</v>
      </c>
      <c r="AL2244" s="1" t="s">
        <v>60</v>
      </c>
      <c r="AW2244" s="1" t="s">
        <v>800</v>
      </c>
      <c r="AY2244" s="1">
        <v>1.0</v>
      </c>
      <c r="AZ2244" s="1">
        <v>89.99</v>
      </c>
      <c r="BB2244" s="1">
        <v>89.99</v>
      </c>
    </row>
    <row r="2245">
      <c r="A2245" s="1" t="s">
        <v>210</v>
      </c>
      <c r="C2245" s="1" t="s">
        <v>235</v>
      </c>
      <c r="D2245" s="1" t="s">
        <v>3385</v>
      </c>
      <c r="Y2245" s="2">
        <v>45512.0</v>
      </c>
      <c r="AE2245" s="1">
        <v>61.99</v>
      </c>
      <c r="AG2245" s="3" t="str">
        <f t="shared" ref="AG2245:AG2246" si="90">"2000006144298527"</f>
        <v>2000006144298527</v>
      </c>
      <c r="AH2245" s="1" t="s">
        <v>58</v>
      </c>
      <c r="AI2245" s="1" t="s">
        <v>59</v>
      </c>
      <c r="AJ2245" s="1" t="s">
        <v>59</v>
      </c>
      <c r="AK2245" s="1" t="s">
        <v>60</v>
      </c>
      <c r="AL2245" s="1" t="s">
        <v>60</v>
      </c>
      <c r="AW2245" s="1" t="s">
        <v>211</v>
      </c>
      <c r="AY2245" s="1">
        <v>1.0</v>
      </c>
      <c r="AZ2245" s="1">
        <v>61.99</v>
      </c>
      <c r="BB2245" s="1">
        <v>61.99</v>
      </c>
    </row>
    <row r="2246">
      <c r="A2246" s="1" t="s">
        <v>224</v>
      </c>
      <c r="C2246" s="1" t="s">
        <v>235</v>
      </c>
      <c r="D2246" s="1" t="s">
        <v>3385</v>
      </c>
      <c r="Y2246" s="2">
        <v>45512.0</v>
      </c>
      <c r="AE2246" s="1">
        <v>119.99</v>
      </c>
      <c r="AG2246" s="3" t="str">
        <f t="shared" si="90"/>
        <v>2000006144298527</v>
      </c>
      <c r="AH2246" s="1" t="s">
        <v>58</v>
      </c>
      <c r="AI2246" s="1" t="s">
        <v>59</v>
      </c>
      <c r="AJ2246" s="1" t="s">
        <v>59</v>
      </c>
      <c r="AK2246" s="1" t="s">
        <v>60</v>
      </c>
      <c r="AL2246" s="1" t="s">
        <v>60</v>
      </c>
      <c r="AW2246" s="1" t="s">
        <v>226</v>
      </c>
      <c r="AY2246" s="1">
        <v>1.0</v>
      </c>
      <c r="AZ2246" s="1">
        <v>119.99</v>
      </c>
      <c r="BB2246" s="1">
        <v>119.99</v>
      </c>
    </row>
    <row r="2247">
      <c r="A2247" s="1" t="s">
        <v>3428</v>
      </c>
      <c r="C2247" s="1" t="s">
        <v>56</v>
      </c>
      <c r="D2247" s="1" t="s">
        <v>3429</v>
      </c>
      <c r="Y2247" s="2">
        <v>45512.0</v>
      </c>
      <c r="AE2247" s="1">
        <v>219.96</v>
      </c>
      <c r="AG2247" s="3" t="str">
        <f>"2000006144289521"</f>
        <v>2000006144289521</v>
      </c>
      <c r="AH2247" s="1" t="s">
        <v>58</v>
      </c>
      <c r="AI2247" s="1" t="s">
        <v>59</v>
      </c>
      <c r="AJ2247" s="1" t="s">
        <v>59</v>
      </c>
      <c r="AK2247" s="1" t="s">
        <v>60</v>
      </c>
      <c r="AL2247" s="1" t="s">
        <v>60</v>
      </c>
      <c r="AW2247" s="1" t="s">
        <v>295</v>
      </c>
      <c r="AY2247" s="1">
        <v>4.0</v>
      </c>
      <c r="AZ2247" s="1">
        <v>54.99</v>
      </c>
      <c r="BB2247" s="1">
        <v>219.96</v>
      </c>
    </row>
    <row r="2248">
      <c r="A2248" s="1" t="s">
        <v>3430</v>
      </c>
      <c r="C2248" s="1" t="s">
        <v>56</v>
      </c>
      <c r="D2248" s="1" t="s">
        <v>3431</v>
      </c>
      <c r="Y2248" s="2">
        <v>45512.0</v>
      </c>
      <c r="AE2248" s="1">
        <v>99.99</v>
      </c>
      <c r="AG2248" s="3" t="str">
        <f>"2000006144276789"</f>
        <v>2000006144276789</v>
      </c>
      <c r="AH2248" s="1" t="s">
        <v>58</v>
      </c>
      <c r="AI2248" s="1" t="s">
        <v>59</v>
      </c>
      <c r="AJ2248" s="1" t="s">
        <v>59</v>
      </c>
      <c r="AK2248" s="1" t="s">
        <v>60</v>
      </c>
      <c r="AL2248" s="1" t="s">
        <v>60</v>
      </c>
      <c r="AW2248" s="1" t="s">
        <v>3432</v>
      </c>
      <c r="AY2248" s="1">
        <v>1.0</v>
      </c>
      <c r="AZ2248" s="1">
        <v>99.99</v>
      </c>
      <c r="BB2248" s="1">
        <v>99.99</v>
      </c>
    </row>
    <row r="2249">
      <c r="A2249" s="1" t="s">
        <v>195</v>
      </c>
      <c r="C2249" s="1" t="s">
        <v>56</v>
      </c>
      <c r="D2249" s="1" t="s">
        <v>3433</v>
      </c>
      <c r="Y2249" s="2">
        <v>45512.0</v>
      </c>
      <c r="AE2249" s="1">
        <v>95.98</v>
      </c>
      <c r="AG2249" s="3" t="str">
        <f>"2000006144260655"</f>
        <v>2000006144260655</v>
      </c>
      <c r="AH2249" s="1" t="s">
        <v>58</v>
      </c>
      <c r="AI2249" s="1" t="s">
        <v>59</v>
      </c>
      <c r="AJ2249" s="1" t="s">
        <v>59</v>
      </c>
      <c r="AK2249" s="1" t="s">
        <v>60</v>
      </c>
      <c r="AL2249" s="1" t="s">
        <v>60</v>
      </c>
      <c r="AW2249" s="1" t="s">
        <v>197</v>
      </c>
      <c r="AY2249" s="1">
        <v>2.0</v>
      </c>
      <c r="AZ2249" s="1">
        <v>47.99</v>
      </c>
      <c r="BB2249" s="1">
        <v>95.98</v>
      </c>
    </row>
    <row r="2250">
      <c r="A2250" s="1" t="s">
        <v>3434</v>
      </c>
      <c r="C2250" s="1" t="s">
        <v>56</v>
      </c>
      <c r="D2250" s="1" t="s">
        <v>3435</v>
      </c>
      <c r="Y2250" s="2">
        <v>45512.0</v>
      </c>
      <c r="AE2250" s="1">
        <v>154.99</v>
      </c>
      <c r="AG2250" s="3" t="str">
        <f>"2000006144262867"</f>
        <v>2000006144262867</v>
      </c>
      <c r="AH2250" s="1" t="s">
        <v>58</v>
      </c>
      <c r="AI2250" s="1" t="s">
        <v>59</v>
      </c>
      <c r="AJ2250" s="1" t="s">
        <v>59</v>
      </c>
      <c r="AK2250" s="1" t="s">
        <v>60</v>
      </c>
      <c r="AL2250" s="1" t="s">
        <v>60</v>
      </c>
      <c r="AW2250" s="1" t="s">
        <v>3436</v>
      </c>
      <c r="AY2250" s="1">
        <v>1.0</v>
      </c>
      <c r="AZ2250" s="1">
        <v>154.99</v>
      </c>
      <c r="BB2250" s="1">
        <v>154.99</v>
      </c>
    </row>
    <row r="2251">
      <c r="A2251" s="1" t="s">
        <v>1898</v>
      </c>
      <c r="C2251" s="1" t="s">
        <v>56</v>
      </c>
      <c r="D2251" s="1" t="s">
        <v>3437</v>
      </c>
      <c r="Y2251" s="2">
        <v>45512.0</v>
      </c>
      <c r="AE2251" s="1">
        <v>79.99</v>
      </c>
      <c r="AG2251" s="3" t="str">
        <f>"2000006144254357"</f>
        <v>2000006144254357</v>
      </c>
      <c r="AH2251" s="1" t="s">
        <v>58</v>
      </c>
      <c r="AI2251" s="1" t="s">
        <v>59</v>
      </c>
      <c r="AJ2251" s="1" t="s">
        <v>59</v>
      </c>
      <c r="AK2251" s="1" t="s">
        <v>60</v>
      </c>
      <c r="AL2251" s="1" t="s">
        <v>60</v>
      </c>
      <c r="AW2251" s="1" t="s">
        <v>1900</v>
      </c>
      <c r="AY2251" s="1">
        <v>1.0</v>
      </c>
      <c r="AZ2251" s="1">
        <v>79.99</v>
      </c>
      <c r="BB2251" s="1">
        <v>79.99</v>
      </c>
    </row>
    <row r="2252">
      <c r="A2252" s="1" t="s">
        <v>377</v>
      </c>
      <c r="C2252" s="1" t="s">
        <v>56</v>
      </c>
      <c r="D2252" s="1" t="s">
        <v>3438</v>
      </c>
      <c r="Y2252" s="2">
        <v>45512.0</v>
      </c>
      <c r="AE2252" s="1">
        <v>64.99</v>
      </c>
      <c r="AG2252" s="3" t="str">
        <f>"2000006144223109"</f>
        <v>2000006144223109</v>
      </c>
      <c r="AH2252" s="1" t="s">
        <v>58</v>
      </c>
      <c r="AI2252" s="1" t="s">
        <v>59</v>
      </c>
      <c r="AJ2252" s="1" t="s">
        <v>59</v>
      </c>
      <c r="AK2252" s="1" t="s">
        <v>60</v>
      </c>
      <c r="AL2252" s="1" t="s">
        <v>60</v>
      </c>
      <c r="AW2252" s="1" t="s">
        <v>79</v>
      </c>
      <c r="AY2252" s="1">
        <v>1.0</v>
      </c>
      <c r="AZ2252" s="1">
        <v>64.99</v>
      </c>
      <c r="BB2252" s="1">
        <v>64.99</v>
      </c>
    </row>
    <row r="2253">
      <c r="A2253" s="1" t="s">
        <v>1851</v>
      </c>
      <c r="C2253" s="1" t="s">
        <v>235</v>
      </c>
      <c r="D2253" s="1" t="s">
        <v>3439</v>
      </c>
      <c r="Y2253" s="2">
        <v>45512.0</v>
      </c>
      <c r="AE2253" s="1">
        <v>49.99</v>
      </c>
      <c r="AG2253" s="3" t="str">
        <f>"2000006144189431"</f>
        <v>2000006144189431</v>
      </c>
      <c r="AH2253" s="1" t="s">
        <v>58</v>
      </c>
      <c r="AI2253" s="1" t="s">
        <v>59</v>
      </c>
      <c r="AJ2253" s="1" t="s">
        <v>59</v>
      </c>
      <c r="AK2253" s="1" t="s">
        <v>60</v>
      </c>
      <c r="AL2253" s="1" t="s">
        <v>60</v>
      </c>
      <c r="AW2253" s="1" t="s">
        <v>1853</v>
      </c>
      <c r="AY2253" s="1">
        <v>1.0</v>
      </c>
      <c r="AZ2253" s="1">
        <v>49.99</v>
      </c>
      <c r="BB2253" s="1">
        <v>49.99</v>
      </c>
    </row>
    <row r="2254">
      <c r="A2254" s="1" t="s">
        <v>2269</v>
      </c>
      <c r="C2254" s="1" t="s">
        <v>56</v>
      </c>
      <c r="D2254" s="1" t="s">
        <v>3440</v>
      </c>
      <c r="Y2254" s="2">
        <v>45512.0</v>
      </c>
      <c r="AE2254" s="1">
        <v>49.99</v>
      </c>
      <c r="AG2254" s="3" t="str">
        <f>"2000006144185453"</f>
        <v>2000006144185453</v>
      </c>
      <c r="AH2254" s="1" t="s">
        <v>58</v>
      </c>
      <c r="AI2254" s="1" t="s">
        <v>59</v>
      </c>
      <c r="AJ2254" s="1" t="s">
        <v>59</v>
      </c>
      <c r="AK2254" s="1" t="s">
        <v>60</v>
      </c>
      <c r="AL2254" s="1" t="s">
        <v>60</v>
      </c>
      <c r="AW2254" s="1" t="s">
        <v>1838</v>
      </c>
      <c r="AY2254" s="1">
        <v>1.0</v>
      </c>
      <c r="AZ2254" s="1">
        <v>49.99</v>
      </c>
      <c r="BB2254" s="1">
        <v>49.99</v>
      </c>
    </row>
    <row r="2255">
      <c r="A2255" s="1" t="s">
        <v>1600</v>
      </c>
      <c r="C2255" s="1" t="s">
        <v>56</v>
      </c>
      <c r="D2255" s="1" t="s">
        <v>3441</v>
      </c>
      <c r="Y2255" s="2">
        <v>45512.0</v>
      </c>
      <c r="AE2255" s="1">
        <v>89.99</v>
      </c>
      <c r="AG2255" s="3" t="str">
        <f>"2000006144179281"</f>
        <v>2000006144179281</v>
      </c>
      <c r="AH2255" s="1" t="s">
        <v>58</v>
      </c>
      <c r="AI2255" s="1" t="s">
        <v>59</v>
      </c>
      <c r="AJ2255" s="1" t="s">
        <v>59</v>
      </c>
      <c r="AK2255" s="1" t="s">
        <v>60</v>
      </c>
      <c r="AL2255" s="1" t="s">
        <v>60</v>
      </c>
      <c r="AW2255" s="1" t="s">
        <v>1601</v>
      </c>
      <c r="AY2255" s="1">
        <v>1.0</v>
      </c>
      <c r="AZ2255" s="1">
        <v>89.99</v>
      </c>
      <c r="BB2255" s="1">
        <v>89.99</v>
      </c>
    </row>
    <row r="2256">
      <c r="A2256" s="1" t="s">
        <v>536</v>
      </c>
      <c r="C2256" s="1" t="s">
        <v>56</v>
      </c>
      <c r="D2256" s="1" t="s">
        <v>3442</v>
      </c>
      <c r="Y2256" s="2">
        <v>45512.0</v>
      </c>
      <c r="AE2256" s="1">
        <v>89.99</v>
      </c>
      <c r="AG2256" s="3" t="str">
        <f>"2000006144186759"</f>
        <v>2000006144186759</v>
      </c>
      <c r="AH2256" s="1" t="s">
        <v>58</v>
      </c>
      <c r="AI2256" s="1" t="s">
        <v>59</v>
      </c>
      <c r="AJ2256" s="1" t="s">
        <v>59</v>
      </c>
      <c r="AK2256" s="1" t="s">
        <v>60</v>
      </c>
      <c r="AL2256" s="1" t="s">
        <v>60</v>
      </c>
      <c r="AW2256" s="1" t="s">
        <v>538</v>
      </c>
      <c r="AY2256" s="1">
        <v>1.0</v>
      </c>
      <c r="AZ2256" s="1">
        <v>89.99</v>
      </c>
      <c r="BB2256" s="1">
        <v>89.99</v>
      </c>
    </row>
    <row r="2257">
      <c r="A2257" s="1" t="s">
        <v>575</v>
      </c>
      <c r="C2257" s="1" t="s">
        <v>56</v>
      </c>
      <c r="D2257" s="1" t="s">
        <v>3443</v>
      </c>
      <c r="Y2257" s="2">
        <v>45512.0</v>
      </c>
      <c r="AE2257" s="1">
        <v>49.99</v>
      </c>
      <c r="AG2257" s="3" t="str">
        <f>"2000006144185845"</f>
        <v>2000006144185845</v>
      </c>
      <c r="AH2257" s="1" t="s">
        <v>58</v>
      </c>
      <c r="AI2257" s="1" t="s">
        <v>59</v>
      </c>
      <c r="AJ2257" s="1" t="s">
        <v>59</v>
      </c>
      <c r="AK2257" s="1" t="s">
        <v>60</v>
      </c>
      <c r="AL2257" s="1" t="s">
        <v>60</v>
      </c>
      <c r="AW2257" s="1" t="s">
        <v>97</v>
      </c>
      <c r="AY2257" s="1">
        <v>1.0</v>
      </c>
      <c r="AZ2257" s="1">
        <v>49.99</v>
      </c>
      <c r="BB2257" s="1">
        <v>49.99</v>
      </c>
    </row>
    <row r="2258">
      <c r="A2258" s="1" t="s">
        <v>2772</v>
      </c>
      <c r="C2258" s="1" t="s">
        <v>56</v>
      </c>
      <c r="D2258" s="1" t="s">
        <v>3444</v>
      </c>
      <c r="Y2258" s="2">
        <v>45512.0</v>
      </c>
      <c r="AE2258" s="1">
        <v>99.99</v>
      </c>
      <c r="AG2258" s="3" t="str">
        <f>"2000006144183003"</f>
        <v>2000006144183003</v>
      </c>
      <c r="AH2258" s="1" t="s">
        <v>58</v>
      </c>
      <c r="AI2258" s="1" t="s">
        <v>59</v>
      </c>
      <c r="AJ2258" s="1" t="s">
        <v>59</v>
      </c>
      <c r="AK2258" s="1" t="s">
        <v>60</v>
      </c>
      <c r="AL2258" s="1" t="s">
        <v>60</v>
      </c>
      <c r="AW2258" s="1" t="s">
        <v>2774</v>
      </c>
      <c r="AY2258" s="1">
        <v>1.0</v>
      </c>
      <c r="AZ2258" s="1">
        <v>99.99</v>
      </c>
      <c r="BB2258" s="1">
        <v>99.99</v>
      </c>
    </row>
    <row r="2259">
      <c r="A2259" s="1" t="s">
        <v>1316</v>
      </c>
      <c r="C2259" s="1" t="s">
        <v>56</v>
      </c>
      <c r="D2259" s="1" t="s">
        <v>3445</v>
      </c>
      <c r="Y2259" s="2">
        <v>45512.0</v>
      </c>
      <c r="AE2259" s="1">
        <v>45.99</v>
      </c>
      <c r="AG2259" s="3" t="str">
        <f>"2000006144183965"</f>
        <v>2000006144183965</v>
      </c>
      <c r="AH2259" s="1" t="s">
        <v>58</v>
      </c>
      <c r="AI2259" s="1" t="s">
        <v>59</v>
      </c>
      <c r="AJ2259" s="1" t="s">
        <v>59</v>
      </c>
      <c r="AK2259" s="1" t="s">
        <v>60</v>
      </c>
      <c r="AL2259" s="1" t="s">
        <v>60</v>
      </c>
      <c r="AW2259" s="1" t="s">
        <v>100</v>
      </c>
      <c r="AY2259" s="1">
        <v>1.0</v>
      </c>
      <c r="AZ2259" s="1">
        <v>45.99</v>
      </c>
      <c r="BB2259" s="1">
        <v>45.99</v>
      </c>
    </row>
    <row r="2260">
      <c r="A2260" s="1" t="s">
        <v>533</v>
      </c>
      <c r="C2260" s="1" t="s">
        <v>56</v>
      </c>
      <c r="D2260" s="1" t="s">
        <v>3446</v>
      </c>
      <c r="Y2260" s="2">
        <v>45512.0</v>
      </c>
      <c r="AE2260" s="1">
        <v>179.98</v>
      </c>
      <c r="AG2260" s="3" t="str">
        <f>"2000006144174583"</f>
        <v>2000006144174583</v>
      </c>
      <c r="AH2260" s="1" t="s">
        <v>58</v>
      </c>
      <c r="AI2260" s="1" t="s">
        <v>59</v>
      </c>
      <c r="AJ2260" s="1" t="s">
        <v>59</v>
      </c>
      <c r="AK2260" s="1" t="s">
        <v>60</v>
      </c>
      <c r="AL2260" s="1" t="s">
        <v>60</v>
      </c>
      <c r="AW2260" s="1" t="s">
        <v>535</v>
      </c>
      <c r="AY2260" s="1">
        <v>2.0</v>
      </c>
      <c r="AZ2260" s="1">
        <v>89.99</v>
      </c>
      <c r="BB2260" s="1">
        <v>179.98</v>
      </c>
    </row>
    <row r="2261">
      <c r="A2261" s="1" t="s">
        <v>2153</v>
      </c>
      <c r="C2261" s="1" t="s">
        <v>56</v>
      </c>
      <c r="D2261" s="1" t="s">
        <v>3447</v>
      </c>
      <c r="Y2261" s="2">
        <v>45512.0</v>
      </c>
      <c r="AE2261" s="1">
        <v>59.99</v>
      </c>
      <c r="AG2261" s="3" t="str">
        <f>"2000006144140285"</f>
        <v>2000006144140285</v>
      </c>
      <c r="AH2261" s="1" t="s">
        <v>58</v>
      </c>
      <c r="AI2261" s="1" t="s">
        <v>59</v>
      </c>
      <c r="AJ2261" s="1" t="s">
        <v>59</v>
      </c>
      <c r="AK2261" s="1" t="s">
        <v>60</v>
      </c>
      <c r="AL2261" s="1" t="s">
        <v>60</v>
      </c>
      <c r="AW2261" s="1" t="s">
        <v>2154</v>
      </c>
      <c r="AY2261" s="1">
        <v>1.0</v>
      </c>
      <c r="AZ2261" s="1">
        <v>59.99</v>
      </c>
      <c r="BB2261" s="1">
        <v>59.99</v>
      </c>
    </row>
    <row r="2262">
      <c r="A2262" s="1" t="s">
        <v>803</v>
      </c>
      <c r="C2262" s="1" t="s">
        <v>56</v>
      </c>
      <c r="D2262" s="1" t="s">
        <v>3448</v>
      </c>
      <c r="Y2262" s="2">
        <v>45512.0</v>
      </c>
      <c r="AE2262" s="1">
        <v>64.99</v>
      </c>
      <c r="AG2262" s="3" t="str">
        <f>"2000006144152017"</f>
        <v>2000006144152017</v>
      </c>
      <c r="AH2262" s="1" t="s">
        <v>58</v>
      </c>
      <c r="AI2262" s="1" t="s">
        <v>59</v>
      </c>
      <c r="AJ2262" s="1" t="s">
        <v>59</v>
      </c>
      <c r="AK2262" s="1" t="s">
        <v>60</v>
      </c>
      <c r="AL2262" s="1" t="s">
        <v>60</v>
      </c>
      <c r="AW2262" s="1" t="s">
        <v>805</v>
      </c>
      <c r="AY2262" s="1">
        <v>1.0</v>
      </c>
      <c r="AZ2262" s="1">
        <v>64.99</v>
      </c>
      <c r="BB2262" s="1">
        <v>64.99</v>
      </c>
    </row>
    <row r="2263">
      <c r="A2263" s="1" t="s">
        <v>1045</v>
      </c>
      <c r="C2263" s="1" t="s">
        <v>56</v>
      </c>
      <c r="D2263" s="1" t="s">
        <v>3449</v>
      </c>
      <c r="Y2263" s="2">
        <v>45512.0</v>
      </c>
      <c r="AE2263" s="1">
        <v>89.99</v>
      </c>
      <c r="AG2263" s="3" t="str">
        <f>"2000006144110067"</f>
        <v>2000006144110067</v>
      </c>
      <c r="AH2263" s="1" t="s">
        <v>58</v>
      </c>
      <c r="AI2263" s="1" t="s">
        <v>59</v>
      </c>
      <c r="AJ2263" s="1" t="s">
        <v>59</v>
      </c>
      <c r="AK2263" s="1" t="s">
        <v>60</v>
      </c>
      <c r="AL2263" s="1" t="s">
        <v>60</v>
      </c>
      <c r="AW2263" s="1" t="s">
        <v>1047</v>
      </c>
      <c r="AY2263" s="1">
        <v>1.0</v>
      </c>
      <c r="AZ2263" s="1">
        <v>89.99</v>
      </c>
      <c r="BB2263" s="1">
        <v>89.99</v>
      </c>
    </row>
    <row r="2264">
      <c r="A2264" s="1" t="s">
        <v>407</v>
      </c>
      <c r="C2264" s="1" t="s">
        <v>56</v>
      </c>
      <c r="D2264" s="1" t="s">
        <v>3450</v>
      </c>
      <c r="Y2264" s="2">
        <v>45512.0</v>
      </c>
      <c r="AE2264" s="1">
        <v>94.99</v>
      </c>
      <c r="AG2264" s="3" t="str">
        <f>"2000006144103193"</f>
        <v>2000006144103193</v>
      </c>
      <c r="AH2264" s="1" t="s">
        <v>58</v>
      </c>
      <c r="AI2264" s="1" t="s">
        <v>59</v>
      </c>
      <c r="AJ2264" s="1" t="s">
        <v>59</v>
      </c>
      <c r="AK2264" s="1" t="s">
        <v>60</v>
      </c>
      <c r="AL2264" s="1" t="s">
        <v>60</v>
      </c>
      <c r="AW2264" s="1" t="s">
        <v>409</v>
      </c>
      <c r="AY2264" s="1">
        <v>1.0</v>
      </c>
      <c r="AZ2264" s="1">
        <v>94.99</v>
      </c>
      <c r="BB2264" s="1">
        <v>94.99</v>
      </c>
    </row>
    <row r="2265">
      <c r="A2265" s="1" t="s">
        <v>2137</v>
      </c>
      <c r="C2265" s="1" t="s">
        <v>56</v>
      </c>
      <c r="D2265" s="1" t="s">
        <v>3451</v>
      </c>
      <c r="Y2265" s="2">
        <v>45512.0</v>
      </c>
      <c r="AE2265" s="1">
        <v>39.99</v>
      </c>
      <c r="AG2265" s="3" t="str">
        <f>"2000006144099055"</f>
        <v>2000006144099055</v>
      </c>
      <c r="AH2265" s="1" t="s">
        <v>58</v>
      </c>
      <c r="AI2265" s="1" t="s">
        <v>59</v>
      </c>
      <c r="AJ2265" s="1" t="s">
        <v>59</v>
      </c>
      <c r="AK2265" s="1" t="s">
        <v>60</v>
      </c>
      <c r="AL2265" s="1" t="s">
        <v>60</v>
      </c>
      <c r="AW2265" s="1" t="s">
        <v>2139</v>
      </c>
      <c r="AY2265" s="1">
        <v>1.0</v>
      </c>
      <c r="AZ2265" s="1">
        <v>39.99</v>
      </c>
      <c r="BB2265" s="1">
        <v>39.99</v>
      </c>
    </row>
    <row r="2266">
      <c r="A2266" s="1" t="s">
        <v>351</v>
      </c>
      <c r="C2266" s="1" t="s">
        <v>56</v>
      </c>
      <c r="D2266" s="1" t="s">
        <v>3452</v>
      </c>
      <c r="Y2266" s="2">
        <v>45512.0</v>
      </c>
      <c r="AE2266" s="1">
        <v>119.99</v>
      </c>
      <c r="AG2266" s="3" t="str">
        <f>"2000006144093277"</f>
        <v>2000006144093277</v>
      </c>
      <c r="AH2266" s="1" t="s">
        <v>58</v>
      </c>
      <c r="AI2266" s="1" t="s">
        <v>59</v>
      </c>
      <c r="AJ2266" s="1" t="s">
        <v>59</v>
      </c>
      <c r="AK2266" s="1" t="s">
        <v>60</v>
      </c>
      <c r="AL2266" s="1" t="s">
        <v>60</v>
      </c>
      <c r="AW2266" s="1" t="s">
        <v>353</v>
      </c>
      <c r="AY2266" s="1">
        <v>1.0</v>
      </c>
      <c r="AZ2266" s="1">
        <v>119.99</v>
      </c>
      <c r="BB2266" s="1">
        <v>119.99</v>
      </c>
    </row>
    <row r="2267">
      <c r="A2267" s="1" t="s">
        <v>3345</v>
      </c>
      <c r="C2267" s="1" t="s">
        <v>56</v>
      </c>
      <c r="D2267" s="1" t="s">
        <v>3453</v>
      </c>
      <c r="Y2267" s="2">
        <v>45511.0</v>
      </c>
      <c r="AE2267" s="1">
        <v>54.99</v>
      </c>
      <c r="AG2267" s="3" t="str">
        <f>"2000006144056299"</f>
        <v>2000006144056299</v>
      </c>
      <c r="AH2267" s="1" t="s">
        <v>58</v>
      </c>
      <c r="AI2267" s="1" t="s">
        <v>59</v>
      </c>
      <c r="AJ2267" s="1" t="s">
        <v>59</v>
      </c>
      <c r="AK2267" s="1" t="s">
        <v>60</v>
      </c>
      <c r="AL2267" s="1" t="s">
        <v>60</v>
      </c>
      <c r="AW2267" s="1" t="s">
        <v>3347</v>
      </c>
      <c r="AY2267" s="1">
        <v>1.0</v>
      </c>
      <c r="AZ2267" s="1">
        <v>54.99</v>
      </c>
      <c r="BB2267" s="1">
        <v>54.99</v>
      </c>
    </row>
    <row r="2268">
      <c r="A2268" s="1" t="s">
        <v>89</v>
      </c>
      <c r="C2268" s="1" t="s">
        <v>56</v>
      </c>
      <c r="D2268" s="1" t="s">
        <v>3454</v>
      </c>
      <c r="Y2268" s="2">
        <v>45511.0</v>
      </c>
      <c r="AE2268" s="1">
        <v>109.99</v>
      </c>
      <c r="AG2268" s="3" t="str">
        <f>"2000008979329716"</f>
        <v>2000008979329716</v>
      </c>
      <c r="AH2268" s="1" t="s">
        <v>58</v>
      </c>
      <c r="AI2268" s="1" t="s">
        <v>59</v>
      </c>
      <c r="AJ2268" s="1" t="s">
        <v>59</v>
      </c>
      <c r="AK2268" s="1" t="s">
        <v>60</v>
      </c>
      <c r="AL2268" s="1" t="s">
        <v>60</v>
      </c>
      <c r="AW2268" s="1" t="s">
        <v>91</v>
      </c>
      <c r="AY2268" s="1">
        <v>1.0</v>
      </c>
      <c r="AZ2268" s="1">
        <v>109.99</v>
      </c>
      <c r="BB2268" s="1">
        <v>109.99</v>
      </c>
    </row>
    <row r="2269">
      <c r="A2269" s="1" t="s">
        <v>2441</v>
      </c>
      <c r="C2269" s="1" t="s">
        <v>56</v>
      </c>
      <c r="D2269" s="1" t="s">
        <v>3455</v>
      </c>
      <c r="Y2269" s="2">
        <v>45511.0</v>
      </c>
      <c r="AE2269" s="1">
        <v>89.99</v>
      </c>
      <c r="AG2269" s="3" t="str">
        <f>"2000006144046413"</f>
        <v>2000006144046413</v>
      </c>
      <c r="AH2269" s="1" t="s">
        <v>58</v>
      </c>
      <c r="AI2269" s="1" t="s">
        <v>59</v>
      </c>
      <c r="AJ2269" s="1" t="s">
        <v>59</v>
      </c>
      <c r="AK2269" s="1" t="s">
        <v>60</v>
      </c>
      <c r="AL2269" s="1" t="s">
        <v>60</v>
      </c>
      <c r="AW2269" s="1" t="s">
        <v>2443</v>
      </c>
      <c r="AY2269" s="1">
        <v>1.0</v>
      </c>
      <c r="AZ2269" s="1">
        <v>89.99</v>
      </c>
      <c r="BB2269" s="1">
        <v>89.99</v>
      </c>
    </row>
    <row r="2270">
      <c r="A2270" s="1" t="s">
        <v>2860</v>
      </c>
      <c r="C2270" s="1" t="s">
        <v>56</v>
      </c>
      <c r="D2270" s="1" t="s">
        <v>3456</v>
      </c>
      <c r="Y2270" s="2">
        <v>45511.0</v>
      </c>
      <c r="AE2270" s="1">
        <v>109.99</v>
      </c>
      <c r="AG2270" s="3" t="str">
        <f>"2000006144032645"</f>
        <v>2000006144032645</v>
      </c>
      <c r="AH2270" s="1" t="s">
        <v>58</v>
      </c>
      <c r="AI2270" s="1" t="s">
        <v>59</v>
      </c>
      <c r="AJ2270" s="1" t="s">
        <v>59</v>
      </c>
      <c r="AK2270" s="1" t="s">
        <v>60</v>
      </c>
      <c r="AL2270" s="1" t="s">
        <v>60</v>
      </c>
      <c r="AW2270" s="1" t="s">
        <v>2862</v>
      </c>
      <c r="AY2270" s="1">
        <v>1.0</v>
      </c>
      <c r="AZ2270" s="1">
        <v>109.99</v>
      </c>
      <c r="BB2270" s="1">
        <v>109.99</v>
      </c>
    </row>
    <row r="2271">
      <c r="A2271" s="1" t="s">
        <v>802</v>
      </c>
      <c r="C2271" s="1" t="s">
        <v>56</v>
      </c>
      <c r="D2271" s="1" t="s">
        <v>3457</v>
      </c>
      <c r="Y2271" s="2">
        <v>45511.0</v>
      </c>
      <c r="AE2271" s="1">
        <v>49.99</v>
      </c>
      <c r="AG2271" s="3" t="str">
        <f>"2000006144033275"</f>
        <v>2000006144033275</v>
      </c>
      <c r="AH2271" s="1" t="s">
        <v>58</v>
      </c>
      <c r="AI2271" s="1" t="s">
        <v>59</v>
      </c>
      <c r="AJ2271" s="1" t="s">
        <v>59</v>
      </c>
      <c r="AK2271" s="1" t="s">
        <v>60</v>
      </c>
      <c r="AL2271" s="1" t="s">
        <v>60</v>
      </c>
      <c r="AW2271" s="1" t="s">
        <v>70</v>
      </c>
      <c r="AY2271" s="1">
        <v>1.0</v>
      </c>
      <c r="AZ2271" s="1">
        <v>49.99</v>
      </c>
      <c r="BB2271" s="1">
        <v>49.99</v>
      </c>
    </row>
    <row r="2272">
      <c r="A2272" s="1" t="s">
        <v>771</v>
      </c>
      <c r="C2272" s="1" t="s">
        <v>56</v>
      </c>
      <c r="D2272" s="1" t="s">
        <v>3458</v>
      </c>
      <c r="Y2272" s="2">
        <v>45511.0</v>
      </c>
      <c r="AE2272" s="1">
        <v>139.98</v>
      </c>
      <c r="AG2272" s="3" t="str">
        <f t="shared" ref="AG2272:AG2273" si="91">"2000006144027821"</f>
        <v>2000006144027821</v>
      </c>
      <c r="AH2272" s="1" t="s">
        <v>58</v>
      </c>
      <c r="AI2272" s="1" t="s">
        <v>59</v>
      </c>
      <c r="AJ2272" s="1" t="s">
        <v>59</v>
      </c>
      <c r="AK2272" s="1" t="s">
        <v>60</v>
      </c>
      <c r="AL2272" s="1" t="s">
        <v>60</v>
      </c>
      <c r="AW2272" s="1" t="s">
        <v>773</v>
      </c>
      <c r="AY2272" s="1">
        <v>1.0</v>
      </c>
      <c r="AZ2272" s="1">
        <v>139.98</v>
      </c>
      <c r="BB2272" s="1">
        <v>139.98</v>
      </c>
    </row>
    <row r="2273">
      <c r="A2273" s="1" t="s">
        <v>768</v>
      </c>
      <c r="C2273" s="1" t="s">
        <v>56</v>
      </c>
      <c r="D2273" s="1" t="s">
        <v>3458</v>
      </c>
      <c r="Y2273" s="2">
        <v>45511.0</v>
      </c>
      <c r="AE2273" s="1">
        <v>159.99</v>
      </c>
      <c r="AG2273" s="3" t="str">
        <f t="shared" si="91"/>
        <v>2000006144027821</v>
      </c>
      <c r="AH2273" s="1" t="s">
        <v>58</v>
      </c>
      <c r="AI2273" s="1" t="s">
        <v>59</v>
      </c>
      <c r="AJ2273" s="1" t="s">
        <v>59</v>
      </c>
      <c r="AK2273" s="1" t="s">
        <v>60</v>
      </c>
      <c r="AL2273" s="1" t="s">
        <v>60</v>
      </c>
      <c r="AW2273" s="1" t="s">
        <v>3459</v>
      </c>
      <c r="AY2273" s="1">
        <v>1.0</v>
      </c>
      <c r="AZ2273" s="1">
        <v>159.99</v>
      </c>
      <c r="BB2273" s="1">
        <v>159.99</v>
      </c>
    </row>
    <row r="2274">
      <c r="A2274" s="1" t="s">
        <v>1460</v>
      </c>
      <c r="C2274" s="1" t="s">
        <v>56</v>
      </c>
      <c r="D2274" s="1" t="s">
        <v>3460</v>
      </c>
      <c r="Y2274" s="2">
        <v>45511.0</v>
      </c>
      <c r="AE2274" s="1">
        <v>119.99</v>
      </c>
      <c r="AG2274" s="3" t="str">
        <f>"2000006144001197"</f>
        <v>2000006144001197</v>
      </c>
      <c r="AH2274" s="1" t="s">
        <v>58</v>
      </c>
      <c r="AI2274" s="1" t="s">
        <v>59</v>
      </c>
      <c r="AJ2274" s="1" t="s">
        <v>59</v>
      </c>
      <c r="AK2274" s="1" t="s">
        <v>60</v>
      </c>
      <c r="AL2274" s="1" t="s">
        <v>60</v>
      </c>
      <c r="AW2274" s="1" t="s">
        <v>1462</v>
      </c>
      <c r="AY2274" s="1">
        <v>1.0</v>
      </c>
      <c r="AZ2274" s="1">
        <v>119.99</v>
      </c>
      <c r="BB2274" s="1">
        <v>119.99</v>
      </c>
    </row>
    <row r="2275">
      <c r="A2275" s="1" t="s">
        <v>1946</v>
      </c>
      <c r="C2275" s="1" t="s">
        <v>56</v>
      </c>
      <c r="D2275" s="1" t="s">
        <v>3461</v>
      </c>
      <c r="Y2275" s="2">
        <v>45511.0</v>
      </c>
      <c r="AE2275" s="1">
        <v>39.99</v>
      </c>
      <c r="AG2275" s="3" t="str">
        <f>"2000006143986853"</f>
        <v>2000006143986853</v>
      </c>
      <c r="AH2275" s="1" t="s">
        <v>58</v>
      </c>
      <c r="AI2275" s="1" t="s">
        <v>59</v>
      </c>
      <c r="AJ2275" s="1" t="s">
        <v>59</v>
      </c>
      <c r="AK2275" s="1" t="s">
        <v>60</v>
      </c>
      <c r="AL2275" s="1" t="s">
        <v>60</v>
      </c>
      <c r="AW2275" s="1" t="s">
        <v>1529</v>
      </c>
      <c r="AY2275" s="1">
        <v>1.0</v>
      </c>
      <c r="AZ2275" s="1">
        <v>39.99</v>
      </c>
      <c r="BB2275" s="1">
        <v>39.99</v>
      </c>
    </row>
    <row r="2276">
      <c r="A2276" s="1" t="s">
        <v>345</v>
      </c>
      <c r="C2276" s="1" t="s">
        <v>56</v>
      </c>
      <c r="D2276" s="1" t="s">
        <v>3462</v>
      </c>
      <c r="Y2276" s="2">
        <v>45511.0</v>
      </c>
      <c r="AE2276" s="1">
        <v>164.99</v>
      </c>
      <c r="AG2276" s="3" t="str">
        <f>"2000006143982439"</f>
        <v>2000006143982439</v>
      </c>
      <c r="AH2276" s="1" t="s">
        <v>58</v>
      </c>
      <c r="AI2276" s="1" t="s">
        <v>59</v>
      </c>
      <c r="AJ2276" s="1" t="s">
        <v>59</v>
      </c>
      <c r="AK2276" s="1" t="s">
        <v>60</v>
      </c>
      <c r="AL2276" s="1" t="s">
        <v>60</v>
      </c>
      <c r="AW2276" s="1" t="s">
        <v>347</v>
      </c>
      <c r="AY2276" s="1">
        <v>1.0</v>
      </c>
      <c r="AZ2276" s="1">
        <v>164.99</v>
      </c>
      <c r="BB2276" s="1">
        <v>164.99</v>
      </c>
    </row>
    <row r="2277">
      <c r="A2277" s="1" t="s">
        <v>986</v>
      </c>
      <c r="C2277" s="1" t="s">
        <v>56</v>
      </c>
      <c r="D2277" s="1" t="s">
        <v>3463</v>
      </c>
      <c r="Y2277" s="2">
        <v>45511.0</v>
      </c>
      <c r="AE2277" s="1">
        <v>84.99</v>
      </c>
      <c r="AG2277" s="3" t="str">
        <f>"2000006143958261"</f>
        <v>2000006143958261</v>
      </c>
      <c r="AH2277" s="1" t="s">
        <v>58</v>
      </c>
      <c r="AI2277" s="1" t="s">
        <v>59</v>
      </c>
      <c r="AJ2277" s="1" t="s">
        <v>59</v>
      </c>
      <c r="AK2277" s="1" t="s">
        <v>60</v>
      </c>
      <c r="AL2277" s="1" t="s">
        <v>60</v>
      </c>
      <c r="AW2277" s="1" t="s">
        <v>988</v>
      </c>
      <c r="AY2277" s="1">
        <v>1.0</v>
      </c>
      <c r="AZ2277" s="1">
        <v>84.99</v>
      </c>
      <c r="BB2277" s="1">
        <v>84.99</v>
      </c>
    </row>
    <row r="2278">
      <c r="A2278" s="1" t="s">
        <v>3464</v>
      </c>
      <c r="C2278" s="1" t="s">
        <v>56</v>
      </c>
      <c r="D2278" s="1" t="s">
        <v>3465</v>
      </c>
      <c r="Y2278" s="2">
        <v>45511.0</v>
      </c>
      <c r="AE2278" s="1">
        <v>299.97</v>
      </c>
      <c r="AG2278" s="3" t="str">
        <f>"2000006143961341"</f>
        <v>2000006143961341</v>
      </c>
      <c r="AH2278" s="1" t="s">
        <v>58</v>
      </c>
      <c r="AI2278" s="1" t="s">
        <v>59</v>
      </c>
      <c r="AJ2278" s="1" t="s">
        <v>59</v>
      </c>
      <c r="AK2278" s="1" t="s">
        <v>60</v>
      </c>
      <c r="AL2278" s="1" t="s">
        <v>60</v>
      </c>
      <c r="AW2278" s="1" t="s">
        <v>617</v>
      </c>
      <c r="AY2278" s="1">
        <v>3.0</v>
      </c>
      <c r="AZ2278" s="1">
        <v>99.99</v>
      </c>
      <c r="BB2278" s="1">
        <v>299.969999999999</v>
      </c>
    </row>
    <row r="2279">
      <c r="A2279" s="1" t="s">
        <v>655</v>
      </c>
      <c r="C2279" s="1" t="s">
        <v>56</v>
      </c>
      <c r="D2279" s="1" t="s">
        <v>3466</v>
      </c>
      <c r="Y2279" s="2">
        <v>45511.0</v>
      </c>
      <c r="AE2279" s="1">
        <v>74.99</v>
      </c>
      <c r="AG2279" s="3" t="str">
        <f>"2000006143959043"</f>
        <v>2000006143959043</v>
      </c>
      <c r="AH2279" s="1" t="s">
        <v>58</v>
      </c>
      <c r="AI2279" s="1" t="s">
        <v>59</v>
      </c>
      <c r="AJ2279" s="1" t="s">
        <v>59</v>
      </c>
      <c r="AK2279" s="1" t="s">
        <v>60</v>
      </c>
      <c r="AL2279" s="1" t="s">
        <v>60</v>
      </c>
      <c r="AW2279" s="1" t="s">
        <v>657</v>
      </c>
      <c r="AY2279" s="1">
        <v>1.0</v>
      </c>
      <c r="AZ2279" s="1">
        <v>74.99</v>
      </c>
      <c r="BB2279" s="1">
        <v>74.99</v>
      </c>
    </row>
    <row r="2280">
      <c r="A2280" s="1" t="s">
        <v>1371</v>
      </c>
      <c r="C2280" s="1" t="s">
        <v>235</v>
      </c>
      <c r="D2280" s="1" t="s">
        <v>3467</v>
      </c>
      <c r="Y2280" s="2">
        <v>45511.0</v>
      </c>
      <c r="AE2280" s="1">
        <v>99.99</v>
      </c>
      <c r="AG2280" s="3" t="str">
        <f>"2000008978813598"</f>
        <v>2000008978813598</v>
      </c>
      <c r="AH2280" s="1" t="s">
        <v>58</v>
      </c>
      <c r="AI2280" s="1" t="s">
        <v>59</v>
      </c>
      <c r="AJ2280" s="1" t="s">
        <v>59</v>
      </c>
      <c r="AK2280" s="1" t="s">
        <v>60</v>
      </c>
      <c r="AL2280" s="1" t="s">
        <v>60</v>
      </c>
      <c r="AW2280" s="1" t="s">
        <v>1373</v>
      </c>
      <c r="AY2280" s="1">
        <v>1.0</v>
      </c>
      <c r="AZ2280" s="1">
        <v>99.99</v>
      </c>
      <c r="BB2280" s="1">
        <v>99.99</v>
      </c>
    </row>
    <row r="2281">
      <c r="A2281" s="1" t="s">
        <v>3468</v>
      </c>
      <c r="C2281" s="1" t="s">
        <v>56</v>
      </c>
      <c r="D2281" s="1" t="s">
        <v>3469</v>
      </c>
      <c r="Y2281" s="2">
        <v>45511.0</v>
      </c>
      <c r="AE2281" s="1">
        <v>699.99</v>
      </c>
      <c r="AG2281" s="3" t="str">
        <f>"2000008979178284"</f>
        <v>2000008979178284</v>
      </c>
      <c r="AH2281" s="1" t="s">
        <v>58</v>
      </c>
      <c r="AI2281" s="1" t="s">
        <v>59</v>
      </c>
      <c r="AJ2281" s="1" t="s">
        <v>59</v>
      </c>
      <c r="AK2281" s="1" t="s">
        <v>60</v>
      </c>
      <c r="AL2281" s="1" t="s">
        <v>60</v>
      </c>
      <c r="AW2281" s="1" t="s">
        <v>3470</v>
      </c>
      <c r="AY2281" s="1">
        <v>1.0</v>
      </c>
      <c r="AZ2281" s="1">
        <v>699.99</v>
      </c>
      <c r="BB2281" s="1">
        <v>699.99</v>
      </c>
    </row>
    <row r="2282">
      <c r="A2282" s="1" t="s">
        <v>426</v>
      </c>
      <c r="C2282" s="1" t="s">
        <v>56</v>
      </c>
      <c r="D2282" s="1" t="s">
        <v>1545</v>
      </c>
      <c r="Y2282" s="2">
        <v>45511.0</v>
      </c>
      <c r="AE2282" s="1">
        <v>164.97</v>
      </c>
      <c r="AG2282" s="3" t="str">
        <f>"2000006143922145"</f>
        <v>2000006143922145</v>
      </c>
      <c r="AH2282" s="1" t="s">
        <v>58</v>
      </c>
      <c r="AI2282" s="1" t="s">
        <v>59</v>
      </c>
      <c r="AJ2282" s="1" t="s">
        <v>59</v>
      </c>
      <c r="AK2282" s="1" t="s">
        <v>60</v>
      </c>
      <c r="AL2282" s="1" t="s">
        <v>60</v>
      </c>
      <c r="AW2282" s="1" t="s">
        <v>85</v>
      </c>
      <c r="AY2282" s="1">
        <v>3.0</v>
      </c>
      <c r="AZ2282" s="1">
        <v>54.99</v>
      </c>
      <c r="BB2282" s="1">
        <v>164.97</v>
      </c>
    </row>
    <row r="2283">
      <c r="A2283" s="1" t="s">
        <v>195</v>
      </c>
      <c r="C2283" s="1" t="s">
        <v>56</v>
      </c>
      <c r="D2283" s="1" t="s">
        <v>3471</v>
      </c>
      <c r="Y2283" s="2">
        <v>45511.0</v>
      </c>
      <c r="AE2283" s="1">
        <v>47.99</v>
      </c>
      <c r="AG2283" s="3" t="str">
        <f>"2000006143892235"</f>
        <v>2000006143892235</v>
      </c>
      <c r="AH2283" s="1" t="s">
        <v>58</v>
      </c>
      <c r="AI2283" s="1" t="s">
        <v>59</v>
      </c>
      <c r="AJ2283" s="1" t="s">
        <v>59</v>
      </c>
      <c r="AK2283" s="1" t="s">
        <v>60</v>
      </c>
      <c r="AL2283" s="1" t="s">
        <v>60</v>
      </c>
      <c r="AW2283" s="1" t="s">
        <v>197</v>
      </c>
      <c r="AY2283" s="1">
        <v>1.0</v>
      </c>
      <c r="AZ2283" s="1">
        <v>47.99</v>
      </c>
      <c r="BB2283" s="1">
        <v>47.99</v>
      </c>
    </row>
    <row r="2284">
      <c r="A2284" s="1" t="s">
        <v>131</v>
      </c>
      <c r="C2284" s="1" t="s">
        <v>56</v>
      </c>
      <c r="D2284" s="1" t="s">
        <v>3472</v>
      </c>
      <c r="Y2284" s="2">
        <v>45511.0</v>
      </c>
      <c r="AE2284" s="1">
        <v>54.99</v>
      </c>
      <c r="AG2284" s="3" t="str">
        <f>"2000008979021672"</f>
        <v>2000008979021672</v>
      </c>
      <c r="AH2284" s="1" t="s">
        <v>58</v>
      </c>
      <c r="AI2284" s="1" t="s">
        <v>59</v>
      </c>
      <c r="AJ2284" s="1" t="s">
        <v>59</v>
      </c>
      <c r="AK2284" s="1" t="s">
        <v>60</v>
      </c>
      <c r="AL2284" s="1" t="s">
        <v>60</v>
      </c>
      <c r="AW2284" s="1" t="s">
        <v>133</v>
      </c>
      <c r="AY2284" s="1">
        <v>1.0</v>
      </c>
      <c r="AZ2284" s="1">
        <v>54.99</v>
      </c>
      <c r="BB2284" s="1">
        <v>54.99</v>
      </c>
    </row>
    <row r="2285">
      <c r="A2285" s="1" t="s">
        <v>114</v>
      </c>
      <c r="C2285" s="1" t="s">
        <v>56</v>
      </c>
      <c r="D2285" s="1" t="s">
        <v>3473</v>
      </c>
      <c r="Y2285" s="2">
        <v>45511.0</v>
      </c>
      <c r="AE2285" s="1">
        <v>84.99</v>
      </c>
      <c r="AG2285" s="3" t="str">
        <f>"2000006143818561"</f>
        <v>2000006143818561</v>
      </c>
      <c r="AH2285" s="1" t="s">
        <v>58</v>
      </c>
      <c r="AI2285" s="1" t="s">
        <v>59</v>
      </c>
      <c r="AJ2285" s="1" t="s">
        <v>59</v>
      </c>
      <c r="AK2285" s="1" t="s">
        <v>60</v>
      </c>
      <c r="AL2285" s="1" t="s">
        <v>60</v>
      </c>
      <c r="AW2285" s="1" t="s">
        <v>116</v>
      </c>
      <c r="AY2285" s="1">
        <v>1.0</v>
      </c>
      <c r="AZ2285" s="1">
        <v>84.99</v>
      </c>
      <c r="BB2285" s="1">
        <v>84.99</v>
      </c>
    </row>
    <row r="2286">
      <c r="A2286" s="1" t="s">
        <v>2942</v>
      </c>
      <c r="C2286" s="1" t="s">
        <v>56</v>
      </c>
      <c r="D2286" s="1" t="s">
        <v>3474</v>
      </c>
      <c r="Y2286" s="2">
        <v>45511.0</v>
      </c>
      <c r="AE2286" s="1">
        <v>49.99</v>
      </c>
      <c r="AG2286" s="3" t="str">
        <f>"2000006143804407"</f>
        <v>2000006143804407</v>
      </c>
      <c r="AH2286" s="1" t="s">
        <v>58</v>
      </c>
      <c r="AI2286" s="1" t="s">
        <v>59</v>
      </c>
      <c r="AJ2286" s="1" t="s">
        <v>59</v>
      </c>
      <c r="AK2286" s="1" t="s">
        <v>60</v>
      </c>
      <c r="AL2286" s="1" t="s">
        <v>60</v>
      </c>
      <c r="AW2286" s="1" t="s">
        <v>2944</v>
      </c>
      <c r="AY2286" s="1">
        <v>1.0</v>
      </c>
      <c r="AZ2286" s="1">
        <v>49.99</v>
      </c>
      <c r="BB2286" s="1">
        <v>49.99</v>
      </c>
    </row>
    <row r="2287">
      <c r="A2287" s="1" t="s">
        <v>1727</v>
      </c>
      <c r="C2287" s="1" t="s">
        <v>56</v>
      </c>
      <c r="D2287" s="1" t="s">
        <v>3475</v>
      </c>
      <c r="Y2287" s="2">
        <v>45511.0</v>
      </c>
      <c r="AE2287" s="1">
        <v>549.99</v>
      </c>
      <c r="AG2287" s="3" t="str">
        <f>"2000006143649237"</f>
        <v>2000006143649237</v>
      </c>
      <c r="AH2287" s="1" t="s">
        <v>58</v>
      </c>
      <c r="AI2287" s="1" t="s">
        <v>59</v>
      </c>
      <c r="AJ2287" s="1" t="s">
        <v>59</v>
      </c>
      <c r="AK2287" s="1" t="s">
        <v>60</v>
      </c>
      <c r="AL2287" s="1" t="s">
        <v>60</v>
      </c>
      <c r="AW2287" s="1" t="s">
        <v>1729</v>
      </c>
      <c r="AY2287" s="1">
        <v>1.0</v>
      </c>
      <c r="AZ2287" s="1">
        <v>549.99</v>
      </c>
      <c r="BB2287" s="1">
        <v>549.99</v>
      </c>
    </row>
    <row r="2288">
      <c r="A2288" s="1" t="s">
        <v>232</v>
      </c>
      <c r="C2288" s="1" t="s">
        <v>56</v>
      </c>
      <c r="D2288" s="1" t="s">
        <v>3476</v>
      </c>
      <c r="Y2288" s="2">
        <v>45511.0</v>
      </c>
      <c r="AE2288" s="1">
        <v>79.99</v>
      </c>
      <c r="AG2288" s="3" t="str">
        <f>"2000006143795667"</f>
        <v>2000006143795667</v>
      </c>
      <c r="AH2288" s="1" t="s">
        <v>58</v>
      </c>
      <c r="AI2288" s="1" t="s">
        <v>59</v>
      </c>
      <c r="AJ2288" s="1" t="s">
        <v>59</v>
      </c>
      <c r="AK2288" s="1" t="s">
        <v>60</v>
      </c>
      <c r="AL2288" s="1" t="s">
        <v>60</v>
      </c>
      <c r="AW2288" s="1" t="s">
        <v>234</v>
      </c>
      <c r="AY2288" s="1">
        <v>1.0</v>
      </c>
      <c r="AZ2288" s="1">
        <v>79.99</v>
      </c>
      <c r="BB2288" s="1">
        <v>79.99</v>
      </c>
    </row>
    <row r="2289">
      <c r="A2289" s="1" t="s">
        <v>947</v>
      </c>
      <c r="C2289" s="1" t="s">
        <v>56</v>
      </c>
      <c r="D2289" s="1" t="s">
        <v>3477</v>
      </c>
      <c r="Y2289" s="2">
        <v>45511.0</v>
      </c>
      <c r="AE2289" s="1">
        <v>129.99</v>
      </c>
      <c r="AG2289" s="3" t="str">
        <f>"2000008978720526"</f>
        <v>2000008978720526</v>
      </c>
      <c r="AH2289" s="1" t="s">
        <v>58</v>
      </c>
      <c r="AI2289" s="1" t="s">
        <v>59</v>
      </c>
      <c r="AJ2289" s="1" t="s">
        <v>59</v>
      </c>
      <c r="AK2289" s="1" t="s">
        <v>60</v>
      </c>
      <c r="AL2289" s="1" t="s">
        <v>60</v>
      </c>
      <c r="AW2289" s="1" t="s">
        <v>949</v>
      </c>
      <c r="AY2289" s="1">
        <v>1.0</v>
      </c>
      <c r="AZ2289" s="1">
        <v>129.99</v>
      </c>
      <c r="BB2289" s="1">
        <v>129.99</v>
      </c>
    </row>
    <row r="2290">
      <c r="A2290" s="1" t="s">
        <v>360</v>
      </c>
      <c r="C2290" s="1" t="s">
        <v>56</v>
      </c>
      <c r="D2290" s="1" t="s">
        <v>3478</v>
      </c>
      <c r="Y2290" s="2">
        <v>45511.0</v>
      </c>
      <c r="AE2290" s="1">
        <v>47.18</v>
      </c>
      <c r="AG2290" s="3" t="str">
        <f>"2000006143763359"</f>
        <v>2000006143763359</v>
      </c>
      <c r="AH2290" s="1" t="s">
        <v>58</v>
      </c>
      <c r="AI2290" s="1" t="s">
        <v>59</v>
      </c>
      <c r="AJ2290" s="1" t="s">
        <v>59</v>
      </c>
      <c r="AK2290" s="1" t="s">
        <v>60</v>
      </c>
      <c r="AL2290" s="1" t="s">
        <v>60</v>
      </c>
      <c r="AW2290" s="1" t="s">
        <v>155</v>
      </c>
      <c r="AY2290" s="1">
        <v>1.0</v>
      </c>
      <c r="AZ2290" s="1">
        <v>47.18</v>
      </c>
      <c r="BB2290" s="1">
        <v>47.18</v>
      </c>
    </row>
    <row r="2291">
      <c r="A2291" s="1" t="s">
        <v>3479</v>
      </c>
      <c r="C2291" s="1" t="s">
        <v>56</v>
      </c>
      <c r="D2291" s="1" t="s">
        <v>3480</v>
      </c>
      <c r="Y2291" s="2">
        <v>45511.0</v>
      </c>
      <c r="AE2291" s="1">
        <v>79.99</v>
      </c>
      <c r="AG2291" s="3" t="str">
        <f>"2000006143736175"</f>
        <v>2000006143736175</v>
      </c>
      <c r="AH2291" s="1" t="s">
        <v>58</v>
      </c>
      <c r="AI2291" s="1" t="s">
        <v>59</v>
      </c>
      <c r="AJ2291" s="1" t="s">
        <v>59</v>
      </c>
      <c r="AK2291" s="1" t="s">
        <v>60</v>
      </c>
      <c r="AL2291" s="1" t="s">
        <v>60</v>
      </c>
      <c r="AW2291" s="1" t="s">
        <v>3481</v>
      </c>
      <c r="AY2291" s="1">
        <v>1.0</v>
      </c>
      <c r="AZ2291" s="1">
        <v>79.99</v>
      </c>
      <c r="BB2291" s="1">
        <v>79.99</v>
      </c>
    </row>
    <row r="2292">
      <c r="A2292" s="1" t="s">
        <v>195</v>
      </c>
      <c r="C2292" s="1" t="s">
        <v>56</v>
      </c>
      <c r="D2292" s="1" t="s">
        <v>3482</v>
      </c>
      <c r="Y2292" s="2">
        <v>45511.0</v>
      </c>
      <c r="AE2292" s="1">
        <v>47.99</v>
      </c>
      <c r="AG2292" s="3" t="str">
        <f>"2000006143733419"</f>
        <v>2000006143733419</v>
      </c>
      <c r="AH2292" s="1" t="s">
        <v>58</v>
      </c>
      <c r="AI2292" s="1" t="s">
        <v>59</v>
      </c>
      <c r="AJ2292" s="1" t="s">
        <v>59</v>
      </c>
      <c r="AK2292" s="1" t="s">
        <v>60</v>
      </c>
      <c r="AL2292" s="1" t="s">
        <v>60</v>
      </c>
      <c r="AW2292" s="1" t="s">
        <v>197</v>
      </c>
      <c r="AY2292" s="1">
        <v>1.0</v>
      </c>
      <c r="AZ2292" s="1">
        <v>47.99</v>
      </c>
      <c r="BB2292" s="1">
        <v>47.99</v>
      </c>
    </row>
    <row r="2293">
      <c r="A2293" s="1" t="s">
        <v>1818</v>
      </c>
      <c r="C2293" s="1" t="s">
        <v>56</v>
      </c>
      <c r="D2293" s="1" t="s">
        <v>3483</v>
      </c>
      <c r="Y2293" s="2">
        <v>45511.0</v>
      </c>
      <c r="AE2293" s="1">
        <v>49.99</v>
      </c>
      <c r="AG2293" s="3" t="str">
        <f>"2000006143724877"</f>
        <v>2000006143724877</v>
      </c>
      <c r="AH2293" s="1" t="s">
        <v>58</v>
      </c>
      <c r="AI2293" s="1" t="s">
        <v>59</v>
      </c>
      <c r="AJ2293" s="1" t="s">
        <v>59</v>
      </c>
      <c r="AK2293" s="1" t="s">
        <v>60</v>
      </c>
      <c r="AL2293" s="1" t="s">
        <v>60</v>
      </c>
      <c r="AW2293" s="1" t="s">
        <v>97</v>
      </c>
      <c r="AY2293" s="1">
        <v>1.0</v>
      </c>
      <c r="AZ2293" s="1">
        <v>49.99</v>
      </c>
      <c r="BB2293" s="1">
        <v>49.99</v>
      </c>
    </row>
    <row r="2294">
      <c r="A2294" s="1" t="s">
        <v>2057</v>
      </c>
      <c r="C2294" s="1" t="s">
        <v>56</v>
      </c>
      <c r="D2294" s="1" t="s">
        <v>3484</v>
      </c>
      <c r="Y2294" s="2">
        <v>45511.0</v>
      </c>
      <c r="AE2294" s="1">
        <v>89.99</v>
      </c>
      <c r="AG2294" s="3" t="str">
        <f>"2000006143688393"</f>
        <v>2000006143688393</v>
      </c>
      <c r="AH2294" s="1" t="s">
        <v>58</v>
      </c>
      <c r="AI2294" s="1" t="s">
        <v>59</v>
      </c>
      <c r="AJ2294" s="1" t="s">
        <v>59</v>
      </c>
      <c r="AK2294" s="1" t="s">
        <v>60</v>
      </c>
      <c r="AL2294" s="1" t="s">
        <v>60</v>
      </c>
      <c r="AW2294" s="1" t="s">
        <v>2059</v>
      </c>
      <c r="AY2294" s="1">
        <v>1.0</v>
      </c>
      <c r="AZ2294" s="1">
        <v>89.99</v>
      </c>
      <c r="BB2294" s="1">
        <v>89.99</v>
      </c>
    </row>
    <row r="2295">
      <c r="A2295" s="1" t="s">
        <v>655</v>
      </c>
      <c r="C2295" s="1" t="s">
        <v>56</v>
      </c>
      <c r="D2295" s="1" t="s">
        <v>3485</v>
      </c>
      <c r="Y2295" s="2">
        <v>45511.0</v>
      </c>
      <c r="AE2295" s="1">
        <v>74.99</v>
      </c>
      <c r="AG2295" s="3" t="str">
        <f>"2000008978689976"</f>
        <v>2000008978689976</v>
      </c>
      <c r="AH2295" s="1" t="s">
        <v>58</v>
      </c>
      <c r="AI2295" s="1" t="s">
        <v>59</v>
      </c>
      <c r="AJ2295" s="1" t="s">
        <v>59</v>
      </c>
      <c r="AK2295" s="1" t="s">
        <v>60</v>
      </c>
      <c r="AL2295" s="1" t="s">
        <v>60</v>
      </c>
      <c r="AW2295" s="1" t="s">
        <v>657</v>
      </c>
      <c r="AY2295" s="1">
        <v>1.0</v>
      </c>
      <c r="AZ2295" s="1">
        <v>74.99</v>
      </c>
      <c r="BB2295" s="1">
        <v>74.99</v>
      </c>
    </row>
    <row r="2296">
      <c r="A2296" s="1" t="s">
        <v>2341</v>
      </c>
      <c r="C2296" s="1" t="s">
        <v>56</v>
      </c>
      <c r="D2296" s="1" t="s">
        <v>3486</v>
      </c>
      <c r="Y2296" s="2">
        <v>45511.0</v>
      </c>
      <c r="AE2296" s="1">
        <v>79.99</v>
      </c>
      <c r="AG2296" s="3" t="str">
        <f>"2000006143665463"</f>
        <v>2000006143665463</v>
      </c>
      <c r="AH2296" s="1" t="s">
        <v>58</v>
      </c>
      <c r="AI2296" s="1" t="s">
        <v>59</v>
      </c>
      <c r="AJ2296" s="1" t="s">
        <v>59</v>
      </c>
      <c r="AK2296" s="1" t="s">
        <v>60</v>
      </c>
      <c r="AL2296" s="1" t="s">
        <v>60</v>
      </c>
      <c r="AW2296" s="1" t="s">
        <v>2343</v>
      </c>
      <c r="AY2296" s="1">
        <v>1.0</v>
      </c>
      <c r="AZ2296" s="1">
        <v>79.99</v>
      </c>
      <c r="BB2296" s="1">
        <v>79.99</v>
      </c>
    </row>
    <row r="2297">
      <c r="A2297" s="1" t="s">
        <v>195</v>
      </c>
      <c r="C2297" s="1" t="s">
        <v>56</v>
      </c>
      <c r="D2297" s="1" t="s">
        <v>3487</v>
      </c>
      <c r="Y2297" s="2">
        <v>45511.0</v>
      </c>
      <c r="AE2297" s="1">
        <v>47.99</v>
      </c>
      <c r="AG2297" s="3" t="str">
        <f>"2000006143624845"</f>
        <v>2000006143624845</v>
      </c>
      <c r="AH2297" s="1" t="s">
        <v>58</v>
      </c>
      <c r="AI2297" s="1" t="s">
        <v>59</v>
      </c>
      <c r="AJ2297" s="1" t="s">
        <v>59</v>
      </c>
      <c r="AK2297" s="1" t="s">
        <v>60</v>
      </c>
      <c r="AL2297" s="1" t="s">
        <v>60</v>
      </c>
      <c r="AW2297" s="1" t="s">
        <v>197</v>
      </c>
      <c r="AY2297" s="1">
        <v>1.0</v>
      </c>
      <c r="AZ2297" s="1">
        <v>47.99</v>
      </c>
      <c r="BB2297" s="1">
        <v>47.99</v>
      </c>
    </row>
    <row r="2298">
      <c r="A2298" s="1" t="s">
        <v>2131</v>
      </c>
      <c r="C2298" s="1" t="s">
        <v>235</v>
      </c>
      <c r="D2298" s="1" t="s">
        <v>2132</v>
      </c>
      <c r="Y2298" s="2">
        <v>45511.0</v>
      </c>
      <c r="AE2298" s="1">
        <v>79.99</v>
      </c>
      <c r="AG2298" s="3" t="str">
        <f>"2000008978535974"</f>
        <v>2000008978535974</v>
      </c>
      <c r="AH2298" s="1" t="s">
        <v>58</v>
      </c>
      <c r="AI2298" s="1" t="s">
        <v>59</v>
      </c>
      <c r="AJ2298" s="1" t="s">
        <v>59</v>
      </c>
      <c r="AK2298" s="1" t="s">
        <v>60</v>
      </c>
      <c r="AL2298" s="1" t="s">
        <v>60</v>
      </c>
      <c r="AW2298" s="1" t="s">
        <v>868</v>
      </c>
      <c r="AY2298" s="1">
        <v>1.0</v>
      </c>
      <c r="AZ2298" s="1">
        <v>79.99</v>
      </c>
      <c r="BB2298" s="1">
        <v>79.99</v>
      </c>
    </row>
    <row r="2299">
      <c r="A2299" s="1" t="s">
        <v>2688</v>
      </c>
      <c r="C2299" s="1" t="s">
        <v>56</v>
      </c>
      <c r="D2299" s="1" t="s">
        <v>3488</v>
      </c>
      <c r="Y2299" s="2">
        <v>45511.0</v>
      </c>
      <c r="AE2299" s="1">
        <v>99.98</v>
      </c>
      <c r="AG2299" s="3" t="str">
        <f>"2000006143572521"</f>
        <v>2000006143572521</v>
      </c>
      <c r="AH2299" s="1" t="s">
        <v>58</v>
      </c>
      <c r="AI2299" s="1" t="s">
        <v>59</v>
      </c>
      <c r="AJ2299" s="1" t="s">
        <v>59</v>
      </c>
      <c r="AK2299" s="1" t="s">
        <v>60</v>
      </c>
      <c r="AL2299" s="1" t="s">
        <v>60</v>
      </c>
      <c r="AW2299" s="1" t="s">
        <v>2690</v>
      </c>
      <c r="AY2299" s="1">
        <v>2.0</v>
      </c>
      <c r="AZ2299" s="1">
        <v>49.99</v>
      </c>
      <c r="BB2299" s="1">
        <v>99.98</v>
      </c>
    </row>
    <row r="2300">
      <c r="A2300" s="1" t="s">
        <v>2057</v>
      </c>
      <c r="C2300" s="1" t="s">
        <v>56</v>
      </c>
      <c r="D2300" s="1" t="s">
        <v>3489</v>
      </c>
      <c r="Y2300" s="2">
        <v>45511.0</v>
      </c>
      <c r="AE2300" s="1">
        <v>89.99</v>
      </c>
      <c r="AG2300" s="3" t="str">
        <f>"2000006143526289"</f>
        <v>2000006143526289</v>
      </c>
      <c r="AH2300" s="1" t="s">
        <v>58</v>
      </c>
      <c r="AI2300" s="1" t="s">
        <v>59</v>
      </c>
      <c r="AJ2300" s="1" t="s">
        <v>59</v>
      </c>
      <c r="AK2300" s="1" t="s">
        <v>60</v>
      </c>
      <c r="AL2300" s="1" t="s">
        <v>60</v>
      </c>
      <c r="AW2300" s="1" t="s">
        <v>2059</v>
      </c>
      <c r="AY2300" s="1">
        <v>1.0</v>
      </c>
      <c r="AZ2300" s="1">
        <v>89.99</v>
      </c>
      <c r="BB2300" s="1">
        <v>89.99</v>
      </c>
    </row>
    <row r="2301">
      <c r="A2301" s="1" t="s">
        <v>307</v>
      </c>
      <c r="C2301" s="1" t="s">
        <v>56</v>
      </c>
      <c r="D2301" s="1" t="s">
        <v>3490</v>
      </c>
      <c r="Y2301" s="2">
        <v>45511.0</v>
      </c>
      <c r="AE2301" s="1">
        <v>129.98</v>
      </c>
      <c r="AG2301" s="3" t="str">
        <f>"2000006143473827"</f>
        <v>2000006143473827</v>
      </c>
      <c r="AH2301" s="1" t="s">
        <v>58</v>
      </c>
      <c r="AI2301" s="1" t="s">
        <v>59</v>
      </c>
      <c r="AJ2301" s="1" t="s">
        <v>59</v>
      </c>
      <c r="AK2301" s="1" t="s">
        <v>60</v>
      </c>
      <c r="AL2301" s="1" t="s">
        <v>60</v>
      </c>
      <c r="AW2301" s="1" t="s">
        <v>309</v>
      </c>
      <c r="AY2301" s="1">
        <v>2.0</v>
      </c>
      <c r="AZ2301" s="1">
        <v>64.99</v>
      </c>
      <c r="BB2301" s="1">
        <v>129.98</v>
      </c>
    </row>
    <row r="2302">
      <c r="A2302" s="1" t="s">
        <v>3491</v>
      </c>
      <c r="C2302" s="1" t="s">
        <v>56</v>
      </c>
      <c r="D2302" s="1" t="s">
        <v>3492</v>
      </c>
      <c r="Y2302" s="2">
        <v>45511.0</v>
      </c>
      <c r="AE2302" s="1">
        <v>119.99</v>
      </c>
      <c r="AG2302" s="3" t="str">
        <f>"2000006143466823"</f>
        <v>2000006143466823</v>
      </c>
      <c r="AH2302" s="1" t="s">
        <v>58</v>
      </c>
      <c r="AI2302" s="1" t="s">
        <v>59</v>
      </c>
      <c r="AJ2302" s="1" t="s">
        <v>59</v>
      </c>
      <c r="AK2302" s="1" t="s">
        <v>60</v>
      </c>
      <c r="AL2302" s="1" t="s">
        <v>60</v>
      </c>
      <c r="AW2302" s="1" t="s">
        <v>3493</v>
      </c>
      <c r="AY2302" s="1">
        <v>1.0</v>
      </c>
      <c r="AZ2302" s="1">
        <v>119.99</v>
      </c>
      <c r="BB2302" s="1">
        <v>119.99</v>
      </c>
    </row>
    <row r="2303">
      <c r="A2303" s="1" t="s">
        <v>377</v>
      </c>
      <c r="C2303" s="1" t="s">
        <v>56</v>
      </c>
      <c r="D2303" s="1" t="s">
        <v>3494</v>
      </c>
      <c r="Y2303" s="2">
        <v>45511.0</v>
      </c>
      <c r="AE2303" s="1">
        <v>64.99</v>
      </c>
      <c r="AG2303" s="3" t="str">
        <f>"2000006143470365"</f>
        <v>2000006143470365</v>
      </c>
      <c r="AH2303" s="1" t="s">
        <v>58</v>
      </c>
      <c r="AI2303" s="1" t="s">
        <v>59</v>
      </c>
      <c r="AJ2303" s="1" t="s">
        <v>59</v>
      </c>
      <c r="AK2303" s="1" t="s">
        <v>60</v>
      </c>
      <c r="AL2303" s="1" t="s">
        <v>60</v>
      </c>
      <c r="AW2303" s="1" t="s">
        <v>79</v>
      </c>
      <c r="AY2303" s="1">
        <v>1.0</v>
      </c>
      <c r="AZ2303" s="1">
        <v>64.99</v>
      </c>
      <c r="BB2303" s="1">
        <v>64.99</v>
      </c>
    </row>
    <row r="2304">
      <c r="A2304" s="1" t="s">
        <v>2775</v>
      </c>
      <c r="C2304" s="1" t="s">
        <v>56</v>
      </c>
      <c r="D2304" s="1" t="s">
        <v>3495</v>
      </c>
      <c r="Y2304" s="2">
        <v>45511.0</v>
      </c>
      <c r="AE2304" s="1">
        <v>59.99</v>
      </c>
      <c r="AG2304" s="3" t="str">
        <f>"2000006143460201"</f>
        <v>2000006143460201</v>
      </c>
      <c r="AH2304" s="1" t="s">
        <v>58</v>
      </c>
      <c r="AI2304" s="1" t="s">
        <v>59</v>
      </c>
      <c r="AJ2304" s="1" t="s">
        <v>59</v>
      </c>
      <c r="AK2304" s="1" t="s">
        <v>60</v>
      </c>
      <c r="AL2304" s="1" t="s">
        <v>60</v>
      </c>
      <c r="AW2304" s="1" t="s">
        <v>648</v>
      </c>
      <c r="AY2304" s="1">
        <v>1.0</v>
      </c>
      <c r="AZ2304" s="1">
        <v>59.99</v>
      </c>
      <c r="BB2304" s="1">
        <v>59.99</v>
      </c>
    </row>
    <row r="2305">
      <c r="A2305" s="1" t="s">
        <v>3003</v>
      </c>
      <c r="C2305" s="1" t="s">
        <v>56</v>
      </c>
      <c r="D2305" s="1" t="s">
        <v>3496</v>
      </c>
      <c r="Y2305" s="2">
        <v>45511.0</v>
      </c>
      <c r="AE2305" s="1">
        <v>39.99</v>
      </c>
      <c r="AG2305" s="3" t="str">
        <f>"2000006143411611"</f>
        <v>2000006143411611</v>
      </c>
      <c r="AH2305" s="1" t="s">
        <v>58</v>
      </c>
      <c r="AI2305" s="1" t="s">
        <v>59</v>
      </c>
      <c r="AJ2305" s="1" t="s">
        <v>59</v>
      </c>
      <c r="AK2305" s="1" t="s">
        <v>60</v>
      </c>
      <c r="AL2305" s="1" t="s">
        <v>60</v>
      </c>
      <c r="AW2305" s="1" t="s">
        <v>3005</v>
      </c>
      <c r="AY2305" s="1">
        <v>1.0</v>
      </c>
      <c r="AZ2305" s="1">
        <v>39.99</v>
      </c>
      <c r="BB2305" s="1">
        <v>39.99</v>
      </c>
    </row>
    <row r="2306">
      <c r="A2306" s="1" t="s">
        <v>2018</v>
      </c>
      <c r="C2306" s="1" t="s">
        <v>56</v>
      </c>
      <c r="D2306" s="1" t="s">
        <v>3497</v>
      </c>
      <c r="Y2306" s="2">
        <v>45511.0</v>
      </c>
      <c r="AE2306" s="1">
        <v>74.99</v>
      </c>
      <c r="AG2306" s="3" t="str">
        <f>"2000006143385273"</f>
        <v>2000006143385273</v>
      </c>
      <c r="AH2306" s="1" t="s">
        <v>58</v>
      </c>
      <c r="AI2306" s="1" t="s">
        <v>59</v>
      </c>
      <c r="AJ2306" s="1" t="s">
        <v>59</v>
      </c>
      <c r="AK2306" s="1" t="s">
        <v>60</v>
      </c>
      <c r="AL2306" s="1" t="s">
        <v>60</v>
      </c>
      <c r="AW2306" s="1" t="s">
        <v>473</v>
      </c>
      <c r="AY2306" s="1">
        <v>1.0</v>
      </c>
      <c r="AZ2306" s="1">
        <v>74.99</v>
      </c>
      <c r="BB2306" s="1">
        <v>74.99</v>
      </c>
    </row>
    <row r="2307">
      <c r="A2307" s="1" t="s">
        <v>471</v>
      </c>
      <c r="C2307" s="1" t="s">
        <v>56</v>
      </c>
      <c r="D2307" s="1" t="s">
        <v>3498</v>
      </c>
      <c r="Y2307" s="2">
        <v>45511.0</v>
      </c>
      <c r="AE2307" s="1">
        <v>74.99</v>
      </c>
      <c r="AG2307" s="3" t="str">
        <f>"2000006143387129"</f>
        <v>2000006143387129</v>
      </c>
      <c r="AH2307" s="1" t="s">
        <v>58</v>
      </c>
      <c r="AI2307" s="1" t="s">
        <v>59</v>
      </c>
      <c r="AJ2307" s="1" t="s">
        <v>59</v>
      </c>
      <c r="AK2307" s="1" t="s">
        <v>60</v>
      </c>
      <c r="AL2307" s="1" t="s">
        <v>60</v>
      </c>
      <c r="AW2307" s="1" t="s">
        <v>473</v>
      </c>
      <c r="AY2307" s="1">
        <v>1.0</v>
      </c>
      <c r="AZ2307" s="1">
        <v>74.99</v>
      </c>
      <c r="BB2307" s="1">
        <v>74.99</v>
      </c>
    </row>
    <row r="2308">
      <c r="A2308" s="1" t="s">
        <v>1769</v>
      </c>
      <c r="C2308" s="1" t="s">
        <v>56</v>
      </c>
      <c r="D2308" s="1" t="s">
        <v>3499</v>
      </c>
      <c r="Y2308" s="2">
        <v>45511.0</v>
      </c>
      <c r="AE2308" s="1">
        <v>99.99</v>
      </c>
      <c r="AG2308" s="3" t="str">
        <f>"2000006143342139"</f>
        <v>2000006143342139</v>
      </c>
      <c r="AH2308" s="1" t="s">
        <v>58</v>
      </c>
      <c r="AI2308" s="1" t="s">
        <v>59</v>
      </c>
      <c r="AJ2308" s="1" t="s">
        <v>59</v>
      </c>
      <c r="AK2308" s="1" t="s">
        <v>60</v>
      </c>
      <c r="AL2308" s="1" t="s">
        <v>60</v>
      </c>
      <c r="AW2308" s="1" t="s">
        <v>1770</v>
      </c>
      <c r="AY2308" s="1">
        <v>1.0</v>
      </c>
      <c r="AZ2308" s="1">
        <v>99.99</v>
      </c>
      <c r="BB2308" s="1">
        <v>99.99</v>
      </c>
    </row>
    <row r="2309">
      <c r="A2309" s="1" t="s">
        <v>3500</v>
      </c>
      <c r="C2309" s="1" t="s">
        <v>56</v>
      </c>
      <c r="D2309" s="1" t="s">
        <v>3501</v>
      </c>
      <c r="Y2309" s="2">
        <v>45511.0</v>
      </c>
      <c r="AE2309" s="1">
        <v>69.99</v>
      </c>
      <c r="AG2309" s="3" t="str">
        <f>"2000006143330347"</f>
        <v>2000006143330347</v>
      </c>
      <c r="AH2309" s="1" t="s">
        <v>58</v>
      </c>
      <c r="AI2309" s="1" t="s">
        <v>59</v>
      </c>
      <c r="AJ2309" s="1" t="s">
        <v>59</v>
      </c>
      <c r="AK2309" s="1" t="s">
        <v>60</v>
      </c>
      <c r="AL2309" s="1" t="s">
        <v>60</v>
      </c>
      <c r="AW2309" s="1" t="s">
        <v>3502</v>
      </c>
      <c r="AY2309" s="1">
        <v>1.0</v>
      </c>
      <c r="AZ2309" s="1">
        <v>69.99</v>
      </c>
      <c r="BB2309" s="1">
        <v>69.99</v>
      </c>
    </row>
    <row r="2310">
      <c r="A2310" s="1" t="s">
        <v>2032</v>
      </c>
      <c r="C2310" s="1" t="s">
        <v>235</v>
      </c>
      <c r="D2310" s="1" t="s">
        <v>3503</v>
      </c>
      <c r="Y2310" s="2">
        <v>45511.0</v>
      </c>
      <c r="AE2310" s="1">
        <v>509.99</v>
      </c>
      <c r="AG2310" s="3" t="str">
        <f>"2000008978105046"</f>
        <v>2000008978105046</v>
      </c>
      <c r="AH2310" s="1" t="s">
        <v>58</v>
      </c>
      <c r="AI2310" s="1" t="s">
        <v>59</v>
      </c>
      <c r="AJ2310" s="1" t="s">
        <v>59</v>
      </c>
      <c r="AK2310" s="1" t="s">
        <v>60</v>
      </c>
      <c r="AL2310" s="1" t="s">
        <v>60</v>
      </c>
      <c r="AW2310" s="1" t="s">
        <v>2034</v>
      </c>
      <c r="AY2310" s="1">
        <v>1.0</v>
      </c>
      <c r="AZ2310" s="1">
        <v>509.99</v>
      </c>
      <c r="BB2310" s="1">
        <v>509.99</v>
      </c>
    </row>
    <row r="2311">
      <c r="A2311" s="1" t="s">
        <v>2791</v>
      </c>
      <c r="C2311" s="1" t="s">
        <v>56</v>
      </c>
      <c r="D2311" s="1" t="s">
        <v>3504</v>
      </c>
      <c r="Y2311" s="2">
        <v>45511.0</v>
      </c>
      <c r="AE2311" s="1">
        <v>119.99</v>
      </c>
      <c r="AG2311" s="3" t="str">
        <f>"2000008976687738"</f>
        <v>2000008976687738</v>
      </c>
      <c r="AH2311" s="1" t="s">
        <v>58</v>
      </c>
      <c r="AI2311" s="1" t="s">
        <v>59</v>
      </c>
      <c r="AJ2311" s="1" t="s">
        <v>59</v>
      </c>
      <c r="AK2311" s="1" t="s">
        <v>60</v>
      </c>
      <c r="AL2311" s="1" t="s">
        <v>60</v>
      </c>
      <c r="AW2311" s="1" t="s">
        <v>2793</v>
      </c>
      <c r="AY2311" s="1">
        <v>1.0</v>
      </c>
      <c r="AZ2311" s="1">
        <v>119.99</v>
      </c>
      <c r="BB2311" s="1">
        <v>119.99</v>
      </c>
    </row>
    <row r="2312">
      <c r="A2312" s="1" t="s">
        <v>135</v>
      </c>
      <c r="C2312" s="1" t="s">
        <v>56</v>
      </c>
      <c r="D2312" s="1" t="s">
        <v>3505</v>
      </c>
      <c r="Y2312" s="2">
        <v>45511.0</v>
      </c>
      <c r="AE2312" s="1">
        <v>89.99</v>
      </c>
      <c r="AG2312" s="3" t="str">
        <f>"2000006143304663"</f>
        <v>2000006143304663</v>
      </c>
      <c r="AH2312" s="1" t="s">
        <v>58</v>
      </c>
      <c r="AI2312" s="1" t="s">
        <v>59</v>
      </c>
      <c r="AJ2312" s="1" t="s">
        <v>59</v>
      </c>
      <c r="AK2312" s="1" t="s">
        <v>60</v>
      </c>
      <c r="AL2312" s="1" t="s">
        <v>60</v>
      </c>
      <c r="AW2312" s="1" t="s">
        <v>137</v>
      </c>
      <c r="AY2312" s="1">
        <v>1.0</v>
      </c>
      <c r="AZ2312" s="1">
        <v>89.99</v>
      </c>
      <c r="BB2312" s="1">
        <v>89.99</v>
      </c>
    </row>
    <row r="2313">
      <c r="A2313" s="1" t="s">
        <v>185</v>
      </c>
      <c r="C2313" s="1" t="s">
        <v>56</v>
      </c>
      <c r="D2313" s="1" t="s">
        <v>3506</v>
      </c>
      <c r="Y2313" s="2">
        <v>45511.0</v>
      </c>
      <c r="AE2313" s="1">
        <v>124.99</v>
      </c>
      <c r="AG2313" s="3" t="str">
        <f>"2000008977981340"</f>
        <v>2000008977981340</v>
      </c>
      <c r="AH2313" s="1" t="s">
        <v>58</v>
      </c>
      <c r="AI2313" s="1" t="s">
        <v>59</v>
      </c>
      <c r="AJ2313" s="1" t="s">
        <v>59</v>
      </c>
      <c r="AK2313" s="1" t="s">
        <v>60</v>
      </c>
      <c r="AL2313" s="1" t="s">
        <v>60</v>
      </c>
      <c r="AW2313" s="1" t="s">
        <v>187</v>
      </c>
      <c r="AY2313" s="1">
        <v>1.0</v>
      </c>
      <c r="AZ2313" s="1">
        <v>124.99</v>
      </c>
      <c r="BB2313" s="1">
        <v>124.99</v>
      </c>
    </row>
    <row r="2314">
      <c r="A2314" s="1" t="s">
        <v>1409</v>
      </c>
      <c r="C2314" s="1" t="s">
        <v>56</v>
      </c>
      <c r="D2314" s="1" t="s">
        <v>3507</v>
      </c>
      <c r="Y2314" s="2">
        <v>45511.0</v>
      </c>
      <c r="AE2314" s="1">
        <v>99.99</v>
      </c>
      <c r="AG2314" s="3" t="str">
        <f>"2000006143252689"</f>
        <v>2000006143252689</v>
      </c>
      <c r="AH2314" s="1" t="s">
        <v>58</v>
      </c>
      <c r="AI2314" s="1" t="s">
        <v>59</v>
      </c>
      <c r="AJ2314" s="1" t="s">
        <v>59</v>
      </c>
      <c r="AK2314" s="1" t="s">
        <v>60</v>
      </c>
      <c r="AL2314" s="1" t="s">
        <v>60</v>
      </c>
      <c r="AW2314" s="1" t="s">
        <v>1411</v>
      </c>
      <c r="AY2314" s="1">
        <v>1.0</v>
      </c>
      <c r="AZ2314" s="1">
        <v>99.99</v>
      </c>
      <c r="BB2314" s="1">
        <v>99.99</v>
      </c>
    </row>
    <row r="2315">
      <c r="A2315" s="1" t="s">
        <v>3508</v>
      </c>
      <c r="C2315" s="1" t="s">
        <v>56</v>
      </c>
      <c r="D2315" s="1" t="s">
        <v>3509</v>
      </c>
      <c r="Y2315" s="2">
        <v>45511.0</v>
      </c>
      <c r="AE2315" s="1">
        <v>179.98</v>
      </c>
      <c r="AG2315" s="3" t="str">
        <f>"2000006143205945"</f>
        <v>2000006143205945</v>
      </c>
      <c r="AH2315" s="1" t="s">
        <v>58</v>
      </c>
      <c r="AI2315" s="1" t="s">
        <v>59</v>
      </c>
      <c r="AJ2315" s="1" t="s">
        <v>59</v>
      </c>
      <c r="AK2315" s="1" t="s">
        <v>60</v>
      </c>
      <c r="AL2315" s="1" t="s">
        <v>60</v>
      </c>
      <c r="AW2315" s="1" t="s">
        <v>3510</v>
      </c>
      <c r="AY2315" s="1">
        <v>2.0</v>
      </c>
      <c r="AZ2315" s="1">
        <v>89.99</v>
      </c>
      <c r="BB2315" s="1">
        <v>179.98</v>
      </c>
    </row>
    <row r="2316">
      <c r="A2316" s="1" t="s">
        <v>966</v>
      </c>
      <c r="C2316" s="1" t="s">
        <v>56</v>
      </c>
      <c r="D2316" s="1" t="s">
        <v>3511</v>
      </c>
      <c r="Y2316" s="2">
        <v>45511.0</v>
      </c>
      <c r="AE2316" s="1">
        <v>459.99</v>
      </c>
      <c r="AG2316" s="3" t="str">
        <f>"2000008977799734"</f>
        <v>2000008977799734</v>
      </c>
      <c r="AH2316" s="1" t="s">
        <v>58</v>
      </c>
      <c r="AI2316" s="1" t="s">
        <v>59</v>
      </c>
      <c r="AJ2316" s="1" t="s">
        <v>59</v>
      </c>
      <c r="AK2316" s="1" t="s">
        <v>60</v>
      </c>
      <c r="AL2316" s="1" t="s">
        <v>60</v>
      </c>
      <c r="AW2316" s="1" t="s">
        <v>968</v>
      </c>
      <c r="AY2316" s="1">
        <v>1.0</v>
      </c>
      <c r="AZ2316" s="1">
        <v>459.99</v>
      </c>
      <c r="BB2316" s="1">
        <v>459.99</v>
      </c>
    </row>
    <row r="2317">
      <c r="A2317" s="1" t="s">
        <v>1195</v>
      </c>
      <c r="C2317" s="1" t="s">
        <v>56</v>
      </c>
      <c r="D2317" s="1" t="s">
        <v>3512</v>
      </c>
      <c r="Y2317" s="2">
        <v>45511.0</v>
      </c>
      <c r="AE2317" s="1">
        <v>37.99</v>
      </c>
      <c r="AG2317" s="3" t="str">
        <f>"2000006143190275"</f>
        <v>2000006143190275</v>
      </c>
      <c r="AH2317" s="1" t="s">
        <v>58</v>
      </c>
      <c r="AI2317" s="1" t="s">
        <v>59</v>
      </c>
      <c r="AJ2317" s="1" t="s">
        <v>59</v>
      </c>
      <c r="AK2317" s="1" t="s">
        <v>60</v>
      </c>
      <c r="AL2317" s="1" t="s">
        <v>60</v>
      </c>
      <c r="AW2317" s="1" t="s">
        <v>1197</v>
      </c>
      <c r="AY2317" s="1">
        <v>1.0</v>
      </c>
      <c r="AZ2317" s="1">
        <v>37.99</v>
      </c>
      <c r="BB2317" s="1">
        <v>37.99</v>
      </c>
    </row>
    <row r="2318">
      <c r="A2318" s="1" t="s">
        <v>3513</v>
      </c>
      <c r="C2318" s="1" t="s">
        <v>56</v>
      </c>
      <c r="D2318" s="1" t="s">
        <v>3514</v>
      </c>
      <c r="Y2318" s="2">
        <v>45511.0</v>
      </c>
      <c r="AE2318" s="1">
        <v>64.99</v>
      </c>
      <c r="AG2318" s="3" t="str">
        <f>"2000008977761680"</f>
        <v>2000008977761680</v>
      </c>
      <c r="AH2318" s="1" t="s">
        <v>58</v>
      </c>
      <c r="AI2318" s="1" t="s">
        <v>59</v>
      </c>
      <c r="AJ2318" s="1" t="s">
        <v>59</v>
      </c>
      <c r="AK2318" s="1" t="s">
        <v>60</v>
      </c>
      <c r="AL2318" s="1" t="s">
        <v>60</v>
      </c>
      <c r="AW2318" s="1" t="s">
        <v>3515</v>
      </c>
      <c r="AY2318" s="1">
        <v>1.0</v>
      </c>
      <c r="AZ2318" s="1">
        <v>64.99</v>
      </c>
      <c r="BB2318" s="1">
        <v>64.99</v>
      </c>
    </row>
    <row r="2319">
      <c r="A2319" s="1" t="s">
        <v>1212</v>
      </c>
      <c r="C2319" s="1" t="s">
        <v>56</v>
      </c>
      <c r="D2319" s="1" t="s">
        <v>3516</v>
      </c>
      <c r="Y2319" s="2">
        <v>45511.0</v>
      </c>
      <c r="AE2319" s="1">
        <v>89.99</v>
      </c>
      <c r="AG2319" s="3" t="str">
        <f>"2000006142929947"</f>
        <v>2000006142929947</v>
      </c>
      <c r="AH2319" s="1" t="s">
        <v>58</v>
      </c>
      <c r="AI2319" s="1" t="s">
        <v>59</v>
      </c>
      <c r="AJ2319" s="1" t="s">
        <v>59</v>
      </c>
      <c r="AK2319" s="1" t="s">
        <v>60</v>
      </c>
      <c r="AL2319" s="1" t="s">
        <v>60</v>
      </c>
      <c r="AW2319" s="1" t="s">
        <v>1214</v>
      </c>
      <c r="AY2319" s="1">
        <v>1.0</v>
      </c>
      <c r="AZ2319" s="1">
        <v>89.99</v>
      </c>
      <c r="BB2319" s="1">
        <v>89.99</v>
      </c>
    </row>
    <row r="2320">
      <c r="A2320" s="1" t="s">
        <v>1360</v>
      </c>
      <c r="C2320" s="1" t="s">
        <v>56</v>
      </c>
      <c r="D2320" s="1" t="s">
        <v>2554</v>
      </c>
      <c r="Y2320" s="2">
        <v>45511.0</v>
      </c>
      <c r="AE2320" s="1">
        <v>499.99</v>
      </c>
      <c r="AG2320" s="3" t="str">
        <f>"2000008977736360"</f>
        <v>2000008977736360</v>
      </c>
      <c r="AH2320" s="1" t="s">
        <v>58</v>
      </c>
      <c r="AI2320" s="1" t="s">
        <v>59</v>
      </c>
      <c r="AJ2320" s="1" t="s">
        <v>59</v>
      </c>
      <c r="AK2320" s="1" t="s">
        <v>60</v>
      </c>
      <c r="AL2320" s="1" t="s">
        <v>60</v>
      </c>
      <c r="AW2320" s="1" t="s">
        <v>1362</v>
      </c>
      <c r="AY2320" s="1">
        <v>1.0</v>
      </c>
      <c r="AZ2320" s="1">
        <v>499.99</v>
      </c>
      <c r="BB2320" s="1">
        <v>499.99</v>
      </c>
    </row>
    <row r="2321">
      <c r="A2321" s="1" t="s">
        <v>1844</v>
      </c>
      <c r="C2321" s="1" t="s">
        <v>56</v>
      </c>
      <c r="D2321" s="1" t="s">
        <v>3517</v>
      </c>
      <c r="Y2321" s="2">
        <v>45511.0</v>
      </c>
      <c r="AE2321" s="1">
        <v>54.99</v>
      </c>
      <c r="AG2321" s="3" t="str">
        <f>"2000008977705596"</f>
        <v>2000008977705596</v>
      </c>
      <c r="AH2321" s="1" t="s">
        <v>58</v>
      </c>
      <c r="AI2321" s="1" t="s">
        <v>59</v>
      </c>
      <c r="AJ2321" s="1" t="s">
        <v>59</v>
      </c>
      <c r="AK2321" s="1" t="s">
        <v>60</v>
      </c>
      <c r="AL2321" s="1" t="s">
        <v>60</v>
      </c>
      <c r="AW2321" s="1" t="s">
        <v>1846</v>
      </c>
      <c r="AY2321" s="1">
        <v>1.0</v>
      </c>
      <c r="AZ2321" s="1">
        <v>54.99</v>
      </c>
      <c r="BB2321" s="1">
        <v>54.99</v>
      </c>
    </row>
    <row r="2322">
      <c r="A2322" s="1" t="s">
        <v>807</v>
      </c>
      <c r="C2322" s="1" t="s">
        <v>56</v>
      </c>
      <c r="D2322" s="1" t="s">
        <v>3518</v>
      </c>
      <c r="Y2322" s="2">
        <v>45511.0</v>
      </c>
      <c r="AE2322" s="1">
        <v>49.99</v>
      </c>
      <c r="AG2322" s="3" t="str">
        <f>"2000006143080657"</f>
        <v>2000006143080657</v>
      </c>
      <c r="AH2322" s="1" t="s">
        <v>58</v>
      </c>
      <c r="AI2322" s="1" t="s">
        <v>59</v>
      </c>
      <c r="AJ2322" s="1" t="s">
        <v>59</v>
      </c>
      <c r="AK2322" s="1" t="s">
        <v>60</v>
      </c>
      <c r="AL2322" s="1" t="s">
        <v>60</v>
      </c>
      <c r="AW2322" s="1" t="s">
        <v>97</v>
      </c>
      <c r="AY2322" s="1">
        <v>1.0</v>
      </c>
      <c r="AZ2322" s="1">
        <v>49.99</v>
      </c>
      <c r="BB2322" s="1">
        <v>49.99</v>
      </c>
    </row>
    <row r="2323">
      <c r="A2323" s="1" t="s">
        <v>1038</v>
      </c>
      <c r="C2323" s="1" t="s">
        <v>56</v>
      </c>
      <c r="D2323" s="1" t="s">
        <v>3519</v>
      </c>
      <c r="Y2323" s="2">
        <v>45511.0</v>
      </c>
      <c r="AE2323" s="1">
        <v>64.48</v>
      </c>
      <c r="AG2323" s="3" t="str">
        <f>"2000006143083417"</f>
        <v>2000006143083417</v>
      </c>
      <c r="AH2323" s="1" t="s">
        <v>58</v>
      </c>
      <c r="AI2323" s="1" t="s">
        <v>59</v>
      </c>
      <c r="AJ2323" s="1" t="s">
        <v>59</v>
      </c>
      <c r="AK2323" s="1" t="s">
        <v>60</v>
      </c>
      <c r="AL2323" s="1" t="s">
        <v>60</v>
      </c>
      <c r="AW2323" s="1" t="s">
        <v>1040</v>
      </c>
      <c r="AY2323" s="1">
        <v>1.0</v>
      </c>
      <c r="AZ2323" s="1">
        <v>64.48</v>
      </c>
      <c r="BB2323" s="1">
        <v>64.48</v>
      </c>
    </row>
    <row r="2324">
      <c r="A2324" s="1" t="s">
        <v>567</v>
      </c>
      <c r="C2324" s="1" t="s">
        <v>56</v>
      </c>
      <c r="D2324" s="1" t="s">
        <v>3520</v>
      </c>
      <c r="Y2324" s="2">
        <v>45511.0</v>
      </c>
      <c r="AE2324" s="1">
        <v>179.96</v>
      </c>
      <c r="AG2324" s="3" t="str">
        <f>"2000006143053585"</f>
        <v>2000006143053585</v>
      </c>
      <c r="AH2324" s="1" t="s">
        <v>58</v>
      </c>
      <c r="AI2324" s="1" t="s">
        <v>59</v>
      </c>
      <c r="AJ2324" s="1" t="s">
        <v>59</v>
      </c>
      <c r="AK2324" s="1" t="s">
        <v>60</v>
      </c>
      <c r="AL2324" s="1" t="s">
        <v>60</v>
      </c>
      <c r="AW2324" s="1" t="s">
        <v>569</v>
      </c>
      <c r="AY2324" s="1">
        <v>4.0</v>
      </c>
      <c r="AZ2324" s="1">
        <v>44.99</v>
      </c>
      <c r="BB2324" s="1">
        <v>179.96</v>
      </c>
    </row>
    <row r="2325">
      <c r="A2325" s="1" t="s">
        <v>135</v>
      </c>
      <c r="C2325" s="1" t="s">
        <v>56</v>
      </c>
      <c r="D2325" s="1" t="s">
        <v>3521</v>
      </c>
      <c r="Y2325" s="2">
        <v>45511.0</v>
      </c>
      <c r="AE2325" s="1">
        <v>179.98</v>
      </c>
      <c r="AG2325" s="3" t="str">
        <f>"2000006143011553"</f>
        <v>2000006143011553</v>
      </c>
      <c r="AH2325" s="1" t="s">
        <v>58</v>
      </c>
      <c r="AI2325" s="1" t="s">
        <v>59</v>
      </c>
      <c r="AJ2325" s="1" t="s">
        <v>59</v>
      </c>
      <c r="AK2325" s="1" t="s">
        <v>60</v>
      </c>
      <c r="AL2325" s="1" t="s">
        <v>60</v>
      </c>
      <c r="AW2325" s="1" t="s">
        <v>137</v>
      </c>
      <c r="AY2325" s="1">
        <v>2.0</v>
      </c>
      <c r="AZ2325" s="1">
        <v>89.99</v>
      </c>
      <c r="BB2325" s="1">
        <v>179.98</v>
      </c>
    </row>
    <row r="2326">
      <c r="A2326" s="1" t="s">
        <v>886</v>
      </c>
      <c r="C2326" s="1" t="s">
        <v>56</v>
      </c>
      <c r="D2326" s="1" t="s">
        <v>3522</v>
      </c>
      <c r="Y2326" s="2">
        <v>45511.0</v>
      </c>
      <c r="AE2326" s="1">
        <v>69.99</v>
      </c>
      <c r="AG2326" s="3" t="str">
        <f>"2000008977518406"</f>
        <v>2000008977518406</v>
      </c>
      <c r="AH2326" s="1" t="s">
        <v>58</v>
      </c>
      <c r="AI2326" s="1" t="s">
        <v>59</v>
      </c>
      <c r="AJ2326" s="1" t="s">
        <v>59</v>
      </c>
      <c r="AK2326" s="1" t="s">
        <v>60</v>
      </c>
      <c r="AL2326" s="1" t="s">
        <v>60</v>
      </c>
      <c r="AW2326" s="1" t="s">
        <v>888</v>
      </c>
      <c r="AY2326" s="1">
        <v>1.0</v>
      </c>
      <c r="AZ2326" s="1">
        <v>69.99</v>
      </c>
      <c r="BB2326" s="1">
        <v>69.99</v>
      </c>
    </row>
    <row r="2327">
      <c r="A2327" s="1" t="s">
        <v>224</v>
      </c>
      <c r="C2327" s="1" t="s">
        <v>56</v>
      </c>
      <c r="D2327" s="1" t="s">
        <v>3523</v>
      </c>
      <c r="Y2327" s="2">
        <v>45511.0</v>
      </c>
      <c r="AE2327" s="1">
        <v>119.99</v>
      </c>
      <c r="AG2327" s="3" t="str">
        <f>"2000006143017831"</f>
        <v>2000006143017831</v>
      </c>
      <c r="AH2327" s="1" t="s">
        <v>58</v>
      </c>
      <c r="AI2327" s="1" t="s">
        <v>59</v>
      </c>
      <c r="AJ2327" s="1" t="s">
        <v>59</v>
      </c>
      <c r="AK2327" s="1" t="s">
        <v>60</v>
      </c>
      <c r="AL2327" s="1" t="s">
        <v>60</v>
      </c>
      <c r="AW2327" s="1" t="s">
        <v>2726</v>
      </c>
      <c r="AY2327" s="1">
        <v>1.0</v>
      </c>
      <c r="AZ2327" s="1">
        <v>119.99</v>
      </c>
      <c r="BB2327" s="1">
        <v>119.99</v>
      </c>
    </row>
    <row r="2328">
      <c r="A2328" s="1" t="s">
        <v>280</v>
      </c>
      <c r="C2328" s="1" t="s">
        <v>56</v>
      </c>
      <c r="D2328" s="1" t="s">
        <v>3524</v>
      </c>
      <c r="Y2328" s="2">
        <v>45511.0</v>
      </c>
      <c r="AE2328" s="1">
        <v>119.99</v>
      </c>
      <c r="AG2328" s="3" t="str">
        <f>"2000006142985131"</f>
        <v>2000006142985131</v>
      </c>
      <c r="AH2328" s="1" t="s">
        <v>58</v>
      </c>
      <c r="AI2328" s="1" t="s">
        <v>59</v>
      </c>
      <c r="AJ2328" s="1" t="s">
        <v>59</v>
      </c>
      <c r="AK2328" s="1" t="s">
        <v>60</v>
      </c>
      <c r="AL2328" s="1" t="s">
        <v>60</v>
      </c>
      <c r="AW2328" s="1" t="s">
        <v>282</v>
      </c>
      <c r="AY2328" s="1">
        <v>1.0</v>
      </c>
      <c r="AZ2328" s="1">
        <v>119.99</v>
      </c>
      <c r="BB2328" s="1">
        <v>119.99</v>
      </c>
    </row>
    <row r="2329">
      <c r="A2329" s="1" t="s">
        <v>195</v>
      </c>
      <c r="C2329" s="1" t="s">
        <v>235</v>
      </c>
      <c r="D2329" s="1" t="s">
        <v>3525</v>
      </c>
      <c r="Y2329" s="2">
        <v>45511.0</v>
      </c>
      <c r="AE2329" s="1">
        <v>47.99</v>
      </c>
      <c r="AG2329" s="3" t="str">
        <f>"2000006142983209"</f>
        <v>2000006142983209</v>
      </c>
      <c r="AH2329" s="1" t="s">
        <v>58</v>
      </c>
      <c r="AI2329" s="1" t="s">
        <v>59</v>
      </c>
      <c r="AJ2329" s="1" t="s">
        <v>59</v>
      </c>
      <c r="AK2329" s="1" t="s">
        <v>60</v>
      </c>
      <c r="AL2329" s="1" t="s">
        <v>60</v>
      </c>
      <c r="AW2329" s="1" t="s">
        <v>197</v>
      </c>
      <c r="AY2329" s="1">
        <v>1.0</v>
      </c>
      <c r="AZ2329" s="1">
        <v>47.99</v>
      </c>
      <c r="BB2329" s="1">
        <v>47.99</v>
      </c>
    </row>
    <row r="2330">
      <c r="A2330" s="1" t="s">
        <v>1946</v>
      </c>
      <c r="C2330" s="1" t="s">
        <v>56</v>
      </c>
      <c r="D2330" s="1" t="s">
        <v>3526</v>
      </c>
      <c r="Y2330" s="2">
        <v>45511.0</v>
      </c>
      <c r="AE2330" s="1">
        <v>39.99</v>
      </c>
      <c r="AG2330" s="3" t="str">
        <f>"2000006142973639"</f>
        <v>2000006142973639</v>
      </c>
      <c r="AH2330" s="1" t="s">
        <v>58</v>
      </c>
      <c r="AI2330" s="1" t="s">
        <v>59</v>
      </c>
      <c r="AJ2330" s="1" t="s">
        <v>59</v>
      </c>
      <c r="AK2330" s="1" t="s">
        <v>60</v>
      </c>
      <c r="AL2330" s="1" t="s">
        <v>60</v>
      </c>
      <c r="AW2330" s="1" t="s">
        <v>1529</v>
      </c>
      <c r="AY2330" s="1">
        <v>1.0</v>
      </c>
      <c r="AZ2330" s="1">
        <v>39.99</v>
      </c>
      <c r="BB2330" s="1">
        <v>39.99</v>
      </c>
    </row>
    <row r="2331">
      <c r="A2331" s="1" t="s">
        <v>3527</v>
      </c>
      <c r="C2331" s="1" t="s">
        <v>56</v>
      </c>
      <c r="D2331" s="1" t="s">
        <v>3528</v>
      </c>
      <c r="Y2331" s="2">
        <v>45511.0</v>
      </c>
      <c r="AE2331" s="1">
        <v>459.99</v>
      </c>
      <c r="AG2331" s="3" t="str">
        <f>"2000006142946579"</f>
        <v>2000006142946579</v>
      </c>
      <c r="AH2331" s="1" t="s">
        <v>58</v>
      </c>
      <c r="AI2331" s="1" t="s">
        <v>59</v>
      </c>
      <c r="AJ2331" s="1" t="s">
        <v>59</v>
      </c>
      <c r="AK2331" s="1" t="s">
        <v>60</v>
      </c>
      <c r="AL2331" s="1" t="s">
        <v>60</v>
      </c>
      <c r="AW2331" s="1" t="s">
        <v>3529</v>
      </c>
      <c r="AY2331" s="1">
        <v>1.0</v>
      </c>
      <c r="AZ2331" s="1">
        <v>459.99</v>
      </c>
      <c r="BB2331" s="1">
        <v>459.99</v>
      </c>
    </row>
    <row r="2332">
      <c r="A2332" s="1" t="s">
        <v>630</v>
      </c>
      <c r="C2332" s="1" t="s">
        <v>56</v>
      </c>
      <c r="D2332" s="1" t="s">
        <v>3530</v>
      </c>
      <c r="Y2332" s="2">
        <v>45511.0</v>
      </c>
      <c r="AE2332" s="1">
        <v>189.99</v>
      </c>
      <c r="AG2332" s="3" t="str">
        <f>"2000006142949973"</f>
        <v>2000006142949973</v>
      </c>
      <c r="AH2332" s="1" t="s">
        <v>58</v>
      </c>
      <c r="AI2332" s="1" t="s">
        <v>59</v>
      </c>
      <c r="AJ2332" s="1" t="s">
        <v>59</v>
      </c>
      <c r="AK2332" s="1" t="s">
        <v>60</v>
      </c>
      <c r="AL2332" s="1" t="s">
        <v>60</v>
      </c>
      <c r="AW2332" s="1" t="s">
        <v>632</v>
      </c>
      <c r="AY2332" s="1">
        <v>1.0</v>
      </c>
      <c r="AZ2332" s="1">
        <v>189.99</v>
      </c>
      <c r="BB2332" s="1">
        <v>189.99</v>
      </c>
    </row>
    <row r="2333">
      <c r="A2333" s="1" t="s">
        <v>3111</v>
      </c>
      <c r="C2333" s="1" t="s">
        <v>56</v>
      </c>
      <c r="D2333" s="1" t="s">
        <v>3531</v>
      </c>
      <c r="Y2333" s="2">
        <v>45511.0</v>
      </c>
      <c r="AE2333" s="1">
        <v>39.99</v>
      </c>
      <c r="AG2333" s="3" t="str">
        <f t="shared" ref="AG2333:AG2335" si="92">"2000006142872129"</f>
        <v>2000006142872129</v>
      </c>
      <c r="AH2333" s="1" t="s">
        <v>58</v>
      </c>
      <c r="AI2333" s="1" t="s">
        <v>59</v>
      </c>
      <c r="AJ2333" s="1" t="s">
        <v>59</v>
      </c>
      <c r="AK2333" s="1" t="s">
        <v>60</v>
      </c>
      <c r="AL2333" s="1" t="s">
        <v>60</v>
      </c>
      <c r="AW2333" s="1" t="s">
        <v>1529</v>
      </c>
      <c r="AY2333" s="1">
        <v>1.0</v>
      </c>
      <c r="AZ2333" s="1">
        <v>39.99</v>
      </c>
      <c r="BB2333" s="1">
        <v>39.99</v>
      </c>
    </row>
    <row r="2334">
      <c r="A2334" s="1" t="s">
        <v>3532</v>
      </c>
      <c r="C2334" s="1" t="s">
        <v>56</v>
      </c>
      <c r="D2334" s="1" t="s">
        <v>3531</v>
      </c>
      <c r="Y2334" s="2">
        <v>45511.0</v>
      </c>
      <c r="AE2334" s="1">
        <v>39.99</v>
      </c>
      <c r="AG2334" s="3" t="str">
        <f t="shared" si="92"/>
        <v>2000006142872129</v>
      </c>
      <c r="AH2334" s="1" t="s">
        <v>58</v>
      </c>
      <c r="AI2334" s="1" t="s">
        <v>59</v>
      </c>
      <c r="AJ2334" s="1" t="s">
        <v>59</v>
      </c>
      <c r="AK2334" s="1" t="s">
        <v>60</v>
      </c>
      <c r="AL2334" s="1" t="s">
        <v>60</v>
      </c>
      <c r="AW2334" s="1" t="s">
        <v>1529</v>
      </c>
      <c r="AY2334" s="1">
        <v>1.0</v>
      </c>
      <c r="AZ2334" s="1">
        <v>39.99</v>
      </c>
      <c r="BB2334" s="1">
        <v>39.99</v>
      </c>
    </row>
    <row r="2335">
      <c r="A2335" s="1" t="s">
        <v>2784</v>
      </c>
      <c r="C2335" s="1" t="s">
        <v>56</v>
      </c>
      <c r="D2335" s="1" t="s">
        <v>3531</v>
      </c>
      <c r="Y2335" s="2">
        <v>45511.0</v>
      </c>
      <c r="AE2335" s="1">
        <v>39.99</v>
      </c>
      <c r="AG2335" s="3" t="str">
        <f t="shared" si="92"/>
        <v>2000006142872129</v>
      </c>
      <c r="AH2335" s="1" t="s">
        <v>58</v>
      </c>
      <c r="AI2335" s="1" t="s">
        <v>59</v>
      </c>
      <c r="AJ2335" s="1" t="s">
        <v>59</v>
      </c>
      <c r="AK2335" s="1" t="s">
        <v>60</v>
      </c>
      <c r="AL2335" s="1" t="s">
        <v>60</v>
      </c>
      <c r="AW2335" s="1" t="s">
        <v>1529</v>
      </c>
      <c r="AY2335" s="1">
        <v>1.0</v>
      </c>
      <c r="AZ2335" s="1">
        <v>39.99</v>
      </c>
      <c r="BB2335" s="1">
        <v>39.99</v>
      </c>
    </row>
    <row r="2336">
      <c r="A2336" s="1" t="s">
        <v>3533</v>
      </c>
      <c r="C2336" s="1" t="s">
        <v>56</v>
      </c>
      <c r="D2336" s="1" t="s">
        <v>3534</v>
      </c>
      <c r="Y2336" s="2">
        <v>45511.0</v>
      </c>
      <c r="AE2336" s="1">
        <v>74.99</v>
      </c>
      <c r="AG2336" s="3" t="str">
        <f>"2000006142887445"</f>
        <v>2000006142887445</v>
      </c>
      <c r="AH2336" s="1" t="s">
        <v>58</v>
      </c>
      <c r="AI2336" s="1" t="s">
        <v>59</v>
      </c>
      <c r="AJ2336" s="1" t="s">
        <v>59</v>
      </c>
      <c r="AK2336" s="1" t="s">
        <v>60</v>
      </c>
      <c r="AL2336" s="1" t="s">
        <v>60</v>
      </c>
      <c r="AW2336" s="1" t="s">
        <v>3535</v>
      </c>
      <c r="AY2336" s="1">
        <v>1.0</v>
      </c>
      <c r="AZ2336" s="1">
        <v>74.99</v>
      </c>
      <c r="BB2336" s="1">
        <v>74.99</v>
      </c>
    </row>
    <row r="2337">
      <c r="A2337" s="1" t="s">
        <v>2153</v>
      </c>
      <c r="C2337" s="1" t="s">
        <v>56</v>
      </c>
      <c r="D2337" s="1" t="s">
        <v>3536</v>
      </c>
      <c r="Y2337" s="2">
        <v>45511.0</v>
      </c>
      <c r="AE2337" s="1">
        <v>59.99</v>
      </c>
      <c r="AG2337" s="3" t="str">
        <f>"2000006142887105"</f>
        <v>2000006142887105</v>
      </c>
      <c r="AH2337" s="1" t="s">
        <v>58</v>
      </c>
      <c r="AI2337" s="1" t="s">
        <v>59</v>
      </c>
      <c r="AJ2337" s="1" t="s">
        <v>59</v>
      </c>
      <c r="AK2337" s="1" t="s">
        <v>60</v>
      </c>
      <c r="AL2337" s="1" t="s">
        <v>60</v>
      </c>
      <c r="AW2337" s="1" t="s">
        <v>2154</v>
      </c>
      <c r="AY2337" s="1">
        <v>1.0</v>
      </c>
      <c r="AZ2337" s="1">
        <v>59.99</v>
      </c>
      <c r="BB2337" s="1">
        <v>59.99</v>
      </c>
    </row>
    <row r="2338">
      <c r="A2338" s="1" t="s">
        <v>560</v>
      </c>
      <c r="C2338" s="1" t="s">
        <v>56</v>
      </c>
      <c r="D2338" s="1" t="s">
        <v>3537</v>
      </c>
      <c r="Y2338" s="2">
        <v>45511.0</v>
      </c>
      <c r="AE2338" s="1">
        <v>179.98</v>
      </c>
      <c r="AG2338" s="3" t="str">
        <f>"2000006142854697"</f>
        <v>2000006142854697</v>
      </c>
      <c r="AH2338" s="1" t="s">
        <v>58</v>
      </c>
      <c r="AI2338" s="1" t="s">
        <v>59</v>
      </c>
      <c r="AJ2338" s="1" t="s">
        <v>59</v>
      </c>
      <c r="AK2338" s="1" t="s">
        <v>60</v>
      </c>
      <c r="AL2338" s="1" t="s">
        <v>60</v>
      </c>
      <c r="AW2338" s="1" t="s">
        <v>562</v>
      </c>
      <c r="AY2338" s="1">
        <v>2.0</v>
      </c>
      <c r="AZ2338" s="1">
        <v>89.99</v>
      </c>
      <c r="BB2338" s="1">
        <v>179.98</v>
      </c>
    </row>
    <row r="2339">
      <c r="A2339" s="1" t="s">
        <v>950</v>
      </c>
      <c r="C2339" s="1" t="s">
        <v>56</v>
      </c>
      <c r="D2339" s="1" t="s">
        <v>3538</v>
      </c>
      <c r="Y2339" s="2">
        <v>45511.0</v>
      </c>
      <c r="AE2339" s="1">
        <v>119.99</v>
      </c>
      <c r="AG2339" s="3" t="str">
        <f>"2000006142881945"</f>
        <v>2000006142881945</v>
      </c>
      <c r="AH2339" s="1" t="s">
        <v>58</v>
      </c>
      <c r="AI2339" s="1" t="s">
        <v>59</v>
      </c>
      <c r="AJ2339" s="1" t="s">
        <v>59</v>
      </c>
      <c r="AK2339" s="1" t="s">
        <v>60</v>
      </c>
      <c r="AL2339" s="1" t="s">
        <v>60</v>
      </c>
      <c r="AW2339" s="1" t="s">
        <v>952</v>
      </c>
      <c r="AY2339" s="1">
        <v>1.0</v>
      </c>
      <c r="AZ2339" s="1">
        <v>119.99</v>
      </c>
      <c r="BB2339" s="1">
        <v>119.99</v>
      </c>
    </row>
    <row r="2340">
      <c r="A2340" s="1" t="s">
        <v>1360</v>
      </c>
      <c r="C2340" s="1" t="s">
        <v>56</v>
      </c>
      <c r="D2340" s="1" t="s">
        <v>3539</v>
      </c>
      <c r="Y2340" s="2">
        <v>45511.0</v>
      </c>
      <c r="AE2340" s="1">
        <v>499.99</v>
      </c>
      <c r="AG2340" s="3" t="str">
        <f>"2000008975147438"</f>
        <v>2000008975147438</v>
      </c>
      <c r="AH2340" s="1" t="s">
        <v>58</v>
      </c>
      <c r="AI2340" s="1" t="s">
        <v>59</v>
      </c>
      <c r="AJ2340" s="1" t="s">
        <v>59</v>
      </c>
      <c r="AK2340" s="1" t="s">
        <v>60</v>
      </c>
      <c r="AL2340" s="1" t="s">
        <v>60</v>
      </c>
      <c r="AW2340" s="1" t="s">
        <v>1362</v>
      </c>
      <c r="AY2340" s="1">
        <v>1.0</v>
      </c>
      <c r="AZ2340" s="1">
        <v>499.99</v>
      </c>
      <c r="BB2340" s="1">
        <v>499.99</v>
      </c>
    </row>
    <row r="2341">
      <c r="A2341" s="1" t="s">
        <v>2929</v>
      </c>
      <c r="C2341" s="1" t="s">
        <v>56</v>
      </c>
      <c r="D2341" s="1" t="s">
        <v>3540</v>
      </c>
      <c r="Y2341" s="2">
        <v>45511.0</v>
      </c>
      <c r="AE2341" s="1">
        <v>59.99</v>
      </c>
      <c r="AG2341" s="3" t="str">
        <f>"2000006142863073"</f>
        <v>2000006142863073</v>
      </c>
      <c r="AH2341" s="1" t="s">
        <v>58</v>
      </c>
      <c r="AI2341" s="1" t="s">
        <v>59</v>
      </c>
      <c r="AJ2341" s="1" t="s">
        <v>59</v>
      </c>
      <c r="AK2341" s="1" t="s">
        <v>60</v>
      </c>
      <c r="AL2341" s="1" t="s">
        <v>60</v>
      </c>
      <c r="AW2341" s="1" t="s">
        <v>2931</v>
      </c>
      <c r="AY2341" s="1">
        <v>1.0</v>
      </c>
      <c r="AZ2341" s="1">
        <v>59.99</v>
      </c>
      <c r="BB2341" s="1">
        <v>59.99</v>
      </c>
    </row>
    <row r="2342">
      <c r="A2342" s="1" t="s">
        <v>178</v>
      </c>
      <c r="C2342" s="1" t="s">
        <v>56</v>
      </c>
      <c r="D2342" s="1" t="s">
        <v>3541</v>
      </c>
      <c r="Y2342" s="2">
        <v>45511.0</v>
      </c>
      <c r="AE2342" s="1">
        <v>134.99</v>
      </c>
      <c r="AG2342" s="3" t="str">
        <f>"2000006142834313"</f>
        <v>2000006142834313</v>
      </c>
      <c r="AH2342" s="1" t="s">
        <v>58</v>
      </c>
      <c r="AI2342" s="1" t="s">
        <v>59</v>
      </c>
      <c r="AJ2342" s="1" t="s">
        <v>59</v>
      </c>
      <c r="AK2342" s="1" t="s">
        <v>60</v>
      </c>
      <c r="AL2342" s="1" t="s">
        <v>60</v>
      </c>
      <c r="AW2342" s="1" t="s">
        <v>180</v>
      </c>
      <c r="AY2342" s="1">
        <v>1.0</v>
      </c>
      <c r="AZ2342" s="1">
        <v>134.99</v>
      </c>
      <c r="BB2342" s="1">
        <v>134.99</v>
      </c>
    </row>
    <row r="2343">
      <c r="A2343" s="1" t="s">
        <v>918</v>
      </c>
      <c r="C2343" s="1" t="s">
        <v>56</v>
      </c>
      <c r="D2343" s="1" t="s">
        <v>3542</v>
      </c>
      <c r="Y2343" s="2">
        <v>45511.0</v>
      </c>
      <c r="AE2343" s="1">
        <v>139.99</v>
      </c>
      <c r="AG2343" s="3" t="str">
        <f>"2000006142826915"</f>
        <v>2000006142826915</v>
      </c>
      <c r="AH2343" s="1" t="s">
        <v>58</v>
      </c>
      <c r="AI2343" s="1" t="s">
        <v>59</v>
      </c>
      <c r="AJ2343" s="1" t="s">
        <v>59</v>
      </c>
      <c r="AK2343" s="1" t="s">
        <v>60</v>
      </c>
      <c r="AL2343" s="1" t="s">
        <v>60</v>
      </c>
      <c r="AW2343" s="1" t="s">
        <v>920</v>
      </c>
      <c r="AY2343" s="1">
        <v>1.0</v>
      </c>
      <c r="AZ2343" s="1">
        <v>139.99</v>
      </c>
      <c r="BB2343" s="1">
        <v>139.99</v>
      </c>
    </row>
    <row r="2344">
      <c r="A2344" s="1" t="s">
        <v>3543</v>
      </c>
      <c r="C2344" s="1" t="s">
        <v>56</v>
      </c>
      <c r="D2344" s="1" t="s">
        <v>3544</v>
      </c>
      <c r="Y2344" s="2">
        <v>45511.0</v>
      </c>
      <c r="AE2344" s="1">
        <v>514.99</v>
      </c>
      <c r="AG2344" s="3" t="str">
        <f>"2000008977068354"</f>
        <v>2000008977068354</v>
      </c>
      <c r="AH2344" s="1" t="s">
        <v>58</v>
      </c>
      <c r="AI2344" s="1" t="s">
        <v>59</v>
      </c>
      <c r="AJ2344" s="1" t="s">
        <v>59</v>
      </c>
      <c r="AK2344" s="1" t="s">
        <v>60</v>
      </c>
      <c r="AL2344" s="1" t="s">
        <v>60</v>
      </c>
      <c r="AW2344" s="1" t="s">
        <v>3545</v>
      </c>
      <c r="AY2344" s="1">
        <v>1.0</v>
      </c>
      <c r="AZ2344" s="1">
        <v>514.99</v>
      </c>
      <c r="BB2344" s="1">
        <v>514.99</v>
      </c>
    </row>
    <row r="2345">
      <c r="A2345" s="1" t="s">
        <v>62</v>
      </c>
      <c r="C2345" s="1" t="s">
        <v>56</v>
      </c>
      <c r="D2345" s="1" t="s">
        <v>3546</v>
      </c>
      <c r="Y2345" s="2">
        <v>45511.0</v>
      </c>
      <c r="AE2345" s="1">
        <v>249.49</v>
      </c>
      <c r="AG2345" s="3" t="str">
        <f>"2000006142779669"</f>
        <v>2000006142779669</v>
      </c>
      <c r="AH2345" s="1" t="s">
        <v>58</v>
      </c>
      <c r="AI2345" s="1" t="s">
        <v>59</v>
      </c>
      <c r="AJ2345" s="1" t="s">
        <v>59</v>
      </c>
      <c r="AK2345" s="1" t="s">
        <v>60</v>
      </c>
      <c r="AL2345" s="1" t="s">
        <v>60</v>
      </c>
      <c r="AW2345" s="1" t="s">
        <v>64</v>
      </c>
      <c r="AY2345" s="1">
        <v>1.0</v>
      </c>
      <c r="AZ2345" s="1">
        <v>249.49</v>
      </c>
      <c r="BB2345" s="1">
        <v>249.49</v>
      </c>
    </row>
    <row r="2346">
      <c r="A2346" s="1" t="s">
        <v>724</v>
      </c>
      <c r="C2346" s="1" t="s">
        <v>56</v>
      </c>
      <c r="D2346" s="1" t="s">
        <v>3547</v>
      </c>
      <c r="Y2346" s="2">
        <v>45511.0</v>
      </c>
      <c r="AE2346" s="1">
        <v>314.97</v>
      </c>
      <c r="AG2346" s="3" t="str">
        <f>"2000006142535831"</f>
        <v>2000006142535831</v>
      </c>
      <c r="AH2346" s="1" t="s">
        <v>58</v>
      </c>
      <c r="AI2346" s="1" t="s">
        <v>59</v>
      </c>
      <c r="AJ2346" s="1" t="s">
        <v>59</v>
      </c>
      <c r="AK2346" s="1" t="s">
        <v>60</v>
      </c>
      <c r="AL2346" s="1" t="s">
        <v>60</v>
      </c>
      <c r="AW2346" s="1" t="s">
        <v>726</v>
      </c>
      <c r="AY2346" s="1">
        <v>3.0</v>
      </c>
      <c r="AZ2346" s="1">
        <v>104.99</v>
      </c>
      <c r="BB2346" s="1">
        <v>314.969999999999</v>
      </c>
    </row>
    <row r="2347">
      <c r="A2347" s="1" t="s">
        <v>1610</v>
      </c>
      <c r="C2347" s="1" t="s">
        <v>56</v>
      </c>
      <c r="D2347" s="1" t="s">
        <v>3548</v>
      </c>
      <c r="Y2347" s="2">
        <v>45511.0</v>
      </c>
      <c r="AE2347" s="1">
        <v>59.99</v>
      </c>
      <c r="AG2347" s="3" t="str">
        <f>"2000006142778473"</f>
        <v>2000006142778473</v>
      </c>
      <c r="AH2347" s="1" t="s">
        <v>58</v>
      </c>
      <c r="AI2347" s="1" t="s">
        <v>59</v>
      </c>
      <c r="AJ2347" s="1" t="s">
        <v>59</v>
      </c>
      <c r="AK2347" s="1" t="s">
        <v>60</v>
      </c>
      <c r="AL2347" s="1" t="s">
        <v>60</v>
      </c>
      <c r="AW2347" s="1" t="s">
        <v>104</v>
      </c>
      <c r="AY2347" s="1">
        <v>1.0</v>
      </c>
      <c r="AZ2347" s="1">
        <v>59.99</v>
      </c>
      <c r="BB2347" s="1">
        <v>59.99</v>
      </c>
    </row>
    <row r="2348">
      <c r="A2348" s="1" t="s">
        <v>3479</v>
      </c>
      <c r="C2348" s="1" t="s">
        <v>56</v>
      </c>
      <c r="D2348" s="1" t="s">
        <v>3549</v>
      </c>
      <c r="Y2348" s="2">
        <v>45511.0</v>
      </c>
      <c r="AE2348" s="1">
        <v>79.99</v>
      </c>
      <c r="AG2348" s="3" t="str">
        <f>"2000006142763447"</f>
        <v>2000006142763447</v>
      </c>
      <c r="AH2348" s="1" t="s">
        <v>58</v>
      </c>
      <c r="AI2348" s="1" t="s">
        <v>59</v>
      </c>
      <c r="AJ2348" s="1" t="s">
        <v>59</v>
      </c>
      <c r="AK2348" s="1" t="s">
        <v>60</v>
      </c>
      <c r="AL2348" s="1" t="s">
        <v>60</v>
      </c>
      <c r="AW2348" s="1" t="s">
        <v>3481</v>
      </c>
      <c r="AY2348" s="1">
        <v>1.0</v>
      </c>
      <c r="AZ2348" s="1">
        <v>79.99</v>
      </c>
      <c r="BB2348" s="1">
        <v>79.99</v>
      </c>
    </row>
    <row r="2349">
      <c r="A2349" s="1" t="s">
        <v>2821</v>
      </c>
      <c r="C2349" s="1" t="s">
        <v>56</v>
      </c>
      <c r="D2349" s="1" t="s">
        <v>3550</v>
      </c>
      <c r="Y2349" s="2">
        <v>45511.0</v>
      </c>
      <c r="AE2349" s="1">
        <v>99.98</v>
      </c>
      <c r="AG2349" s="3" t="str">
        <f>"2000006142747359"</f>
        <v>2000006142747359</v>
      </c>
      <c r="AH2349" s="1" t="s">
        <v>58</v>
      </c>
      <c r="AI2349" s="1" t="s">
        <v>59</v>
      </c>
      <c r="AJ2349" s="1" t="s">
        <v>59</v>
      </c>
      <c r="AK2349" s="1" t="s">
        <v>60</v>
      </c>
      <c r="AL2349" s="1" t="s">
        <v>60</v>
      </c>
      <c r="AW2349" s="1" t="s">
        <v>2823</v>
      </c>
      <c r="AY2349" s="1">
        <v>2.0</v>
      </c>
      <c r="AZ2349" s="1">
        <v>49.99</v>
      </c>
      <c r="BB2349" s="1">
        <v>99.98</v>
      </c>
    </row>
    <row r="2350">
      <c r="A2350" s="1" t="s">
        <v>175</v>
      </c>
      <c r="C2350" s="1" t="s">
        <v>56</v>
      </c>
      <c r="D2350" s="1" t="s">
        <v>3551</v>
      </c>
      <c r="Y2350" s="2">
        <v>45511.0</v>
      </c>
      <c r="AE2350" s="1">
        <v>199.99</v>
      </c>
      <c r="AG2350" s="3" t="str">
        <f>"2000006142733659"</f>
        <v>2000006142733659</v>
      </c>
      <c r="AH2350" s="1" t="s">
        <v>58</v>
      </c>
      <c r="AI2350" s="1" t="s">
        <v>59</v>
      </c>
      <c r="AJ2350" s="1" t="s">
        <v>59</v>
      </c>
      <c r="AK2350" s="1" t="s">
        <v>60</v>
      </c>
      <c r="AL2350" s="1" t="s">
        <v>60</v>
      </c>
      <c r="AW2350" s="1" t="s">
        <v>177</v>
      </c>
      <c r="AY2350" s="1">
        <v>1.0</v>
      </c>
      <c r="AZ2350" s="1">
        <v>199.99</v>
      </c>
      <c r="BB2350" s="1">
        <v>199.99</v>
      </c>
    </row>
    <row r="2351">
      <c r="A2351" s="1" t="s">
        <v>3552</v>
      </c>
      <c r="C2351" s="1" t="s">
        <v>56</v>
      </c>
      <c r="D2351" s="1" t="s">
        <v>3553</v>
      </c>
      <c r="Y2351" s="2">
        <v>45511.0</v>
      </c>
      <c r="AE2351" s="1">
        <v>599.99</v>
      </c>
      <c r="AG2351" s="3" t="str">
        <f>"2000008976844766"</f>
        <v>2000008976844766</v>
      </c>
      <c r="AH2351" s="1" t="s">
        <v>58</v>
      </c>
      <c r="AI2351" s="1" t="s">
        <v>59</v>
      </c>
      <c r="AJ2351" s="1" t="s">
        <v>59</v>
      </c>
      <c r="AK2351" s="1" t="s">
        <v>60</v>
      </c>
      <c r="AL2351" s="1" t="s">
        <v>60</v>
      </c>
      <c r="AW2351" s="1" t="s">
        <v>3554</v>
      </c>
      <c r="AY2351" s="1">
        <v>1.0</v>
      </c>
      <c r="AZ2351" s="1">
        <v>599.99</v>
      </c>
      <c r="BB2351" s="1">
        <v>599.99</v>
      </c>
    </row>
    <row r="2352">
      <c r="A2352" s="1" t="s">
        <v>583</v>
      </c>
      <c r="C2352" s="1" t="s">
        <v>56</v>
      </c>
      <c r="D2352" s="1" t="s">
        <v>3555</v>
      </c>
      <c r="Y2352" s="2">
        <v>45511.0</v>
      </c>
      <c r="AE2352" s="1">
        <v>269.99</v>
      </c>
      <c r="AG2352" s="3" t="str">
        <f>"2000008976828692"</f>
        <v>2000008976828692</v>
      </c>
      <c r="AH2352" s="1" t="s">
        <v>58</v>
      </c>
      <c r="AI2352" s="1" t="s">
        <v>59</v>
      </c>
      <c r="AJ2352" s="1" t="s">
        <v>59</v>
      </c>
      <c r="AK2352" s="1" t="s">
        <v>60</v>
      </c>
      <c r="AL2352" s="1" t="s">
        <v>60</v>
      </c>
      <c r="AW2352" s="1" t="s">
        <v>585</v>
      </c>
      <c r="AY2352" s="1">
        <v>1.0</v>
      </c>
      <c r="AZ2352" s="1">
        <v>269.99</v>
      </c>
      <c r="BB2352" s="1">
        <v>269.99</v>
      </c>
    </row>
    <row r="2353">
      <c r="A2353" s="1" t="s">
        <v>2375</v>
      </c>
      <c r="C2353" s="1" t="s">
        <v>56</v>
      </c>
      <c r="D2353" s="1" t="s">
        <v>3556</v>
      </c>
      <c r="Y2353" s="2">
        <v>45511.0</v>
      </c>
      <c r="AE2353" s="1">
        <v>249.99</v>
      </c>
      <c r="AG2353" s="3" t="str">
        <f>"2000008976810666"</f>
        <v>2000008976810666</v>
      </c>
      <c r="AH2353" s="1" t="s">
        <v>58</v>
      </c>
      <c r="AI2353" s="1" t="s">
        <v>59</v>
      </c>
      <c r="AJ2353" s="1" t="s">
        <v>59</v>
      </c>
      <c r="AK2353" s="1" t="s">
        <v>60</v>
      </c>
      <c r="AL2353" s="1" t="s">
        <v>60</v>
      </c>
      <c r="AW2353" s="1" t="s">
        <v>2376</v>
      </c>
      <c r="AY2353" s="1">
        <v>1.0</v>
      </c>
      <c r="AZ2353" s="1">
        <v>249.99</v>
      </c>
      <c r="BB2353" s="1">
        <v>249.99</v>
      </c>
    </row>
    <row r="2354">
      <c r="A2354" s="1" t="s">
        <v>1975</v>
      </c>
      <c r="C2354" s="1" t="s">
        <v>56</v>
      </c>
      <c r="D2354" s="1" t="s">
        <v>3557</v>
      </c>
      <c r="Y2354" s="2">
        <v>45511.0</v>
      </c>
      <c r="AE2354" s="1">
        <v>189.99</v>
      </c>
      <c r="AG2354" s="3" t="str">
        <f>"2000008976792520"</f>
        <v>2000008976792520</v>
      </c>
      <c r="AH2354" s="1" t="s">
        <v>58</v>
      </c>
      <c r="AI2354" s="1" t="s">
        <v>59</v>
      </c>
      <c r="AJ2354" s="1" t="s">
        <v>59</v>
      </c>
      <c r="AK2354" s="1" t="s">
        <v>60</v>
      </c>
      <c r="AL2354" s="1" t="s">
        <v>60</v>
      </c>
      <c r="AW2354" s="1" t="s">
        <v>1976</v>
      </c>
      <c r="AY2354" s="1">
        <v>1.0</v>
      </c>
      <c r="AZ2354" s="1">
        <v>189.99</v>
      </c>
      <c r="BB2354" s="1">
        <v>189.99</v>
      </c>
    </row>
    <row r="2355">
      <c r="A2355" s="1" t="s">
        <v>539</v>
      </c>
      <c r="C2355" s="1" t="s">
        <v>56</v>
      </c>
      <c r="D2355" s="1" t="s">
        <v>3558</v>
      </c>
      <c r="Y2355" s="2">
        <v>45511.0</v>
      </c>
      <c r="AE2355" s="1">
        <v>73.99</v>
      </c>
      <c r="AG2355" s="3" t="str">
        <f>"2000006142647987"</f>
        <v>2000006142647987</v>
      </c>
      <c r="AH2355" s="1" t="s">
        <v>58</v>
      </c>
      <c r="AI2355" s="1" t="s">
        <v>59</v>
      </c>
      <c r="AJ2355" s="1" t="s">
        <v>59</v>
      </c>
      <c r="AK2355" s="1" t="s">
        <v>60</v>
      </c>
      <c r="AL2355" s="1" t="s">
        <v>60</v>
      </c>
      <c r="AW2355" s="1" t="s">
        <v>541</v>
      </c>
      <c r="AY2355" s="1">
        <v>1.0</v>
      </c>
      <c r="AZ2355" s="1">
        <v>73.99</v>
      </c>
      <c r="BB2355" s="1">
        <v>73.99</v>
      </c>
    </row>
    <row r="2356">
      <c r="A2356" s="1" t="s">
        <v>1730</v>
      </c>
      <c r="C2356" s="1" t="s">
        <v>56</v>
      </c>
      <c r="D2356" s="1" t="s">
        <v>3559</v>
      </c>
      <c r="Y2356" s="2">
        <v>45511.0</v>
      </c>
      <c r="AE2356" s="1">
        <v>299.95</v>
      </c>
      <c r="AG2356" s="3" t="str">
        <f>"2000006142640875"</f>
        <v>2000006142640875</v>
      </c>
      <c r="AH2356" s="1" t="s">
        <v>58</v>
      </c>
      <c r="AI2356" s="1" t="s">
        <v>59</v>
      </c>
      <c r="AJ2356" s="1" t="s">
        <v>59</v>
      </c>
      <c r="AK2356" s="1" t="s">
        <v>60</v>
      </c>
      <c r="AL2356" s="1" t="s">
        <v>60</v>
      </c>
      <c r="AW2356" s="1" t="s">
        <v>516</v>
      </c>
      <c r="AY2356" s="1">
        <v>5.0</v>
      </c>
      <c r="AZ2356" s="1">
        <v>59.99</v>
      </c>
      <c r="BB2356" s="1">
        <v>299.95</v>
      </c>
    </row>
    <row r="2357">
      <c r="A2357" s="1" t="s">
        <v>390</v>
      </c>
      <c r="C2357" s="1" t="s">
        <v>56</v>
      </c>
      <c r="D2357" s="1" t="s">
        <v>3560</v>
      </c>
      <c r="Y2357" s="2">
        <v>45511.0</v>
      </c>
      <c r="AE2357" s="1">
        <v>79.99</v>
      </c>
      <c r="AG2357" s="3" t="str">
        <f>"2000006142563695"</f>
        <v>2000006142563695</v>
      </c>
      <c r="AH2357" s="1" t="s">
        <v>58</v>
      </c>
      <c r="AI2357" s="1" t="s">
        <v>59</v>
      </c>
      <c r="AJ2357" s="1" t="s">
        <v>59</v>
      </c>
      <c r="AK2357" s="1" t="s">
        <v>60</v>
      </c>
      <c r="AL2357" s="1" t="s">
        <v>60</v>
      </c>
      <c r="AW2357" s="1" t="s">
        <v>392</v>
      </c>
      <c r="AY2357" s="1">
        <v>1.0</v>
      </c>
      <c r="AZ2357" s="1">
        <v>79.99</v>
      </c>
      <c r="BB2357" s="1">
        <v>79.99</v>
      </c>
    </row>
    <row r="2358">
      <c r="A2358" s="1" t="s">
        <v>1038</v>
      </c>
      <c r="C2358" s="1" t="s">
        <v>56</v>
      </c>
      <c r="D2358" s="1" t="s">
        <v>3561</v>
      </c>
      <c r="Y2358" s="2">
        <v>45511.0</v>
      </c>
      <c r="AE2358" s="1">
        <v>64.48</v>
      </c>
      <c r="AG2358" s="3" t="str">
        <f>"2000008976554308"</f>
        <v>2000008976554308</v>
      </c>
      <c r="AH2358" s="1" t="s">
        <v>58</v>
      </c>
      <c r="AI2358" s="1" t="s">
        <v>59</v>
      </c>
      <c r="AJ2358" s="1" t="s">
        <v>59</v>
      </c>
      <c r="AK2358" s="1" t="s">
        <v>60</v>
      </c>
      <c r="AL2358" s="1" t="s">
        <v>60</v>
      </c>
      <c r="AW2358" s="1" t="s">
        <v>1040</v>
      </c>
      <c r="AY2358" s="1">
        <v>1.0</v>
      </c>
      <c r="AZ2358" s="1">
        <v>64.48</v>
      </c>
      <c r="BB2358" s="1">
        <v>64.48</v>
      </c>
    </row>
    <row r="2359">
      <c r="A2359" s="1" t="s">
        <v>1521</v>
      </c>
      <c r="C2359" s="1" t="s">
        <v>56</v>
      </c>
      <c r="D2359" s="1" t="s">
        <v>3562</v>
      </c>
      <c r="Y2359" s="2">
        <v>45511.0</v>
      </c>
      <c r="AE2359" s="1">
        <v>49.99</v>
      </c>
      <c r="AG2359" s="3" t="str">
        <f>"2000006142447225"</f>
        <v>2000006142447225</v>
      </c>
      <c r="AH2359" s="1" t="s">
        <v>58</v>
      </c>
      <c r="AI2359" s="1" t="s">
        <v>59</v>
      </c>
      <c r="AJ2359" s="1" t="s">
        <v>59</v>
      </c>
      <c r="AK2359" s="1" t="s">
        <v>60</v>
      </c>
      <c r="AL2359" s="1" t="s">
        <v>60</v>
      </c>
      <c r="AW2359" s="1" t="s">
        <v>1523</v>
      </c>
      <c r="AY2359" s="1">
        <v>1.0</v>
      </c>
      <c r="AZ2359" s="1">
        <v>49.99</v>
      </c>
      <c r="BB2359" s="1">
        <v>49.99</v>
      </c>
    </row>
    <row r="2360">
      <c r="A2360" s="1" t="s">
        <v>1038</v>
      </c>
      <c r="C2360" s="1" t="s">
        <v>56</v>
      </c>
      <c r="D2360" s="1" t="s">
        <v>3563</v>
      </c>
      <c r="Y2360" s="2">
        <v>45511.0</v>
      </c>
      <c r="AE2360" s="1">
        <v>64.48</v>
      </c>
      <c r="AG2360" s="3" t="str">
        <f>"2000008976375314"</f>
        <v>2000008976375314</v>
      </c>
      <c r="AH2360" s="1" t="s">
        <v>58</v>
      </c>
      <c r="AI2360" s="1" t="s">
        <v>59</v>
      </c>
      <c r="AJ2360" s="1" t="s">
        <v>59</v>
      </c>
      <c r="AK2360" s="1" t="s">
        <v>60</v>
      </c>
      <c r="AL2360" s="1" t="s">
        <v>60</v>
      </c>
      <c r="AW2360" s="1" t="s">
        <v>1040</v>
      </c>
      <c r="AY2360" s="1">
        <v>1.0</v>
      </c>
      <c r="AZ2360" s="1">
        <v>64.48</v>
      </c>
      <c r="BB2360" s="1">
        <v>64.48</v>
      </c>
    </row>
    <row r="2361">
      <c r="A2361" s="1" t="s">
        <v>2228</v>
      </c>
      <c r="C2361" s="1" t="s">
        <v>56</v>
      </c>
      <c r="D2361" s="1" t="s">
        <v>3564</v>
      </c>
      <c r="Y2361" s="2">
        <v>45511.0</v>
      </c>
      <c r="AE2361" s="1">
        <v>99.99</v>
      </c>
      <c r="AG2361" s="3" t="str">
        <f>"2000006142389193"</f>
        <v>2000006142389193</v>
      </c>
      <c r="AH2361" s="1" t="s">
        <v>58</v>
      </c>
      <c r="AI2361" s="1" t="s">
        <v>59</v>
      </c>
      <c r="AJ2361" s="1" t="s">
        <v>59</v>
      </c>
      <c r="AK2361" s="1" t="s">
        <v>60</v>
      </c>
      <c r="AL2361" s="1" t="s">
        <v>60</v>
      </c>
      <c r="AW2361" s="1" t="s">
        <v>2230</v>
      </c>
      <c r="AY2361" s="1">
        <v>1.0</v>
      </c>
      <c r="AZ2361" s="1">
        <v>99.99</v>
      </c>
      <c r="BB2361" s="1">
        <v>99.99</v>
      </c>
    </row>
    <row r="2362">
      <c r="A2362" s="1" t="s">
        <v>280</v>
      </c>
      <c r="C2362" s="1" t="s">
        <v>56</v>
      </c>
      <c r="D2362" s="1" t="s">
        <v>3565</v>
      </c>
      <c r="Y2362" s="2">
        <v>45511.0</v>
      </c>
      <c r="AE2362" s="1">
        <v>119.99</v>
      </c>
      <c r="AG2362" s="3" t="str">
        <f>"2000006142384125"</f>
        <v>2000006142384125</v>
      </c>
      <c r="AH2362" s="1" t="s">
        <v>58</v>
      </c>
      <c r="AI2362" s="1" t="s">
        <v>59</v>
      </c>
      <c r="AJ2362" s="1" t="s">
        <v>59</v>
      </c>
      <c r="AK2362" s="1" t="s">
        <v>60</v>
      </c>
      <c r="AL2362" s="1" t="s">
        <v>60</v>
      </c>
      <c r="AW2362" s="1" t="s">
        <v>282</v>
      </c>
      <c r="AY2362" s="1">
        <v>1.0</v>
      </c>
      <c r="AZ2362" s="1">
        <v>119.99</v>
      </c>
      <c r="BB2362" s="1">
        <v>119.99</v>
      </c>
    </row>
    <row r="2363">
      <c r="A2363" s="1" t="s">
        <v>2856</v>
      </c>
      <c r="C2363" s="1" t="s">
        <v>56</v>
      </c>
      <c r="D2363" s="1" t="s">
        <v>3566</v>
      </c>
      <c r="Y2363" s="2">
        <v>45511.0</v>
      </c>
      <c r="AE2363" s="1">
        <v>39.99</v>
      </c>
      <c r="AG2363" s="3" t="str">
        <f>"2000006142352703"</f>
        <v>2000006142352703</v>
      </c>
      <c r="AH2363" s="1" t="s">
        <v>58</v>
      </c>
      <c r="AI2363" s="1" t="s">
        <v>59</v>
      </c>
      <c r="AJ2363" s="1" t="s">
        <v>59</v>
      </c>
      <c r="AK2363" s="1" t="s">
        <v>60</v>
      </c>
      <c r="AL2363" s="1" t="s">
        <v>60</v>
      </c>
      <c r="AW2363" s="1" t="s">
        <v>673</v>
      </c>
      <c r="AY2363" s="1">
        <v>1.0</v>
      </c>
      <c r="AZ2363" s="1">
        <v>39.99</v>
      </c>
      <c r="BB2363" s="1">
        <v>39.99</v>
      </c>
    </row>
    <row r="2364">
      <c r="A2364" s="1" t="s">
        <v>586</v>
      </c>
      <c r="C2364" s="1" t="s">
        <v>56</v>
      </c>
      <c r="D2364" s="1" t="s">
        <v>3086</v>
      </c>
      <c r="Y2364" s="2">
        <v>45511.0</v>
      </c>
      <c r="AE2364" s="1">
        <v>97.99</v>
      </c>
      <c r="AG2364" s="3" t="str">
        <f>"2000006142290899"</f>
        <v>2000006142290899</v>
      </c>
      <c r="AH2364" s="1" t="s">
        <v>58</v>
      </c>
      <c r="AI2364" s="1" t="s">
        <v>59</v>
      </c>
      <c r="AJ2364" s="1" t="s">
        <v>59</v>
      </c>
      <c r="AK2364" s="1" t="s">
        <v>60</v>
      </c>
      <c r="AL2364" s="1" t="s">
        <v>60</v>
      </c>
      <c r="AW2364" s="1" t="s">
        <v>588</v>
      </c>
      <c r="AY2364" s="1">
        <v>1.0</v>
      </c>
      <c r="AZ2364" s="1">
        <v>97.99</v>
      </c>
      <c r="BB2364" s="1">
        <v>97.99</v>
      </c>
    </row>
    <row r="2365">
      <c r="A2365" s="1" t="s">
        <v>3053</v>
      </c>
      <c r="C2365" s="1" t="s">
        <v>235</v>
      </c>
      <c r="D2365" s="1" t="s">
        <v>3567</v>
      </c>
      <c r="Y2365" s="2">
        <v>45511.0</v>
      </c>
      <c r="AE2365" s="1">
        <v>59.99</v>
      </c>
      <c r="AG2365" s="3" t="str">
        <f>"2000006142284801"</f>
        <v>2000006142284801</v>
      </c>
      <c r="AH2365" s="1" t="s">
        <v>58</v>
      </c>
      <c r="AI2365" s="1" t="s">
        <v>59</v>
      </c>
      <c r="AJ2365" s="1" t="s">
        <v>59</v>
      </c>
      <c r="AK2365" s="1" t="s">
        <v>60</v>
      </c>
      <c r="AL2365" s="1" t="s">
        <v>60</v>
      </c>
      <c r="AW2365" s="1" t="s">
        <v>1831</v>
      </c>
      <c r="AY2365" s="1">
        <v>1.0</v>
      </c>
      <c r="AZ2365" s="1">
        <v>59.99</v>
      </c>
      <c r="BB2365" s="1">
        <v>59.99</v>
      </c>
    </row>
    <row r="2366">
      <c r="A2366" s="1" t="s">
        <v>290</v>
      </c>
      <c r="C2366" s="1" t="s">
        <v>56</v>
      </c>
      <c r="D2366" s="1" t="s">
        <v>3568</v>
      </c>
      <c r="Y2366" s="2">
        <v>45511.0</v>
      </c>
      <c r="AE2366" s="1">
        <v>139.99</v>
      </c>
      <c r="AG2366" s="3" t="str">
        <f>"2000008976065386"</f>
        <v>2000008976065386</v>
      </c>
      <c r="AH2366" s="1" t="s">
        <v>58</v>
      </c>
      <c r="AI2366" s="1" t="s">
        <v>59</v>
      </c>
      <c r="AJ2366" s="1" t="s">
        <v>59</v>
      </c>
      <c r="AK2366" s="1" t="s">
        <v>60</v>
      </c>
      <c r="AL2366" s="1" t="s">
        <v>60</v>
      </c>
      <c r="AW2366" s="1" t="s">
        <v>292</v>
      </c>
      <c r="AY2366" s="1">
        <v>1.0</v>
      </c>
      <c r="AZ2366" s="1">
        <v>139.99</v>
      </c>
      <c r="BB2366" s="1">
        <v>139.99</v>
      </c>
    </row>
    <row r="2367">
      <c r="A2367" s="1" t="s">
        <v>83</v>
      </c>
      <c r="C2367" s="1" t="s">
        <v>56</v>
      </c>
      <c r="D2367" s="1" t="s">
        <v>3569</v>
      </c>
      <c r="Y2367" s="2">
        <v>45511.0</v>
      </c>
      <c r="AE2367" s="1">
        <v>54.99</v>
      </c>
      <c r="AG2367" s="3" t="str">
        <f t="shared" ref="AG2367:AG2368" si="93">"2000006142279421"</f>
        <v>2000006142279421</v>
      </c>
      <c r="AH2367" s="1" t="s">
        <v>58</v>
      </c>
      <c r="AI2367" s="1" t="s">
        <v>59</v>
      </c>
      <c r="AJ2367" s="1" t="s">
        <v>59</v>
      </c>
      <c r="AK2367" s="1" t="s">
        <v>60</v>
      </c>
      <c r="AL2367" s="1" t="s">
        <v>60</v>
      </c>
      <c r="AW2367" s="1" t="s">
        <v>85</v>
      </c>
      <c r="AY2367" s="1">
        <v>1.0</v>
      </c>
      <c r="AZ2367" s="1">
        <v>54.99</v>
      </c>
      <c r="BB2367" s="1">
        <v>54.99</v>
      </c>
    </row>
    <row r="2368">
      <c r="A2368" s="1" t="s">
        <v>230</v>
      </c>
      <c r="C2368" s="1" t="s">
        <v>56</v>
      </c>
      <c r="D2368" s="1" t="s">
        <v>3569</v>
      </c>
      <c r="Y2368" s="2">
        <v>45511.0</v>
      </c>
      <c r="AE2368" s="1">
        <v>54.99</v>
      </c>
      <c r="AG2368" s="3" t="str">
        <f t="shared" si="93"/>
        <v>2000006142279421</v>
      </c>
      <c r="AH2368" s="1" t="s">
        <v>58</v>
      </c>
      <c r="AI2368" s="1" t="s">
        <v>59</v>
      </c>
      <c r="AJ2368" s="1" t="s">
        <v>59</v>
      </c>
      <c r="AK2368" s="1" t="s">
        <v>60</v>
      </c>
      <c r="AL2368" s="1" t="s">
        <v>60</v>
      </c>
      <c r="AW2368" s="1" t="s">
        <v>85</v>
      </c>
      <c r="AY2368" s="1">
        <v>1.0</v>
      </c>
      <c r="AZ2368" s="1">
        <v>54.99</v>
      </c>
      <c r="BB2368" s="1">
        <v>54.99</v>
      </c>
    </row>
    <row r="2369">
      <c r="A2369" s="1" t="s">
        <v>649</v>
      </c>
      <c r="C2369" s="1" t="s">
        <v>56</v>
      </c>
      <c r="D2369" s="1" t="s">
        <v>3570</v>
      </c>
      <c r="Y2369" s="2">
        <v>45511.0</v>
      </c>
      <c r="AE2369" s="1">
        <v>69.99</v>
      </c>
      <c r="AG2369" s="3" t="str">
        <f>"2000008976007954"</f>
        <v>2000008976007954</v>
      </c>
      <c r="AH2369" s="1" t="s">
        <v>58</v>
      </c>
      <c r="AI2369" s="1" t="s">
        <v>59</v>
      </c>
      <c r="AJ2369" s="1" t="s">
        <v>59</v>
      </c>
      <c r="AK2369" s="1" t="s">
        <v>60</v>
      </c>
      <c r="AL2369" s="1" t="s">
        <v>60</v>
      </c>
      <c r="AW2369" s="1" t="s">
        <v>651</v>
      </c>
      <c r="AY2369" s="1">
        <v>1.0</v>
      </c>
      <c r="AZ2369" s="1">
        <v>69.99</v>
      </c>
      <c r="BB2369" s="1">
        <v>69.99</v>
      </c>
    </row>
    <row r="2370">
      <c r="A2370" s="1" t="s">
        <v>1001</v>
      </c>
      <c r="C2370" s="1" t="s">
        <v>56</v>
      </c>
      <c r="D2370" s="1" t="s">
        <v>3571</v>
      </c>
      <c r="Y2370" s="2">
        <v>45511.0</v>
      </c>
      <c r="AE2370" s="1">
        <v>54.99</v>
      </c>
      <c r="AG2370" s="3" t="str">
        <f>"2000006142223799"</f>
        <v>2000006142223799</v>
      </c>
      <c r="AH2370" s="1" t="s">
        <v>58</v>
      </c>
      <c r="AI2370" s="1" t="s">
        <v>59</v>
      </c>
      <c r="AJ2370" s="1" t="s">
        <v>59</v>
      </c>
      <c r="AK2370" s="1" t="s">
        <v>60</v>
      </c>
      <c r="AL2370" s="1" t="s">
        <v>60</v>
      </c>
      <c r="AW2370" s="1" t="s">
        <v>85</v>
      </c>
      <c r="AY2370" s="1">
        <v>1.0</v>
      </c>
      <c r="AZ2370" s="1">
        <v>54.99</v>
      </c>
      <c r="BB2370" s="1">
        <v>54.99</v>
      </c>
    </row>
    <row r="2371">
      <c r="A2371" s="1" t="s">
        <v>942</v>
      </c>
      <c r="C2371" s="1" t="s">
        <v>56</v>
      </c>
      <c r="D2371" s="1" t="s">
        <v>3572</v>
      </c>
      <c r="Y2371" s="2">
        <v>45511.0</v>
      </c>
      <c r="AE2371" s="1">
        <v>229.98</v>
      </c>
      <c r="AG2371" s="3" t="str">
        <f>"2000006142249109"</f>
        <v>2000006142249109</v>
      </c>
      <c r="AH2371" s="1" t="s">
        <v>58</v>
      </c>
      <c r="AI2371" s="1" t="s">
        <v>59</v>
      </c>
      <c r="AJ2371" s="1" t="s">
        <v>59</v>
      </c>
      <c r="AK2371" s="1" t="s">
        <v>60</v>
      </c>
      <c r="AL2371" s="1" t="s">
        <v>60</v>
      </c>
      <c r="AW2371" s="1" t="s">
        <v>944</v>
      </c>
      <c r="AY2371" s="1">
        <v>2.0</v>
      </c>
      <c r="AZ2371" s="1">
        <v>114.99</v>
      </c>
      <c r="BB2371" s="1">
        <v>229.98</v>
      </c>
    </row>
    <row r="2372">
      <c r="A2372" s="1" t="s">
        <v>256</v>
      </c>
      <c r="C2372" s="1" t="s">
        <v>56</v>
      </c>
      <c r="D2372" s="1" t="s">
        <v>3573</v>
      </c>
      <c r="Y2372" s="2">
        <v>45511.0</v>
      </c>
      <c r="AE2372" s="1">
        <v>149.98</v>
      </c>
      <c r="AG2372" s="3" t="str">
        <f>"2000008975934294"</f>
        <v>2000008975934294</v>
      </c>
      <c r="AH2372" s="1" t="s">
        <v>58</v>
      </c>
      <c r="AI2372" s="1" t="s">
        <v>59</v>
      </c>
      <c r="AJ2372" s="1" t="s">
        <v>59</v>
      </c>
      <c r="AK2372" s="1" t="s">
        <v>60</v>
      </c>
      <c r="AL2372" s="1" t="s">
        <v>60</v>
      </c>
      <c r="AW2372" s="1" t="s">
        <v>258</v>
      </c>
      <c r="AY2372" s="1">
        <v>1.0</v>
      </c>
      <c r="AZ2372" s="1">
        <v>149.98</v>
      </c>
      <c r="BB2372" s="1">
        <v>149.98</v>
      </c>
    </row>
    <row r="2373">
      <c r="A2373" s="1" t="s">
        <v>764</v>
      </c>
      <c r="C2373" s="1" t="s">
        <v>56</v>
      </c>
      <c r="D2373" s="1" t="s">
        <v>3574</v>
      </c>
      <c r="Y2373" s="2">
        <v>45511.0</v>
      </c>
      <c r="AE2373" s="1">
        <v>66.99</v>
      </c>
      <c r="AG2373" s="3" t="str">
        <f>"2000006142204093"</f>
        <v>2000006142204093</v>
      </c>
      <c r="AH2373" s="1" t="s">
        <v>58</v>
      </c>
      <c r="AI2373" s="1" t="s">
        <v>59</v>
      </c>
      <c r="AJ2373" s="1" t="s">
        <v>59</v>
      </c>
      <c r="AK2373" s="1" t="s">
        <v>60</v>
      </c>
      <c r="AL2373" s="1" t="s">
        <v>60</v>
      </c>
      <c r="AW2373" s="1" t="s">
        <v>766</v>
      </c>
      <c r="AY2373" s="1">
        <v>1.0</v>
      </c>
      <c r="AZ2373" s="1">
        <v>66.99</v>
      </c>
      <c r="BB2373" s="1">
        <v>66.99</v>
      </c>
    </row>
    <row r="2374">
      <c r="A2374" s="1" t="s">
        <v>92</v>
      </c>
      <c r="C2374" s="1" t="s">
        <v>56</v>
      </c>
      <c r="D2374" s="1" t="s">
        <v>3575</v>
      </c>
      <c r="Y2374" s="2">
        <v>45511.0</v>
      </c>
      <c r="AE2374" s="1">
        <v>94.99</v>
      </c>
      <c r="AG2374" s="3" t="str">
        <f>"2000008975907402"</f>
        <v>2000008975907402</v>
      </c>
      <c r="AH2374" s="1" t="s">
        <v>58</v>
      </c>
      <c r="AI2374" s="1" t="s">
        <v>59</v>
      </c>
      <c r="AJ2374" s="1" t="s">
        <v>59</v>
      </c>
      <c r="AK2374" s="1" t="s">
        <v>60</v>
      </c>
      <c r="AL2374" s="1" t="s">
        <v>60</v>
      </c>
      <c r="AW2374" s="1" t="s">
        <v>94</v>
      </c>
      <c r="AY2374" s="1">
        <v>1.0</v>
      </c>
      <c r="AZ2374" s="1">
        <v>94.99</v>
      </c>
      <c r="BB2374" s="1">
        <v>94.99</v>
      </c>
    </row>
    <row r="2375">
      <c r="A2375" s="1" t="s">
        <v>83</v>
      </c>
      <c r="C2375" s="1" t="s">
        <v>56</v>
      </c>
      <c r="D2375" s="1" t="s">
        <v>3576</v>
      </c>
      <c r="Y2375" s="2">
        <v>45511.0</v>
      </c>
      <c r="AE2375" s="1">
        <v>54.99</v>
      </c>
      <c r="AG2375" s="3" t="str">
        <f>"2000008975802434"</f>
        <v>2000008975802434</v>
      </c>
      <c r="AH2375" s="1" t="s">
        <v>58</v>
      </c>
      <c r="AI2375" s="1" t="s">
        <v>59</v>
      </c>
      <c r="AJ2375" s="1" t="s">
        <v>59</v>
      </c>
      <c r="AK2375" s="1" t="s">
        <v>60</v>
      </c>
      <c r="AL2375" s="1" t="s">
        <v>60</v>
      </c>
      <c r="AW2375" s="1" t="s">
        <v>85</v>
      </c>
      <c r="AY2375" s="1">
        <v>1.0</v>
      </c>
      <c r="AZ2375" s="1">
        <v>54.99</v>
      </c>
      <c r="BB2375" s="1">
        <v>54.99</v>
      </c>
    </row>
    <row r="2376">
      <c r="A2376" s="1" t="s">
        <v>368</v>
      </c>
      <c r="C2376" s="1" t="s">
        <v>56</v>
      </c>
      <c r="D2376" s="1" t="s">
        <v>3577</v>
      </c>
      <c r="Y2376" s="2">
        <v>45511.0</v>
      </c>
      <c r="AE2376" s="1">
        <v>94.99</v>
      </c>
      <c r="AG2376" s="3" t="str">
        <f>"2000006142132703"</f>
        <v>2000006142132703</v>
      </c>
      <c r="AH2376" s="1" t="s">
        <v>58</v>
      </c>
      <c r="AI2376" s="1" t="s">
        <v>59</v>
      </c>
      <c r="AJ2376" s="1" t="s">
        <v>59</v>
      </c>
      <c r="AK2376" s="1" t="s">
        <v>60</v>
      </c>
      <c r="AL2376" s="1" t="s">
        <v>60</v>
      </c>
      <c r="AW2376" s="1" t="s">
        <v>370</v>
      </c>
      <c r="AY2376" s="1">
        <v>1.0</v>
      </c>
      <c r="AZ2376" s="1">
        <v>94.99</v>
      </c>
      <c r="BB2376" s="1">
        <v>94.99</v>
      </c>
    </row>
    <row r="2377">
      <c r="A2377" s="1" t="s">
        <v>3578</v>
      </c>
      <c r="C2377" s="1" t="s">
        <v>56</v>
      </c>
      <c r="D2377" s="1" t="s">
        <v>3579</v>
      </c>
      <c r="Y2377" s="2">
        <v>45511.0</v>
      </c>
      <c r="AE2377" s="1">
        <v>289.99</v>
      </c>
      <c r="AG2377" s="3" t="str">
        <f>"2000006142090113"</f>
        <v>2000006142090113</v>
      </c>
      <c r="AH2377" s="1" t="s">
        <v>58</v>
      </c>
      <c r="AI2377" s="1" t="s">
        <v>59</v>
      </c>
      <c r="AJ2377" s="1" t="s">
        <v>59</v>
      </c>
      <c r="AK2377" s="1" t="s">
        <v>60</v>
      </c>
      <c r="AL2377" s="1" t="s">
        <v>60</v>
      </c>
      <c r="AW2377" s="1" t="s">
        <v>3580</v>
      </c>
      <c r="AY2377" s="1">
        <v>1.0</v>
      </c>
      <c r="AZ2377" s="1">
        <v>289.99</v>
      </c>
      <c r="BB2377" s="1">
        <v>289.99</v>
      </c>
    </row>
    <row r="2378">
      <c r="A2378" s="1" t="s">
        <v>1270</v>
      </c>
      <c r="C2378" s="1" t="s">
        <v>56</v>
      </c>
      <c r="D2378" s="1" t="s">
        <v>3581</v>
      </c>
      <c r="Y2378" s="2">
        <v>45511.0</v>
      </c>
      <c r="AE2378" s="1">
        <v>399.99</v>
      </c>
      <c r="AG2378" s="3" t="str">
        <f>"2000008975677062"</f>
        <v>2000008975677062</v>
      </c>
      <c r="AH2378" s="1" t="s">
        <v>58</v>
      </c>
      <c r="AI2378" s="1" t="s">
        <v>59</v>
      </c>
      <c r="AJ2378" s="1" t="s">
        <v>59</v>
      </c>
      <c r="AK2378" s="1" t="s">
        <v>60</v>
      </c>
      <c r="AL2378" s="1" t="s">
        <v>60</v>
      </c>
      <c r="AW2378" s="1" t="s">
        <v>1486</v>
      </c>
      <c r="AY2378" s="1">
        <v>1.0</v>
      </c>
      <c r="AZ2378" s="1">
        <v>399.99</v>
      </c>
      <c r="BB2378" s="1">
        <v>399.99</v>
      </c>
    </row>
    <row r="2379">
      <c r="A2379" s="1" t="s">
        <v>3582</v>
      </c>
      <c r="C2379" s="1" t="s">
        <v>235</v>
      </c>
      <c r="D2379" s="1" t="s">
        <v>3583</v>
      </c>
      <c r="Y2379" s="2">
        <v>45511.0</v>
      </c>
      <c r="AE2379" s="1">
        <v>79.99</v>
      </c>
      <c r="AG2379" s="3" t="str">
        <f>"2000006142069729"</f>
        <v>2000006142069729</v>
      </c>
      <c r="AH2379" s="1" t="s">
        <v>58</v>
      </c>
      <c r="AI2379" s="1" t="s">
        <v>59</v>
      </c>
      <c r="AJ2379" s="1" t="s">
        <v>59</v>
      </c>
      <c r="AK2379" s="1" t="s">
        <v>60</v>
      </c>
      <c r="AL2379" s="1" t="s">
        <v>60</v>
      </c>
      <c r="AW2379" s="1" t="s">
        <v>3584</v>
      </c>
      <c r="AY2379" s="1">
        <v>1.0</v>
      </c>
      <c r="AZ2379" s="1">
        <v>79.99</v>
      </c>
      <c r="BB2379" s="1">
        <v>79.99</v>
      </c>
    </row>
    <row r="2380">
      <c r="A2380" s="1" t="s">
        <v>3585</v>
      </c>
      <c r="C2380" s="1" t="s">
        <v>56</v>
      </c>
      <c r="D2380" s="1" t="s">
        <v>3586</v>
      </c>
      <c r="Y2380" s="2">
        <v>45511.0</v>
      </c>
      <c r="AE2380" s="1">
        <v>249.99</v>
      </c>
      <c r="AG2380" s="3" t="str">
        <f>"2000006142063265"</f>
        <v>2000006142063265</v>
      </c>
      <c r="AH2380" s="1" t="s">
        <v>58</v>
      </c>
      <c r="AI2380" s="1" t="s">
        <v>59</v>
      </c>
      <c r="AJ2380" s="1" t="s">
        <v>59</v>
      </c>
      <c r="AK2380" s="1" t="s">
        <v>60</v>
      </c>
      <c r="AL2380" s="1" t="s">
        <v>60</v>
      </c>
      <c r="AW2380" s="1" t="s">
        <v>3587</v>
      </c>
      <c r="AY2380" s="1">
        <v>1.0</v>
      </c>
      <c r="AZ2380" s="1">
        <v>249.99</v>
      </c>
      <c r="BB2380" s="1">
        <v>249.99</v>
      </c>
    </row>
    <row r="2381">
      <c r="A2381" s="1" t="s">
        <v>2269</v>
      </c>
      <c r="C2381" s="1" t="s">
        <v>56</v>
      </c>
      <c r="D2381" s="1" t="s">
        <v>3588</v>
      </c>
      <c r="Y2381" s="2">
        <v>45511.0</v>
      </c>
      <c r="AE2381" s="1">
        <v>49.99</v>
      </c>
      <c r="AG2381" s="3" t="str">
        <f t="shared" ref="AG2381:AG2382" si="94">"2000006142066231"</f>
        <v>2000006142066231</v>
      </c>
      <c r="AH2381" s="1" t="s">
        <v>58</v>
      </c>
      <c r="AI2381" s="1" t="s">
        <v>59</v>
      </c>
      <c r="AJ2381" s="1" t="s">
        <v>59</v>
      </c>
      <c r="AK2381" s="1" t="s">
        <v>60</v>
      </c>
      <c r="AL2381" s="1" t="s">
        <v>60</v>
      </c>
      <c r="AW2381" s="1" t="s">
        <v>1838</v>
      </c>
      <c r="AY2381" s="1">
        <v>1.0</v>
      </c>
      <c r="AZ2381" s="1">
        <v>49.99</v>
      </c>
      <c r="BB2381" s="1">
        <v>49.99</v>
      </c>
    </row>
    <row r="2382">
      <c r="A2382" s="1" t="s">
        <v>2737</v>
      </c>
      <c r="C2382" s="1" t="s">
        <v>56</v>
      </c>
      <c r="D2382" s="1" t="s">
        <v>3588</v>
      </c>
      <c r="Y2382" s="2">
        <v>45511.0</v>
      </c>
      <c r="AE2382" s="1">
        <v>59.99</v>
      </c>
      <c r="AG2382" s="3" t="str">
        <f t="shared" si="94"/>
        <v>2000006142066231</v>
      </c>
      <c r="AH2382" s="1" t="s">
        <v>58</v>
      </c>
      <c r="AI2382" s="1" t="s">
        <v>59</v>
      </c>
      <c r="AJ2382" s="1" t="s">
        <v>59</v>
      </c>
      <c r="AK2382" s="1" t="s">
        <v>60</v>
      </c>
      <c r="AL2382" s="1" t="s">
        <v>60</v>
      </c>
      <c r="AW2382" s="1" t="s">
        <v>2739</v>
      </c>
      <c r="AY2382" s="1">
        <v>1.0</v>
      </c>
      <c r="AZ2382" s="1">
        <v>59.99</v>
      </c>
      <c r="BB2382" s="1">
        <v>59.99</v>
      </c>
    </row>
    <row r="2383">
      <c r="A2383" s="1" t="s">
        <v>3589</v>
      </c>
      <c r="C2383" s="1" t="s">
        <v>56</v>
      </c>
      <c r="D2383" s="1" t="s">
        <v>3590</v>
      </c>
      <c r="Y2383" s="2">
        <v>45511.0</v>
      </c>
      <c r="AE2383" s="1">
        <v>49.99</v>
      </c>
      <c r="AG2383" s="3" t="str">
        <f>"2000006142036675"</f>
        <v>2000006142036675</v>
      </c>
      <c r="AH2383" s="1" t="s">
        <v>58</v>
      </c>
      <c r="AI2383" s="1" t="s">
        <v>59</v>
      </c>
      <c r="AJ2383" s="1" t="s">
        <v>59</v>
      </c>
      <c r="AK2383" s="1" t="s">
        <v>60</v>
      </c>
      <c r="AL2383" s="1" t="s">
        <v>60</v>
      </c>
      <c r="AW2383" s="1" t="s">
        <v>3591</v>
      </c>
      <c r="AY2383" s="1">
        <v>1.0</v>
      </c>
      <c r="AZ2383" s="1">
        <v>49.99</v>
      </c>
      <c r="BB2383" s="1">
        <v>49.99</v>
      </c>
    </row>
    <row r="2384">
      <c r="A2384" s="1" t="s">
        <v>2649</v>
      </c>
      <c r="C2384" s="1" t="s">
        <v>56</v>
      </c>
      <c r="D2384" s="1" t="s">
        <v>3592</v>
      </c>
      <c r="Y2384" s="2">
        <v>45511.0</v>
      </c>
      <c r="AE2384" s="1">
        <v>89.99</v>
      </c>
      <c r="AG2384" s="3" t="str">
        <f>"2000006142022169"</f>
        <v>2000006142022169</v>
      </c>
      <c r="AH2384" s="1" t="s">
        <v>58</v>
      </c>
      <c r="AI2384" s="1" t="s">
        <v>59</v>
      </c>
      <c r="AJ2384" s="1" t="s">
        <v>59</v>
      </c>
      <c r="AK2384" s="1" t="s">
        <v>60</v>
      </c>
      <c r="AL2384" s="1" t="s">
        <v>60</v>
      </c>
      <c r="AW2384" s="1" t="s">
        <v>2651</v>
      </c>
      <c r="AY2384" s="1">
        <v>1.0</v>
      </c>
      <c r="AZ2384" s="1">
        <v>89.99</v>
      </c>
      <c r="BB2384" s="1">
        <v>89.99</v>
      </c>
    </row>
    <row r="2385">
      <c r="A2385" s="1" t="s">
        <v>918</v>
      </c>
      <c r="C2385" s="1" t="s">
        <v>235</v>
      </c>
      <c r="D2385" s="1" t="s">
        <v>3542</v>
      </c>
      <c r="Y2385" s="2">
        <v>45511.0</v>
      </c>
      <c r="AE2385" s="1">
        <v>139.99</v>
      </c>
      <c r="AG2385" s="3" t="str">
        <f>"2000008975521290"</f>
        <v>2000008975521290</v>
      </c>
      <c r="AH2385" s="1" t="s">
        <v>58</v>
      </c>
      <c r="AI2385" s="1" t="s">
        <v>59</v>
      </c>
      <c r="AJ2385" s="1" t="s">
        <v>59</v>
      </c>
      <c r="AK2385" s="1" t="s">
        <v>60</v>
      </c>
      <c r="AL2385" s="1" t="s">
        <v>60</v>
      </c>
      <c r="AW2385" s="1" t="s">
        <v>920</v>
      </c>
      <c r="AY2385" s="1">
        <v>1.0</v>
      </c>
      <c r="AZ2385" s="1">
        <v>139.99</v>
      </c>
      <c r="BB2385" s="1">
        <v>139.99</v>
      </c>
    </row>
    <row r="2386">
      <c r="A2386" s="1" t="s">
        <v>2095</v>
      </c>
      <c r="C2386" s="1" t="s">
        <v>56</v>
      </c>
      <c r="D2386" s="1" t="s">
        <v>3593</v>
      </c>
      <c r="Y2386" s="2">
        <v>45511.0</v>
      </c>
      <c r="AE2386" s="1">
        <v>219.99</v>
      </c>
      <c r="AG2386" s="3" t="str">
        <f>"2000006141984479"</f>
        <v>2000006141984479</v>
      </c>
      <c r="AH2386" s="1" t="s">
        <v>58</v>
      </c>
      <c r="AI2386" s="1" t="s">
        <v>59</v>
      </c>
      <c r="AJ2386" s="1" t="s">
        <v>59</v>
      </c>
      <c r="AK2386" s="1" t="s">
        <v>60</v>
      </c>
      <c r="AL2386" s="1" t="s">
        <v>60</v>
      </c>
      <c r="AW2386" s="1" t="s">
        <v>2097</v>
      </c>
      <c r="AY2386" s="1">
        <v>1.0</v>
      </c>
      <c r="AZ2386" s="1">
        <v>219.99</v>
      </c>
      <c r="BB2386" s="1">
        <v>219.99</v>
      </c>
    </row>
    <row r="2387">
      <c r="A2387" s="1" t="s">
        <v>633</v>
      </c>
      <c r="C2387" s="1" t="s">
        <v>56</v>
      </c>
      <c r="D2387" s="1" t="s">
        <v>3594</v>
      </c>
      <c r="Y2387" s="2">
        <v>45511.0</v>
      </c>
      <c r="AE2387" s="1">
        <v>69.99</v>
      </c>
      <c r="AG2387" s="3" t="str">
        <f>"2000006141978647"</f>
        <v>2000006141978647</v>
      </c>
      <c r="AH2387" s="1" t="s">
        <v>58</v>
      </c>
      <c r="AI2387" s="1" t="s">
        <v>59</v>
      </c>
      <c r="AJ2387" s="1" t="s">
        <v>59</v>
      </c>
      <c r="AK2387" s="1" t="s">
        <v>60</v>
      </c>
      <c r="AL2387" s="1" t="s">
        <v>60</v>
      </c>
      <c r="AW2387" s="1" t="s">
        <v>635</v>
      </c>
      <c r="AY2387" s="1">
        <v>1.0</v>
      </c>
      <c r="AZ2387" s="1">
        <v>69.99</v>
      </c>
      <c r="BB2387" s="1">
        <v>69.99</v>
      </c>
    </row>
    <row r="2388">
      <c r="A2388" s="1" t="s">
        <v>230</v>
      </c>
      <c r="C2388" s="1" t="s">
        <v>235</v>
      </c>
      <c r="D2388" s="1" t="s">
        <v>2611</v>
      </c>
      <c r="Y2388" s="2">
        <v>45511.0</v>
      </c>
      <c r="AE2388" s="1">
        <v>219.96</v>
      </c>
      <c r="AG2388" s="3" t="str">
        <f>"2000006141954025"</f>
        <v>2000006141954025</v>
      </c>
      <c r="AH2388" s="1" t="s">
        <v>58</v>
      </c>
      <c r="AI2388" s="1" t="s">
        <v>59</v>
      </c>
      <c r="AJ2388" s="1" t="s">
        <v>59</v>
      </c>
      <c r="AK2388" s="1" t="s">
        <v>60</v>
      </c>
      <c r="AL2388" s="1" t="s">
        <v>60</v>
      </c>
      <c r="AW2388" s="1" t="s">
        <v>85</v>
      </c>
      <c r="AY2388" s="1">
        <v>4.0</v>
      </c>
      <c r="AZ2388" s="1">
        <v>54.99</v>
      </c>
      <c r="BB2388" s="1">
        <v>219.96</v>
      </c>
    </row>
    <row r="2389">
      <c r="A2389" s="1" t="s">
        <v>1521</v>
      </c>
      <c r="C2389" s="1" t="s">
        <v>56</v>
      </c>
      <c r="D2389" s="1" t="s">
        <v>3595</v>
      </c>
      <c r="Y2389" s="2">
        <v>45511.0</v>
      </c>
      <c r="AE2389" s="1">
        <v>49.99</v>
      </c>
      <c r="AG2389" s="3" t="str">
        <f>"2000006141931653"</f>
        <v>2000006141931653</v>
      </c>
      <c r="AH2389" s="1" t="s">
        <v>58</v>
      </c>
      <c r="AI2389" s="1" t="s">
        <v>59</v>
      </c>
      <c r="AJ2389" s="1" t="s">
        <v>59</v>
      </c>
      <c r="AK2389" s="1" t="s">
        <v>60</v>
      </c>
      <c r="AL2389" s="1" t="s">
        <v>60</v>
      </c>
      <c r="AW2389" s="1" t="s">
        <v>1523</v>
      </c>
      <c r="AY2389" s="1">
        <v>1.0</v>
      </c>
      <c r="AZ2389" s="1">
        <v>49.99</v>
      </c>
      <c r="BB2389" s="1">
        <v>49.99</v>
      </c>
    </row>
    <row r="2390">
      <c r="A2390" s="1" t="s">
        <v>1923</v>
      </c>
      <c r="C2390" s="1" t="s">
        <v>56</v>
      </c>
      <c r="D2390" s="1" t="s">
        <v>3596</v>
      </c>
      <c r="Y2390" s="2">
        <v>45511.0</v>
      </c>
      <c r="AE2390" s="1">
        <v>45.99</v>
      </c>
      <c r="AG2390" s="3" t="str">
        <f>"2000006141701585"</f>
        <v>2000006141701585</v>
      </c>
      <c r="AH2390" s="1" t="s">
        <v>58</v>
      </c>
      <c r="AI2390" s="1" t="s">
        <v>59</v>
      </c>
      <c r="AJ2390" s="1" t="s">
        <v>59</v>
      </c>
      <c r="AK2390" s="1" t="s">
        <v>60</v>
      </c>
      <c r="AL2390" s="1" t="s">
        <v>60</v>
      </c>
      <c r="AW2390" s="1" t="s">
        <v>1925</v>
      </c>
      <c r="AY2390" s="1">
        <v>1.0</v>
      </c>
      <c r="AZ2390" s="1">
        <v>45.99</v>
      </c>
      <c r="BB2390" s="1">
        <v>45.99</v>
      </c>
    </row>
    <row r="2391">
      <c r="A2391" s="1" t="s">
        <v>262</v>
      </c>
      <c r="C2391" s="1" t="s">
        <v>56</v>
      </c>
      <c r="D2391" s="1" t="s">
        <v>3597</v>
      </c>
      <c r="Y2391" s="2">
        <v>45511.0</v>
      </c>
      <c r="AE2391" s="1">
        <v>129.99</v>
      </c>
      <c r="AG2391" s="3" t="str">
        <f>"2000006141900721"</f>
        <v>2000006141900721</v>
      </c>
      <c r="AH2391" s="1" t="s">
        <v>58</v>
      </c>
      <c r="AI2391" s="1" t="s">
        <v>59</v>
      </c>
      <c r="AJ2391" s="1" t="s">
        <v>59</v>
      </c>
      <c r="AK2391" s="1" t="s">
        <v>60</v>
      </c>
      <c r="AL2391" s="1" t="s">
        <v>60</v>
      </c>
      <c r="AW2391" s="1" t="s">
        <v>264</v>
      </c>
      <c r="AY2391" s="1">
        <v>1.0</v>
      </c>
      <c r="AZ2391" s="1">
        <v>129.99</v>
      </c>
      <c r="BB2391" s="1">
        <v>129.99</v>
      </c>
    </row>
    <row r="2392">
      <c r="A2392" s="1" t="s">
        <v>1137</v>
      </c>
      <c r="C2392" s="1" t="s">
        <v>56</v>
      </c>
      <c r="D2392" s="1" t="s">
        <v>3598</v>
      </c>
      <c r="Y2392" s="2">
        <v>45511.0</v>
      </c>
      <c r="AE2392" s="1">
        <v>319.96</v>
      </c>
      <c r="AG2392" s="3" t="str">
        <f>"2000006141893543"</f>
        <v>2000006141893543</v>
      </c>
      <c r="AH2392" s="1" t="s">
        <v>58</v>
      </c>
      <c r="AI2392" s="1" t="s">
        <v>59</v>
      </c>
      <c r="AJ2392" s="1" t="s">
        <v>59</v>
      </c>
      <c r="AK2392" s="1" t="s">
        <v>60</v>
      </c>
      <c r="AL2392" s="1" t="s">
        <v>60</v>
      </c>
      <c r="AW2392" s="1" t="s">
        <v>1139</v>
      </c>
      <c r="AY2392" s="1">
        <v>4.0</v>
      </c>
      <c r="AZ2392" s="1">
        <v>79.99</v>
      </c>
      <c r="BB2392" s="1">
        <v>319.96</v>
      </c>
    </row>
    <row r="2393">
      <c r="A2393" s="1" t="s">
        <v>1318</v>
      </c>
      <c r="C2393" s="1" t="s">
        <v>56</v>
      </c>
      <c r="D2393" s="1" t="s">
        <v>2633</v>
      </c>
      <c r="Y2393" s="2">
        <v>45511.0</v>
      </c>
      <c r="AE2393" s="1">
        <v>64.99</v>
      </c>
      <c r="AG2393" s="3" t="str">
        <f>"2000006141883333"</f>
        <v>2000006141883333</v>
      </c>
      <c r="AH2393" s="1" t="s">
        <v>58</v>
      </c>
      <c r="AI2393" s="1" t="s">
        <v>59</v>
      </c>
      <c r="AJ2393" s="1" t="s">
        <v>59</v>
      </c>
      <c r="AK2393" s="1" t="s">
        <v>60</v>
      </c>
      <c r="AL2393" s="1" t="s">
        <v>60</v>
      </c>
      <c r="AW2393" s="1" t="s">
        <v>1320</v>
      </c>
      <c r="AY2393" s="1">
        <v>1.0</v>
      </c>
      <c r="AZ2393" s="1">
        <v>64.99</v>
      </c>
      <c r="BB2393" s="1">
        <v>64.99</v>
      </c>
    </row>
    <row r="2394">
      <c r="A2394" s="1" t="s">
        <v>3027</v>
      </c>
      <c r="C2394" s="1" t="s">
        <v>56</v>
      </c>
      <c r="D2394" s="1" t="s">
        <v>3599</v>
      </c>
      <c r="Y2394" s="2">
        <v>45511.0</v>
      </c>
      <c r="AE2394" s="1">
        <v>69.99</v>
      </c>
      <c r="AG2394" s="3" t="str">
        <f>"2000008975314192"</f>
        <v>2000008975314192</v>
      </c>
      <c r="AH2394" s="1" t="s">
        <v>58</v>
      </c>
      <c r="AI2394" s="1" t="s">
        <v>59</v>
      </c>
      <c r="AJ2394" s="1" t="s">
        <v>59</v>
      </c>
      <c r="AK2394" s="1" t="s">
        <v>60</v>
      </c>
      <c r="AL2394" s="1" t="s">
        <v>60</v>
      </c>
      <c r="AW2394" s="1" t="s">
        <v>3029</v>
      </c>
      <c r="AY2394" s="1">
        <v>1.0</v>
      </c>
      <c r="AZ2394" s="1">
        <v>69.99</v>
      </c>
      <c r="BB2394" s="1">
        <v>69.99</v>
      </c>
    </row>
    <row r="2395">
      <c r="A2395" s="1" t="s">
        <v>872</v>
      </c>
      <c r="C2395" s="1" t="s">
        <v>56</v>
      </c>
      <c r="D2395" s="1" t="s">
        <v>3600</v>
      </c>
      <c r="Y2395" s="2">
        <v>45511.0</v>
      </c>
      <c r="AE2395" s="1">
        <v>249.99</v>
      </c>
      <c r="AG2395" s="3" t="str">
        <f>"2000006141416473"</f>
        <v>2000006141416473</v>
      </c>
      <c r="AH2395" s="1" t="s">
        <v>58</v>
      </c>
      <c r="AI2395" s="1" t="s">
        <v>59</v>
      </c>
      <c r="AJ2395" s="1" t="s">
        <v>59</v>
      </c>
      <c r="AK2395" s="1" t="s">
        <v>60</v>
      </c>
      <c r="AL2395" s="1" t="s">
        <v>60</v>
      </c>
      <c r="AW2395" s="1" t="s">
        <v>874</v>
      </c>
      <c r="AY2395" s="1">
        <v>1.0</v>
      </c>
      <c r="AZ2395" s="1">
        <v>249.99</v>
      </c>
      <c r="BB2395" s="1">
        <v>249.99</v>
      </c>
    </row>
    <row r="2396">
      <c r="A2396" s="1" t="s">
        <v>3601</v>
      </c>
      <c r="C2396" s="1" t="s">
        <v>56</v>
      </c>
      <c r="D2396" s="1" t="s">
        <v>3602</v>
      </c>
      <c r="Y2396" s="2">
        <v>45511.0</v>
      </c>
      <c r="AE2396" s="1">
        <v>84.99</v>
      </c>
      <c r="AG2396" s="3" t="str">
        <f>"2000006140912891"</f>
        <v>2000006140912891</v>
      </c>
      <c r="AH2396" s="1" t="s">
        <v>58</v>
      </c>
      <c r="AI2396" s="1" t="s">
        <v>59</v>
      </c>
      <c r="AJ2396" s="1" t="s">
        <v>59</v>
      </c>
      <c r="AK2396" s="1" t="s">
        <v>60</v>
      </c>
      <c r="AL2396" s="1" t="s">
        <v>60</v>
      </c>
      <c r="AW2396" s="1" t="s">
        <v>3603</v>
      </c>
      <c r="AY2396" s="1">
        <v>1.0</v>
      </c>
      <c r="AZ2396" s="1">
        <v>84.99</v>
      </c>
      <c r="BB2396" s="1">
        <v>84.99</v>
      </c>
    </row>
    <row r="2397">
      <c r="A2397" s="1" t="s">
        <v>1610</v>
      </c>
      <c r="C2397" s="1" t="s">
        <v>235</v>
      </c>
      <c r="D2397" s="1" t="s">
        <v>3604</v>
      </c>
      <c r="Y2397" s="2">
        <v>45511.0</v>
      </c>
      <c r="AE2397" s="1">
        <v>59.99</v>
      </c>
      <c r="AG2397" s="3" t="str">
        <f>"2000006141837153"</f>
        <v>2000006141837153</v>
      </c>
      <c r="AH2397" s="1" t="s">
        <v>58</v>
      </c>
      <c r="AI2397" s="1" t="s">
        <v>59</v>
      </c>
      <c r="AJ2397" s="1" t="s">
        <v>59</v>
      </c>
      <c r="AK2397" s="1" t="s">
        <v>60</v>
      </c>
      <c r="AL2397" s="1" t="s">
        <v>60</v>
      </c>
      <c r="AW2397" s="1" t="s">
        <v>104</v>
      </c>
      <c r="AY2397" s="1">
        <v>1.0</v>
      </c>
      <c r="AZ2397" s="1">
        <v>59.99</v>
      </c>
      <c r="BB2397" s="1">
        <v>59.99</v>
      </c>
    </row>
    <row r="2398">
      <c r="A2398" s="1" t="s">
        <v>1904</v>
      </c>
      <c r="C2398" s="1" t="s">
        <v>56</v>
      </c>
      <c r="D2398" s="1" t="s">
        <v>3605</v>
      </c>
      <c r="Y2398" s="2">
        <v>45511.0</v>
      </c>
      <c r="AE2398" s="1">
        <v>69.99</v>
      </c>
      <c r="AG2398" s="3" t="str">
        <f>"2000008975192818"</f>
        <v>2000008975192818</v>
      </c>
      <c r="AH2398" s="1" t="s">
        <v>58</v>
      </c>
      <c r="AI2398" s="1" t="s">
        <v>59</v>
      </c>
      <c r="AJ2398" s="1" t="s">
        <v>59</v>
      </c>
      <c r="AK2398" s="1" t="s">
        <v>60</v>
      </c>
      <c r="AL2398" s="1" t="s">
        <v>60</v>
      </c>
      <c r="AW2398" s="1" t="s">
        <v>2673</v>
      </c>
      <c r="AY2398" s="1">
        <v>1.0</v>
      </c>
      <c r="AZ2398" s="1">
        <v>69.99</v>
      </c>
      <c r="BB2398" s="1">
        <v>69.99</v>
      </c>
    </row>
    <row r="2399">
      <c r="A2399" s="1" t="s">
        <v>536</v>
      </c>
      <c r="C2399" s="1" t="s">
        <v>56</v>
      </c>
      <c r="D2399" s="1" t="s">
        <v>3606</v>
      </c>
      <c r="Y2399" s="2">
        <v>45511.0</v>
      </c>
      <c r="AE2399" s="1">
        <v>89.99</v>
      </c>
      <c r="AG2399" s="3" t="str">
        <f>"2000006141685535"</f>
        <v>2000006141685535</v>
      </c>
      <c r="AH2399" s="1" t="s">
        <v>58</v>
      </c>
      <c r="AI2399" s="1" t="s">
        <v>59</v>
      </c>
      <c r="AJ2399" s="1" t="s">
        <v>59</v>
      </c>
      <c r="AK2399" s="1" t="s">
        <v>60</v>
      </c>
      <c r="AL2399" s="1" t="s">
        <v>60</v>
      </c>
      <c r="AW2399" s="1" t="s">
        <v>538</v>
      </c>
      <c r="AY2399" s="1">
        <v>1.0</v>
      </c>
      <c r="AZ2399" s="1">
        <v>89.99</v>
      </c>
      <c r="BB2399" s="1">
        <v>89.99</v>
      </c>
    </row>
    <row r="2400">
      <c r="A2400" s="1" t="s">
        <v>141</v>
      </c>
      <c r="C2400" s="1" t="s">
        <v>56</v>
      </c>
      <c r="D2400" s="1" t="s">
        <v>3607</v>
      </c>
      <c r="Y2400" s="2">
        <v>45511.0</v>
      </c>
      <c r="AE2400" s="1">
        <v>139.99</v>
      </c>
      <c r="AG2400" s="3" t="str">
        <f>"2000006141614209"</f>
        <v>2000006141614209</v>
      </c>
      <c r="AH2400" s="1" t="s">
        <v>58</v>
      </c>
      <c r="AI2400" s="1" t="s">
        <v>59</v>
      </c>
      <c r="AJ2400" s="1" t="s">
        <v>59</v>
      </c>
      <c r="AK2400" s="1" t="s">
        <v>60</v>
      </c>
      <c r="AL2400" s="1" t="s">
        <v>60</v>
      </c>
      <c r="AW2400" s="1" t="s">
        <v>143</v>
      </c>
      <c r="AY2400" s="1">
        <v>1.0</v>
      </c>
      <c r="AZ2400" s="1">
        <v>139.99</v>
      </c>
      <c r="BB2400" s="1">
        <v>139.99</v>
      </c>
    </row>
    <row r="2401">
      <c r="A2401" s="1" t="s">
        <v>348</v>
      </c>
      <c r="C2401" s="1" t="s">
        <v>56</v>
      </c>
      <c r="D2401" s="1" t="s">
        <v>3608</v>
      </c>
      <c r="Y2401" s="2">
        <v>45511.0</v>
      </c>
      <c r="AE2401" s="1">
        <v>99.99</v>
      </c>
      <c r="AG2401" s="3" t="str">
        <f>"2000006141604611"</f>
        <v>2000006141604611</v>
      </c>
      <c r="AH2401" s="1" t="s">
        <v>58</v>
      </c>
      <c r="AI2401" s="1" t="s">
        <v>59</v>
      </c>
      <c r="AJ2401" s="1" t="s">
        <v>59</v>
      </c>
      <c r="AK2401" s="1" t="s">
        <v>60</v>
      </c>
      <c r="AL2401" s="1" t="s">
        <v>60</v>
      </c>
      <c r="AW2401" s="1" t="s">
        <v>350</v>
      </c>
      <c r="AY2401" s="1">
        <v>1.0</v>
      </c>
      <c r="AZ2401" s="1">
        <v>99.99</v>
      </c>
      <c r="BB2401" s="1">
        <v>99.99</v>
      </c>
    </row>
    <row r="2402">
      <c r="A2402" s="1" t="s">
        <v>3345</v>
      </c>
      <c r="C2402" s="1" t="s">
        <v>235</v>
      </c>
      <c r="D2402" s="1" t="s">
        <v>3346</v>
      </c>
      <c r="Y2402" s="2">
        <v>45511.0</v>
      </c>
      <c r="AE2402" s="1">
        <v>54.99</v>
      </c>
      <c r="AG2402" s="3" t="str">
        <f>"2000006141586621"</f>
        <v>2000006141586621</v>
      </c>
      <c r="AH2402" s="1" t="s">
        <v>58</v>
      </c>
      <c r="AI2402" s="1" t="s">
        <v>59</v>
      </c>
      <c r="AJ2402" s="1" t="s">
        <v>59</v>
      </c>
      <c r="AK2402" s="1" t="s">
        <v>60</v>
      </c>
      <c r="AL2402" s="1" t="s">
        <v>60</v>
      </c>
      <c r="AW2402" s="1" t="s">
        <v>3347</v>
      </c>
      <c r="AY2402" s="1">
        <v>1.0</v>
      </c>
      <c r="AZ2402" s="1">
        <v>54.99</v>
      </c>
      <c r="BB2402" s="1">
        <v>54.99</v>
      </c>
    </row>
    <row r="2403">
      <c r="A2403" s="1" t="s">
        <v>655</v>
      </c>
      <c r="C2403" s="1" t="s">
        <v>56</v>
      </c>
      <c r="D2403" s="1" t="s">
        <v>3609</v>
      </c>
      <c r="Y2403" s="2">
        <v>45511.0</v>
      </c>
      <c r="AE2403" s="1">
        <v>74.99</v>
      </c>
      <c r="AG2403" s="3" t="str">
        <f>"2000008974721336"</f>
        <v>2000008974721336</v>
      </c>
      <c r="AH2403" s="1" t="s">
        <v>58</v>
      </c>
      <c r="AI2403" s="1" t="s">
        <v>59</v>
      </c>
      <c r="AJ2403" s="1" t="s">
        <v>59</v>
      </c>
      <c r="AK2403" s="1" t="s">
        <v>60</v>
      </c>
      <c r="AL2403" s="1" t="s">
        <v>60</v>
      </c>
      <c r="AW2403" s="1" t="s">
        <v>657</v>
      </c>
      <c r="AY2403" s="1">
        <v>1.0</v>
      </c>
      <c r="AZ2403" s="1">
        <v>74.99</v>
      </c>
      <c r="BB2403" s="1">
        <v>74.99</v>
      </c>
    </row>
    <row r="2404">
      <c r="A2404" s="1" t="s">
        <v>1782</v>
      </c>
      <c r="C2404" s="1" t="s">
        <v>235</v>
      </c>
      <c r="D2404" s="1" t="s">
        <v>3610</v>
      </c>
      <c r="Y2404" s="2">
        <v>45511.0</v>
      </c>
      <c r="AE2404" s="1">
        <v>209.99</v>
      </c>
      <c r="AG2404" s="3" t="str">
        <f>"2000008974732074"</f>
        <v>2000008974732074</v>
      </c>
      <c r="AH2404" s="1" t="s">
        <v>58</v>
      </c>
      <c r="AI2404" s="1" t="s">
        <v>59</v>
      </c>
      <c r="AJ2404" s="1" t="s">
        <v>59</v>
      </c>
      <c r="AK2404" s="1" t="s">
        <v>60</v>
      </c>
      <c r="AL2404" s="1" t="s">
        <v>60</v>
      </c>
      <c r="AW2404" s="1" t="s">
        <v>1784</v>
      </c>
      <c r="AY2404" s="1">
        <v>1.0</v>
      </c>
      <c r="AZ2404" s="1">
        <v>209.99</v>
      </c>
      <c r="BB2404" s="1">
        <v>209.99</v>
      </c>
    </row>
    <row r="2405">
      <c r="A2405" s="1" t="s">
        <v>933</v>
      </c>
      <c r="C2405" s="1" t="s">
        <v>56</v>
      </c>
      <c r="D2405" s="1" t="s">
        <v>3611</v>
      </c>
      <c r="Y2405" s="2">
        <v>45511.0</v>
      </c>
      <c r="AE2405" s="1">
        <v>79.99</v>
      </c>
      <c r="AG2405" s="3" t="str">
        <f>"2000006141547981"</f>
        <v>2000006141547981</v>
      </c>
      <c r="AH2405" s="1" t="s">
        <v>58</v>
      </c>
      <c r="AI2405" s="1" t="s">
        <v>59</v>
      </c>
      <c r="AJ2405" s="1" t="s">
        <v>59</v>
      </c>
      <c r="AK2405" s="1" t="s">
        <v>60</v>
      </c>
      <c r="AL2405" s="1" t="s">
        <v>60</v>
      </c>
      <c r="AW2405" s="1" t="s">
        <v>935</v>
      </c>
      <c r="AY2405" s="1">
        <v>1.0</v>
      </c>
      <c r="AZ2405" s="1">
        <v>79.99</v>
      </c>
      <c r="BB2405" s="1">
        <v>79.99</v>
      </c>
    </row>
    <row r="2406">
      <c r="A2406" s="1" t="s">
        <v>114</v>
      </c>
      <c r="C2406" s="1" t="s">
        <v>56</v>
      </c>
      <c r="D2406" s="1" t="s">
        <v>3612</v>
      </c>
      <c r="Y2406" s="2">
        <v>45511.0</v>
      </c>
      <c r="AE2406" s="1">
        <v>84.99</v>
      </c>
      <c r="AG2406" s="3" t="str">
        <f>"2000006141533631"</f>
        <v>2000006141533631</v>
      </c>
      <c r="AH2406" s="1" t="s">
        <v>58</v>
      </c>
      <c r="AI2406" s="1" t="s">
        <v>59</v>
      </c>
      <c r="AJ2406" s="1" t="s">
        <v>59</v>
      </c>
      <c r="AK2406" s="1" t="s">
        <v>60</v>
      </c>
      <c r="AL2406" s="1" t="s">
        <v>60</v>
      </c>
      <c r="AW2406" s="1" t="s">
        <v>116</v>
      </c>
      <c r="AY2406" s="1">
        <v>1.0</v>
      </c>
      <c r="AZ2406" s="1">
        <v>84.99</v>
      </c>
      <c r="BB2406" s="1">
        <v>84.99</v>
      </c>
    </row>
    <row r="2407">
      <c r="A2407" s="1" t="s">
        <v>2370</v>
      </c>
      <c r="C2407" s="1" t="s">
        <v>56</v>
      </c>
      <c r="D2407" s="1" t="s">
        <v>3613</v>
      </c>
      <c r="Y2407" s="2">
        <v>45511.0</v>
      </c>
      <c r="AE2407" s="1">
        <v>229.98</v>
      </c>
      <c r="AG2407" s="3" t="str">
        <f>"2000006141526231"</f>
        <v>2000006141526231</v>
      </c>
      <c r="AH2407" s="1" t="s">
        <v>58</v>
      </c>
      <c r="AI2407" s="1" t="s">
        <v>59</v>
      </c>
      <c r="AJ2407" s="1" t="s">
        <v>59</v>
      </c>
      <c r="AK2407" s="1" t="s">
        <v>60</v>
      </c>
      <c r="AL2407" s="1" t="s">
        <v>60</v>
      </c>
      <c r="AW2407" s="1" t="s">
        <v>2372</v>
      </c>
      <c r="AY2407" s="1">
        <v>2.0</v>
      </c>
      <c r="AZ2407" s="1">
        <v>114.99</v>
      </c>
      <c r="BB2407" s="1">
        <v>229.98</v>
      </c>
    </row>
    <row r="2408">
      <c r="A2408" s="1" t="s">
        <v>2737</v>
      </c>
      <c r="C2408" s="1" t="s">
        <v>56</v>
      </c>
      <c r="D2408" s="1" t="s">
        <v>3614</v>
      </c>
      <c r="Y2408" s="2">
        <v>45511.0</v>
      </c>
      <c r="AE2408" s="1">
        <v>59.99</v>
      </c>
      <c r="AG2408" s="3" t="str">
        <f>"2000006141498225"</f>
        <v>2000006141498225</v>
      </c>
      <c r="AH2408" s="1" t="s">
        <v>58</v>
      </c>
      <c r="AI2408" s="1" t="s">
        <v>59</v>
      </c>
      <c r="AJ2408" s="1" t="s">
        <v>59</v>
      </c>
      <c r="AK2408" s="1" t="s">
        <v>60</v>
      </c>
      <c r="AL2408" s="1" t="s">
        <v>60</v>
      </c>
      <c r="AW2408" s="1" t="s">
        <v>2739</v>
      </c>
      <c r="AY2408" s="1">
        <v>1.0</v>
      </c>
      <c r="AZ2408" s="1">
        <v>59.99</v>
      </c>
      <c r="BB2408" s="1">
        <v>59.99</v>
      </c>
    </row>
    <row r="2409">
      <c r="A2409" s="1" t="s">
        <v>2688</v>
      </c>
      <c r="C2409" s="1" t="s">
        <v>56</v>
      </c>
      <c r="D2409" s="1" t="s">
        <v>3615</v>
      </c>
      <c r="Y2409" s="2">
        <v>45511.0</v>
      </c>
      <c r="AE2409" s="1">
        <v>49.99</v>
      </c>
      <c r="AG2409" s="3" t="str">
        <f>"2000006138746923"</f>
        <v>2000006138746923</v>
      </c>
      <c r="AH2409" s="1" t="s">
        <v>58</v>
      </c>
      <c r="AI2409" s="1" t="s">
        <v>59</v>
      </c>
      <c r="AJ2409" s="1" t="s">
        <v>59</v>
      </c>
      <c r="AK2409" s="1" t="s">
        <v>60</v>
      </c>
      <c r="AL2409" s="1" t="s">
        <v>60</v>
      </c>
      <c r="AW2409" s="1" t="s">
        <v>2690</v>
      </c>
      <c r="AY2409" s="1">
        <v>1.0</v>
      </c>
      <c r="AZ2409" s="1">
        <v>49.99</v>
      </c>
      <c r="BB2409" s="1">
        <v>49.99</v>
      </c>
    </row>
    <row r="2410">
      <c r="A2410" s="1" t="s">
        <v>742</v>
      </c>
      <c r="C2410" s="1" t="s">
        <v>56</v>
      </c>
      <c r="D2410" s="1" t="s">
        <v>3616</v>
      </c>
      <c r="Y2410" s="2">
        <v>45511.0</v>
      </c>
      <c r="AE2410" s="1">
        <v>279.98</v>
      </c>
      <c r="AG2410" s="3" t="str">
        <f>"2000006141436267"</f>
        <v>2000006141436267</v>
      </c>
      <c r="AH2410" s="1" t="s">
        <v>58</v>
      </c>
      <c r="AI2410" s="1" t="s">
        <v>59</v>
      </c>
      <c r="AJ2410" s="1" t="s">
        <v>59</v>
      </c>
      <c r="AK2410" s="1" t="s">
        <v>60</v>
      </c>
      <c r="AL2410" s="1" t="s">
        <v>60</v>
      </c>
      <c r="AW2410" s="1" t="s">
        <v>3617</v>
      </c>
      <c r="AY2410" s="1">
        <v>2.0</v>
      </c>
      <c r="AZ2410" s="1">
        <v>139.99</v>
      </c>
      <c r="BB2410" s="1">
        <v>279.98</v>
      </c>
    </row>
    <row r="2411">
      <c r="A2411" s="1" t="s">
        <v>742</v>
      </c>
      <c r="C2411" s="1" t="s">
        <v>56</v>
      </c>
      <c r="D2411" s="1" t="s">
        <v>3616</v>
      </c>
      <c r="Y2411" s="2">
        <v>45511.0</v>
      </c>
      <c r="AE2411" s="1">
        <v>139.99</v>
      </c>
      <c r="AG2411" s="3" t="str">
        <f>"2000006141436269"</f>
        <v>2000006141436269</v>
      </c>
      <c r="AH2411" s="1" t="s">
        <v>58</v>
      </c>
      <c r="AI2411" s="1" t="s">
        <v>59</v>
      </c>
      <c r="AJ2411" s="1" t="s">
        <v>59</v>
      </c>
      <c r="AK2411" s="1" t="s">
        <v>60</v>
      </c>
      <c r="AL2411" s="1" t="s">
        <v>60</v>
      </c>
      <c r="AW2411" s="1" t="s">
        <v>3617</v>
      </c>
      <c r="AY2411" s="1">
        <v>1.0</v>
      </c>
      <c r="AZ2411" s="1">
        <v>139.99</v>
      </c>
      <c r="BB2411" s="1">
        <v>139.99</v>
      </c>
    </row>
    <row r="2412">
      <c r="A2412" s="1" t="s">
        <v>3552</v>
      </c>
      <c r="C2412" s="1" t="s">
        <v>235</v>
      </c>
      <c r="D2412" s="1" t="s">
        <v>3553</v>
      </c>
      <c r="Y2412" s="2">
        <v>45511.0</v>
      </c>
      <c r="AE2412" s="1">
        <v>599.99</v>
      </c>
      <c r="AG2412" s="3" t="str">
        <f>"2000008974408802"</f>
        <v>2000008974408802</v>
      </c>
      <c r="AH2412" s="1" t="s">
        <v>58</v>
      </c>
      <c r="AI2412" s="1" t="s">
        <v>59</v>
      </c>
      <c r="AJ2412" s="1" t="s">
        <v>59</v>
      </c>
      <c r="AK2412" s="1" t="s">
        <v>60</v>
      </c>
      <c r="AL2412" s="1" t="s">
        <v>60</v>
      </c>
      <c r="AW2412" s="1" t="s">
        <v>3554</v>
      </c>
      <c r="AY2412" s="1">
        <v>1.0</v>
      </c>
      <c r="AZ2412" s="1">
        <v>599.99</v>
      </c>
      <c r="BB2412" s="1">
        <v>599.99</v>
      </c>
    </row>
    <row r="2413">
      <c r="A2413" s="1" t="s">
        <v>175</v>
      </c>
      <c r="C2413" s="1" t="s">
        <v>56</v>
      </c>
      <c r="D2413" s="1" t="s">
        <v>3618</v>
      </c>
      <c r="Y2413" s="2">
        <v>45511.0</v>
      </c>
      <c r="AE2413" s="1">
        <v>399.98</v>
      </c>
      <c r="AG2413" s="3" t="str">
        <f>"2000006141370647"</f>
        <v>2000006141370647</v>
      </c>
      <c r="AH2413" s="1" t="s">
        <v>58</v>
      </c>
      <c r="AI2413" s="1" t="s">
        <v>59</v>
      </c>
      <c r="AJ2413" s="1" t="s">
        <v>59</v>
      </c>
      <c r="AK2413" s="1" t="s">
        <v>60</v>
      </c>
      <c r="AL2413" s="1" t="s">
        <v>60</v>
      </c>
      <c r="AW2413" s="1" t="s">
        <v>177</v>
      </c>
      <c r="AY2413" s="1">
        <v>2.0</v>
      </c>
      <c r="AZ2413" s="1">
        <v>199.99</v>
      </c>
      <c r="BB2413" s="1">
        <v>399.98</v>
      </c>
    </row>
    <row r="2414">
      <c r="A2414" s="1" t="s">
        <v>789</v>
      </c>
      <c r="C2414" s="1" t="s">
        <v>56</v>
      </c>
      <c r="D2414" s="1" t="s">
        <v>3619</v>
      </c>
      <c r="Y2414" s="2">
        <v>45511.0</v>
      </c>
      <c r="AE2414" s="1">
        <v>129.99</v>
      </c>
      <c r="AG2414" s="3" t="str">
        <f>"2000006138538071"</f>
        <v>2000006138538071</v>
      </c>
      <c r="AH2414" s="1" t="s">
        <v>58</v>
      </c>
      <c r="AI2414" s="1" t="s">
        <v>59</v>
      </c>
      <c r="AJ2414" s="1" t="s">
        <v>59</v>
      </c>
      <c r="AK2414" s="1" t="s">
        <v>60</v>
      </c>
      <c r="AL2414" s="1" t="s">
        <v>60</v>
      </c>
      <c r="AW2414" s="1" t="s">
        <v>791</v>
      </c>
      <c r="AY2414" s="1">
        <v>1.0</v>
      </c>
      <c r="AZ2414" s="1">
        <v>129.99</v>
      </c>
      <c r="BB2414" s="1">
        <v>129.99</v>
      </c>
    </row>
    <row r="2415">
      <c r="A2415" s="1" t="s">
        <v>2043</v>
      </c>
      <c r="C2415" s="1" t="s">
        <v>56</v>
      </c>
      <c r="D2415" s="1" t="s">
        <v>3620</v>
      </c>
      <c r="Y2415" s="2">
        <v>45511.0</v>
      </c>
      <c r="AE2415" s="1">
        <v>139.99</v>
      </c>
      <c r="AG2415" s="3" t="str">
        <f>"2000006141304051"</f>
        <v>2000006141304051</v>
      </c>
      <c r="AH2415" s="1" t="s">
        <v>58</v>
      </c>
      <c r="AI2415" s="1" t="s">
        <v>59</v>
      </c>
      <c r="AJ2415" s="1" t="s">
        <v>59</v>
      </c>
      <c r="AK2415" s="1" t="s">
        <v>60</v>
      </c>
      <c r="AL2415" s="1" t="s">
        <v>60</v>
      </c>
      <c r="AW2415" s="1" t="s">
        <v>3621</v>
      </c>
      <c r="AY2415" s="1">
        <v>1.0</v>
      </c>
      <c r="AZ2415" s="1">
        <v>139.99</v>
      </c>
      <c r="BB2415" s="1">
        <v>139.99</v>
      </c>
    </row>
    <row r="2416">
      <c r="A2416" s="1" t="s">
        <v>2344</v>
      </c>
      <c r="C2416" s="1" t="s">
        <v>56</v>
      </c>
      <c r="D2416" s="1" t="s">
        <v>3622</v>
      </c>
      <c r="Y2416" s="2">
        <v>45511.0</v>
      </c>
      <c r="AE2416" s="1">
        <v>399.99</v>
      </c>
      <c r="AG2416" s="3" t="str">
        <f>"2000006141314277"</f>
        <v>2000006141314277</v>
      </c>
      <c r="AH2416" s="1" t="s">
        <v>58</v>
      </c>
      <c r="AI2416" s="1" t="s">
        <v>59</v>
      </c>
      <c r="AJ2416" s="1" t="s">
        <v>59</v>
      </c>
      <c r="AK2416" s="1" t="s">
        <v>60</v>
      </c>
      <c r="AL2416" s="1" t="s">
        <v>60</v>
      </c>
      <c r="AW2416" s="1" t="s">
        <v>2346</v>
      </c>
      <c r="AY2416" s="1">
        <v>1.0</v>
      </c>
      <c r="AZ2416" s="1">
        <v>399.99</v>
      </c>
      <c r="BB2416" s="1">
        <v>399.99</v>
      </c>
    </row>
    <row r="2417">
      <c r="A2417" s="1" t="s">
        <v>2775</v>
      </c>
      <c r="C2417" s="1" t="s">
        <v>56</v>
      </c>
      <c r="D2417" s="1" t="s">
        <v>3623</v>
      </c>
      <c r="Y2417" s="2">
        <v>45511.0</v>
      </c>
      <c r="AE2417" s="1">
        <v>59.99</v>
      </c>
      <c r="AG2417" s="3" t="str">
        <f>"2000006141026859"</f>
        <v>2000006141026859</v>
      </c>
      <c r="AH2417" s="1" t="s">
        <v>58</v>
      </c>
      <c r="AI2417" s="1" t="s">
        <v>59</v>
      </c>
      <c r="AJ2417" s="1" t="s">
        <v>59</v>
      </c>
      <c r="AK2417" s="1" t="s">
        <v>60</v>
      </c>
      <c r="AL2417" s="1" t="s">
        <v>60</v>
      </c>
      <c r="AW2417" s="1" t="s">
        <v>648</v>
      </c>
      <c r="AY2417" s="1">
        <v>1.0</v>
      </c>
      <c r="AZ2417" s="1">
        <v>59.99</v>
      </c>
      <c r="BB2417" s="1">
        <v>59.99</v>
      </c>
    </row>
    <row r="2418">
      <c r="A2418" s="1" t="s">
        <v>2791</v>
      </c>
      <c r="C2418" s="1" t="s">
        <v>56</v>
      </c>
      <c r="D2418" s="1" t="s">
        <v>3624</v>
      </c>
      <c r="Y2418" s="2">
        <v>45511.0</v>
      </c>
      <c r="AE2418" s="1">
        <v>119.99</v>
      </c>
      <c r="AG2418" s="3" t="str">
        <f>"2000006141295925"</f>
        <v>2000006141295925</v>
      </c>
      <c r="AH2418" s="1" t="s">
        <v>58</v>
      </c>
      <c r="AI2418" s="1" t="s">
        <v>59</v>
      </c>
      <c r="AJ2418" s="1" t="s">
        <v>59</v>
      </c>
      <c r="AK2418" s="1" t="s">
        <v>60</v>
      </c>
      <c r="AL2418" s="1" t="s">
        <v>60</v>
      </c>
      <c r="AW2418" s="1" t="s">
        <v>2793</v>
      </c>
      <c r="AY2418" s="1">
        <v>1.0</v>
      </c>
      <c r="AZ2418" s="1">
        <v>119.99</v>
      </c>
      <c r="BB2418" s="1">
        <v>119.99</v>
      </c>
    </row>
    <row r="2419">
      <c r="A2419" s="1" t="s">
        <v>1700</v>
      </c>
      <c r="C2419" s="1" t="s">
        <v>56</v>
      </c>
      <c r="D2419" s="1" t="s">
        <v>3625</v>
      </c>
      <c r="Y2419" s="2">
        <v>45511.0</v>
      </c>
      <c r="AE2419" s="1">
        <v>219.99</v>
      </c>
      <c r="AG2419" s="3" t="str">
        <f>"2000006141279771"</f>
        <v>2000006141279771</v>
      </c>
      <c r="AH2419" s="1" t="s">
        <v>58</v>
      </c>
      <c r="AI2419" s="1" t="s">
        <v>59</v>
      </c>
      <c r="AJ2419" s="1" t="s">
        <v>59</v>
      </c>
      <c r="AK2419" s="1" t="s">
        <v>60</v>
      </c>
      <c r="AL2419" s="1" t="s">
        <v>60</v>
      </c>
      <c r="AW2419" s="1" t="s">
        <v>1702</v>
      </c>
      <c r="AY2419" s="1">
        <v>1.0</v>
      </c>
      <c r="AZ2419" s="1">
        <v>219.99</v>
      </c>
      <c r="BB2419" s="1">
        <v>219.99</v>
      </c>
    </row>
    <row r="2420">
      <c r="A2420" s="1" t="s">
        <v>3626</v>
      </c>
      <c r="C2420" s="1" t="s">
        <v>56</v>
      </c>
      <c r="D2420" s="1" t="s">
        <v>3627</v>
      </c>
      <c r="Y2420" s="2">
        <v>45511.0</v>
      </c>
      <c r="AE2420" s="1">
        <v>89.99</v>
      </c>
      <c r="AG2420" s="3" t="str">
        <f>"2000006141283597"</f>
        <v>2000006141283597</v>
      </c>
      <c r="AH2420" s="1" t="s">
        <v>58</v>
      </c>
      <c r="AI2420" s="1" t="s">
        <v>59</v>
      </c>
      <c r="AJ2420" s="1" t="s">
        <v>59</v>
      </c>
      <c r="AK2420" s="1" t="s">
        <v>60</v>
      </c>
      <c r="AL2420" s="1" t="s">
        <v>60</v>
      </c>
      <c r="AW2420" s="1" t="s">
        <v>3628</v>
      </c>
      <c r="AY2420" s="1">
        <v>1.0</v>
      </c>
      <c r="AZ2420" s="1">
        <v>89.99</v>
      </c>
      <c r="BB2420" s="1">
        <v>89.99</v>
      </c>
    </row>
    <row r="2421">
      <c r="A2421" s="1" t="s">
        <v>3629</v>
      </c>
      <c r="C2421" s="1" t="s">
        <v>56</v>
      </c>
      <c r="D2421" s="1" t="s">
        <v>3630</v>
      </c>
      <c r="Y2421" s="2">
        <v>45511.0</v>
      </c>
      <c r="AE2421" s="1">
        <v>114.99</v>
      </c>
      <c r="AG2421" s="3" t="str">
        <f>"2000006141247311"</f>
        <v>2000006141247311</v>
      </c>
      <c r="AH2421" s="1" t="s">
        <v>58</v>
      </c>
      <c r="AI2421" s="1" t="s">
        <v>59</v>
      </c>
      <c r="AJ2421" s="1" t="s">
        <v>59</v>
      </c>
      <c r="AK2421" s="1" t="s">
        <v>60</v>
      </c>
      <c r="AL2421" s="1" t="s">
        <v>60</v>
      </c>
      <c r="AW2421" s="1" t="s">
        <v>3631</v>
      </c>
      <c r="AY2421" s="1">
        <v>1.0</v>
      </c>
      <c r="AZ2421" s="1">
        <v>114.99</v>
      </c>
      <c r="BB2421" s="1">
        <v>114.99</v>
      </c>
    </row>
    <row r="2422">
      <c r="A2422" s="1" t="s">
        <v>428</v>
      </c>
      <c r="C2422" s="1" t="s">
        <v>56</v>
      </c>
      <c r="D2422" s="1" t="s">
        <v>3632</v>
      </c>
      <c r="Y2422" s="2">
        <v>45511.0</v>
      </c>
      <c r="AE2422" s="1">
        <v>279.99</v>
      </c>
      <c r="AG2422" s="3" t="str">
        <f>"2000006141277051"</f>
        <v>2000006141277051</v>
      </c>
      <c r="AH2422" s="1" t="s">
        <v>58</v>
      </c>
      <c r="AI2422" s="1" t="s">
        <v>59</v>
      </c>
      <c r="AJ2422" s="1" t="s">
        <v>59</v>
      </c>
      <c r="AK2422" s="1" t="s">
        <v>60</v>
      </c>
      <c r="AL2422" s="1" t="s">
        <v>60</v>
      </c>
      <c r="AW2422" s="1" t="s">
        <v>430</v>
      </c>
      <c r="AY2422" s="1">
        <v>1.0</v>
      </c>
      <c r="AZ2422" s="1">
        <v>279.99</v>
      </c>
      <c r="BB2422" s="1">
        <v>279.99</v>
      </c>
    </row>
    <row r="2423">
      <c r="A2423" s="1" t="s">
        <v>283</v>
      </c>
      <c r="C2423" s="1" t="s">
        <v>56</v>
      </c>
      <c r="D2423" s="1" t="s">
        <v>3633</v>
      </c>
      <c r="Y2423" s="2">
        <v>45511.0</v>
      </c>
      <c r="AE2423" s="1">
        <v>499.99</v>
      </c>
      <c r="AG2423" s="3" t="str">
        <f>"2000006141272183"</f>
        <v>2000006141272183</v>
      </c>
      <c r="AH2423" s="1" t="s">
        <v>58</v>
      </c>
      <c r="AI2423" s="1" t="s">
        <v>59</v>
      </c>
      <c r="AJ2423" s="1" t="s">
        <v>59</v>
      </c>
      <c r="AK2423" s="1" t="s">
        <v>60</v>
      </c>
      <c r="AL2423" s="1" t="s">
        <v>60</v>
      </c>
      <c r="AW2423" s="1" t="s">
        <v>285</v>
      </c>
      <c r="AY2423" s="1">
        <v>1.0</v>
      </c>
      <c r="AZ2423" s="1">
        <v>499.99</v>
      </c>
      <c r="BB2423" s="1">
        <v>499.99</v>
      </c>
    </row>
    <row r="2424">
      <c r="A2424" s="1" t="s">
        <v>1377</v>
      </c>
      <c r="C2424" s="1" t="s">
        <v>56</v>
      </c>
      <c r="D2424" s="1" t="s">
        <v>3634</v>
      </c>
      <c r="Y2424" s="2">
        <v>45511.0</v>
      </c>
      <c r="AE2424" s="1">
        <v>99.99</v>
      </c>
      <c r="AG2424" s="3" t="str">
        <f>"2000008974148250"</f>
        <v>2000008974148250</v>
      </c>
      <c r="AH2424" s="1" t="s">
        <v>58</v>
      </c>
      <c r="AI2424" s="1" t="s">
        <v>59</v>
      </c>
      <c r="AJ2424" s="1" t="s">
        <v>59</v>
      </c>
      <c r="AK2424" s="1" t="s">
        <v>60</v>
      </c>
      <c r="AL2424" s="1" t="s">
        <v>60</v>
      </c>
      <c r="AW2424" s="1" t="s">
        <v>1379</v>
      </c>
      <c r="AY2424" s="1">
        <v>1.0</v>
      </c>
      <c r="AZ2424" s="1">
        <v>99.99</v>
      </c>
      <c r="BB2424" s="1">
        <v>99.99</v>
      </c>
    </row>
    <row r="2425">
      <c r="A2425" s="1" t="s">
        <v>2036</v>
      </c>
      <c r="C2425" s="1" t="s">
        <v>235</v>
      </c>
      <c r="D2425" s="1" t="s">
        <v>3635</v>
      </c>
      <c r="Y2425" s="2">
        <v>45511.0</v>
      </c>
      <c r="AE2425" s="1">
        <v>109.99</v>
      </c>
      <c r="AG2425" s="3" t="str">
        <f>"2000008974098406"</f>
        <v>2000008974098406</v>
      </c>
      <c r="AH2425" s="1" t="s">
        <v>58</v>
      </c>
      <c r="AI2425" s="1" t="s">
        <v>59</v>
      </c>
      <c r="AJ2425" s="1" t="s">
        <v>59</v>
      </c>
      <c r="AK2425" s="1" t="s">
        <v>60</v>
      </c>
      <c r="AL2425" s="1" t="s">
        <v>60</v>
      </c>
      <c r="AW2425" s="1" t="s">
        <v>3265</v>
      </c>
      <c r="AY2425" s="1">
        <v>1.0</v>
      </c>
      <c r="AZ2425" s="1">
        <v>109.99</v>
      </c>
      <c r="BB2425" s="1">
        <v>109.99</v>
      </c>
    </row>
    <row r="2426">
      <c r="A2426" s="1" t="s">
        <v>2202</v>
      </c>
      <c r="C2426" s="1" t="s">
        <v>56</v>
      </c>
      <c r="D2426" s="1" t="s">
        <v>3636</v>
      </c>
      <c r="Y2426" s="2">
        <v>45511.0</v>
      </c>
      <c r="AE2426" s="1">
        <v>179.99</v>
      </c>
      <c r="AG2426" s="3" t="str">
        <f>"2000008974061458"</f>
        <v>2000008974061458</v>
      </c>
      <c r="AH2426" s="1" t="s">
        <v>58</v>
      </c>
      <c r="AI2426" s="1" t="s">
        <v>59</v>
      </c>
      <c r="AJ2426" s="1" t="s">
        <v>59</v>
      </c>
      <c r="AK2426" s="1" t="s">
        <v>60</v>
      </c>
      <c r="AL2426" s="1" t="s">
        <v>60</v>
      </c>
      <c r="AW2426" s="1" t="s">
        <v>2204</v>
      </c>
      <c r="AY2426" s="1">
        <v>1.0</v>
      </c>
      <c r="AZ2426" s="1">
        <v>179.99</v>
      </c>
      <c r="BB2426" s="1">
        <v>179.99</v>
      </c>
    </row>
    <row r="2427">
      <c r="A2427" s="1" t="s">
        <v>1836</v>
      </c>
      <c r="C2427" s="1" t="s">
        <v>56</v>
      </c>
      <c r="D2427" s="1" t="s">
        <v>3637</v>
      </c>
      <c r="Y2427" s="2">
        <v>45511.0</v>
      </c>
      <c r="AE2427" s="1">
        <v>49.99</v>
      </c>
      <c r="AG2427" s="3" t="str">
        <f>"2000006141200951"</f>
        <v>2000006141200951</v>
      </c>
      <c r="AH2427" s="1" t="s">
        <v>58</v>
      </c>
      <c r="AI2427" s="1" t="s">
        <v>59</v>
      </c>
      <c r="AJ2427" s="1" t="s">
        <v>59</v>
      </c>
      <c r="AK2427" s="1" t="s">
        <v>60</v>
      </c>
      <c r="AL2427" s="1" t="s">
        <v>60</v>
      </c>
      <c r="AW2427" s="1" t="s">
        <v>1838</v>
      </c>
      <c r="AY2427" s="1">
        <v>1.0</v>
      </c>
      <c r="AZ2427" s="1">
        <v>49.99</v>
      </c>
      <c r="BB2427" s="1">
        <v>49.99</v>
      </c>
    </row>
    <row r="2428">
      <c r="A2428" s="1" t="s">
        <v>1510</v>
      </c>
      <c r="C2428" s="1" t="s">
        <v>56</v>
      </c>
      <c r="D2428" s="1" t="s">
        <v>3638</v>
      </c>
      <c r="Y2428" s="2">
        <v>45511.0</v>
      </c>
      <c r="AE2428" s="1">
        <v>84.99</v>
      </c>
      <c r="AG2428" s="3" t="str">
        <f>"2000006141194357"</f>
        <v>2000006141194357</v>
      </c>
      <c r="AH2428" s="1" t="s">
        <v>58</v>
      </c>
      <c r="AI2428" s="1" t="s">
        <v>59</v>
      </c>
      <c r="AJ2428" s="1" t="s">
        <v>59</v>
      </c>
      <c r="AK2428" s="1" t="s">
        <v>60</v>
      </c>
      <c r="AL2428" s="1" t="s">
        <v>60</v>
      </c>
      <c r="AW2428" s="1" t="s">
        <v>3639</v>
      </c>
      <c r="AY2428" s="1">
        <v>1.0</v>
      </c>
      <c r="AZ2428" s="1">
        <v>84.99</v>
      </c>
      <c r="BB2428" s="1">
        <v>84.99</v>
      </c>
    </row>
    <row r="2429">
      <c r="A2429" s="1" t="s">
        <v>519</v>
      </c>
      <c r="C2429" s="1" t="s">
        <v>56</v>
      </c>
      <c r="D2429" s="1" t="s">
        <v>3640</v>
      </c>
      <c r="Y2429" s="2">
        <v>45511.0</v>
      </c>
      <c r="AE2429" s="1">
        <v>49.99</v>
      </c>
      <c r="AG2429" s="3" t="str">
        <f>"2000006141173103"</f>
        <v>2000006141173103</v>
      </c>
      <c r="AH2429" s="1" t="s">
        <v>58</v>
      </c>
      <c r="AI2429" s="1" t="s">
        <v>59</v>
      </c>
      <c r="AJ2429" s="1" t="s">
        <v>59</v>
      </c>
      <c r="AK2429" s="1" t="s">
        <v>60</v>
      </c>
      <c r="AL2429" s="1" t="s">
        <v>60</v>
      </c>
      <c r="AW2429" s="1" t="s">
        <v>521</v>
      </c>
      <c r="AY2429" s="1">
        <v>1.0</v>
      </c>
      <c r="AZ2429" s="1">
        <v>49.99</v>
      </c>
      <c r="BB2429" s="1">
        <v>49.99</v>
      </c>
    </row>
    <row r="2430">
      <c r="A2430" s="1" t="s">
        <v>252</v>
      </c>
      <c r="C2430" s="1" t="s">
        <v>56</v>
      </c>
      <c r="D2430" s="1" t="s">
        <v>3641</v>
      </c>
      <c r="Y2430" s="2">
        <v>45511.0</v>
      </c>
      <c r="AE2430" s="1">
        <v>59.99</v>
      </c>
      <c r="AG2430" s="3" t="str">
        <f>"2000006141108253"</f>
        <v>2000006141108253</v>
      </c>
      <c r="AH2430" s="1" t="s">
        <v>58</v>
      </c>
      <c r="AI2430" s="1" t="s">
        <v>59</v>
      </c>
      <c r="AJ2430" s="1" t="s">
        <v>59</v>
      </c>
      <c r="AK2430" s="1" t="s">
        <v>60</v>
      </c>
      <c r="AL2430" s="1" t="s">
        <v>60</v>
      </c>
      <c r="AW2430" s="1" t="s">
        <v>254</v>
      </c>
      <c r="AY2430" s="1">
        <v>1.0</v>
      </c>
      <c r="AZ2430" s="1">
        <v>59.99</v>
      </c>
      <c r="BB2430" s="1">
        <v>59.99</v>
      </c>
    </row>
    <row r="2431">
      <c r="A2431" s="1" t="s">
        <v>2032</v>
      </c>
      <c r="C2431" s="1" t="s">
        <v>56</v>
      </c>
      <c r="D2431" s="1" t="s">
        <v>3642</v>
      </c>
      <c r="Y2431" s="2">
        <v>45511.0</v>
      </c>
      <c r="AE2431" s="1">
        <v>509.99</v>
      </c>
      <c r="AG2431" s="3" t="str">
        <f>"2000008973885280"</f>
        <v>2000008973885280</v>
      </c>
      <c r="AH2431" s="1" t="s">
        <v>58</v>
      </c>
      <c r="AI2431" s="1" t="s">
        <v>59</v>
      </c>
      <c r="AJ2431" s="1" t="s">
        <v>59</v>
      </c>
      <c r="AK2431" s="1" t="s">
        <v>60</v>
      </c>
      <c r="AL2431" s="1" t="s">
        <v>60</v>
      </c>
      <c r="AW2431" s="1" t="s">
        <v>2034</v>
      </c>
      <c r="AY2431" s="1">
        <v>1.0</v>
      </c>
      <c r="AZ2431" s="1">
        <v>509.99</v>
      </c>
      <c r="BB2431" s="1">
        <v>509.99</v>
      </c>
    </row>
    <row r="2432">
      <c r="A2432" s="1" t="s">
        <v>236</v>
      </c>
      <c r="C2432" s="1" t="s">
        <v>56</v>
      </c>
      <c r="D2432" s="1" t="s">
        <v>3643</v>
      </c>
      <c r="Y2432" s="2">
        <v>45511.0</v>
      </c>
      <c r="AE2432" s="1">
        <v>119.99</v>
      </c>
      <c r="AG2432" s="3" t="str">
        <f>"2000006141103775"</f>
        <v>2000006141103775</v>
      </c>
      <c r="AH2432" s="1" t="s">
        <v>58</v>
      </c>
      <c r="AI2432" s="1" t="s">
        <v>59</v>
      </c>
      <c r="AJ2432" s="1" t="s">
        <v>59</v>
      </c>
      <c r="AK2432" s="1" t="s">
        <v>60</v>
      </c>
      <c r="AL2432" s="1" t="s">
        <v>60</v>
      </c>
      <c r="AW2432" s="1" t="s">
        <v>238</v>
      </c>
      <c r="AY2432" s="1">
        <v>1.0</v>
      </c>
      <c r="AZ2432" s="1">
        <v>119.99</v>
      </c>
      <c r="BB2432" s="1">
        <v>119.99</v>
      </c>
    </row>
    <row r="2433">
      <c r="A2433" s="1" t="s">
        <v>195</v>
      </c>
      <c r="C2433" s="1" t="s">
        <v>235</v>
      </c>
      <c r="D2433" s="1" t="s">
        <v>3471</v>
      </c>
      <c r="Y2433" s="2">
        <v>45511.0</v>
      </c>
      <c r="AE2433" s="1">
        <v>47.99</v>
      </c>
      <c r="AG2433" s="3" t="str">
        <f>"2000006137834385"</f>
        <v>2000006137834385</v>
      </c>
      <c r="AH2433" s="1" t="s">
        <v>58</v>
      </c>
      <c r="AI2433" s="1" t="s">
        <v>59</v>
      </c>
      <c r="AJ2433" s="1" t="s">
        <v>59</v>
      </c>
      <c r="AK2433" s="1" t="s">
        <v>60</v>
      </c>
      <c r="AL2433" s="1" t="s">
        <v>60</v>
      </c>
      <c r="AW2433" s="1" t="s">
        <v>197</v>
      </c>
      <c r="AY2433" s="1">
        <v>1.0</v>
      </c>
      <c r="AZ2433" s="1">
        <v>47.99</v>
      </c>
      <c r="BB2433" s="1">
        <v>47.99</v>
      </c>
    </row>
    <row r="2434">
      <c r="A2434" s="1" t="s">
        <v>1293</v>
      </c>
      <c r="C2434" s="1" t="s">
        <v>56</v>
      </c>
      <c r="D2434" s="1" t="s">
        <v>3644</v>
      </c>
      <c r="Y2434" s="2">
        <v>45511.0</v>
      </c>
      <c r="AE2434" s="1">
        <v>139.99</v>
      </c>
      <c r="AG2434" s="3" t="str">
        <f>"2000006141063543"</f>
        <v>2000006141063543</v>
      </c>
      <c r="AH2434" s="1" t="s">
        <v>58</v>
      </c>
      <c r="AI2434" s="1" t="s">
        <v>59</v>
      </c>
      <c r="AJ2434" s="1" t="s">
        <v>59</v>
      </c>
      <c r="AK2434" s="1" t="s">
        <v>60</v>
      </c>
      <c r="AL2434" s="1" t="s">
        <v>60</v>
      </c>
      <c r="AW2434" s="1" t="s">
        <v>1295</v>
      </c>
      <c r="AY2434" s="1">
        <v>1.0</v>
      </c>
      <c r="AZ2434" s="1">
        <v>139.99</v>
      </c>
      <c r="BB2434" s="1">
        <v>139.99</v>
      </c>
    </row>
    <row r="2435">
      <c r="A2435" s="1" t="s">
        <v>175</v>
      </c>
      <c r="C2435" s="1" t="s">
        <v>56</v>
      </c>
      <c r="D2435" s="1" t="s">
        <v>3645</v>
      </c>
      <c r="Y2435" s="2">
        <v>45511.0</v>
      </c>
      <c r="AE2435" s="1">
        <v>199.99</v>
      </c>
      <c r="AG2435" s="3" t="str">
        <f>"2000006140860079"</f>
        <v>2000006140860079</v>
      </c>
      <c r="AH2435" s="1" t="s">
        <v>58</v>
      </c>
      <c r="AI2435" s="1" t="s">
        <v>59</v>
      </c>
      <c r="AJ2435" s="1" t="s">
        <v>59</v>
      </c>
      <c r="AK2435" s="1" t="s">
        <v>60</v>
      </c>
      <c r="AL2435" s="1" t="s">
        <v>60</v>
      </c>
      <c r="AW2435" s="1" t="s">
        <v>177</v>
      </c>
      <c r="AY2435" s="1">
        <v>1.0</v>
      </c>
      <c r="AZ2435" s="1">
        <v>199.99</v>
      </c>
      <c r="BB2435" s="1">
        <v>199.99</v>
      </c>
    </row>
    <row r="2436">
      <c r="A2436" s="1" t="s">
        <v>3646</v>
      </c>
      <c r="C2436" s="1" t="s">
        <v>56</v>
      </c>
      <c r="D2436" s="1" t="s">
        <v>3647</v>
      </c>
      <c r="Y2436" s="2">
        <v>45511.0</v>
      </c>
      <c r="AE2436" s="1">
        <v>79.99</v>
      </c>
      <c r="AG2436" s="3" t="str">
        <f>"2000006141054261"</f>
        <v>2000006141054261</v>
      </c>
      <c r="AH2436" s="1" t="s">
        <v>58</v>
      </c>
      <c r="AI2436" s="1" t="s">
        <v>59</v>
      </c>
      <c r="AJ2436" s="1" t="s">
        <v>59</v>
      </c>
      <c r="AK2436" s="1" t="s">
        <v>60</v>
      </c>
      <c r="AL2436" s="1" t="s">
        <v>60</v>
      </c>
      <c r="AW2436" s="1" t="s">
        <v>3648</v>
      </c>
      <c r="AY2436" s="1">
        <v>1.0</v>
      </c>
      <c r="AZ2436" s="1">
        <v>79.99</v>
      </c>
      <c r="BB2436" s="1">
        <v>79.99</v>
      </c>
    </row>
    <row r="2437">
      <c r="A2437" s="1" t="s">
        <v>172</v>
      </c>
      <c r="C2437" s="1" t="s">
        <v>56</v>
      </c>
      <c r="D2437" s="1" t="s">
        <v>3649</v>
      </c>
      <c r="Y2437" s="2">
        <v>45511.0</v>
      </c>
      <c r="AE2437" s="1">
        <v>79.99</v>
      </c>
      <c r="AG2437" s="3" t="str">
        <f>"2000006140428301"</f>
        <v>2000006140428301</v>
      </c>
      <c r="AH2437" s="1" t="s">
        <v>58</v>
      </c>
      <c r="AI2437" s="1" t="s">
        <v>59</v>
      </c>
      <c r="AJ2437" s="1" t="s">
        <v>59</v>
      </c>
      <c r="AK2437" s="1" t="s">
        <v>60</v>
      </c>
      <c r="AL2437" s="1" t="s">
        <v>60</v>
      </c>
      <c r="AW2437" s="1" t="s">
        <v>174</v>
      </c>
      <c r="AY2437" s="1">
        <v>1.0</v>
      </c>
      <c r="AZ2437" s="1">
        <v>79.99</v>
      </c>
      <c r="BB2437" s="1">
        <v>79.99</v>
      </c>
    </row>
    <row r="2438">
      <c r="A2438" s="1" t="s">
        <v>605</v>
      </c>
      <c r="C2438" s="1" t="s">
        <v>56</v>
      </c>
      <c r="D2438" s="1" t="s">
        <v>3650</v>
      </c>
      <c r="Y2438" s="2">
        <v>45511.0</v>
      </c>
      <c r="AE2438" s="1">
        <v>89.99</v>
      </c>
      <c r="AG2438" s="3" t="str">
        <f>"2000006140994379"</f>
        <v>2000006140994379</v>
      </c>
      <c r="AH2438" s="1" t="s">
        <v>58</v>
      </c>
      <c r="AI2438" s="1" t="s">
        <v>59</v>
      </c>
      <c r="AJ2438" s="1" t="s">
        <v>59</v>
      </c>
      <c r="AK2438" s="1" t="s">
        <v>60</v>
      </c>
      <c r="AL2438" s="1" t="s">
        <v>60</v>
      </c>
      <c r="AW2438" s="1" t="s">
        <v>607</v>
      </c>
      <c r="AY2438" s="1">
        <v>1.0</v>
      </c>
      <c r="AZ2438" s="1">
        <v>89.99</v>
      </c>
      <c r="BB2438" s="1">
        <v>89.99</v>
      </c>
    </row>
    <row r="2439">
      <c r="A2439" s="1" t="s">
        <v>2688</v>
      </c>
      <c r="C2439" s="1" t="s">
        <v>56</v>
      </c>
      <c r="D2439" s="1" t="s">
        <v>3651</v>
      </c>
      <c r="Y2439" s="2">
        <v>45511.0</v>
      </c>
      <c r="AE2439" s="1">
        <v>49.99</v>
      </c>
      <c r="AG2439" s="3" t="str">
        <f>"2000006140931985"</f>
        <v>2000006140931985</v>
      </c>
      <c r="AH2439" s="1" t="s">
        <v>58</v>
      </c>
      <c r="AI2439" s="1" t="s">
        <v>59</v>
      </c>
      <c r="AJ2439" s="1" t="s">
        <v>59</v>
      </c>
      <c r="AK2439" s="1" t="s">
        <v>60</v>
      </c>
      <c r="AL2439" s="1" t="s">
        <v>60</v>
      </c>
      <c r="AW2439" s="1" t="s">
        <v>2690</v>
      </c>
      <c r="AY2439" s="1">
        <v>1.0</v>
      </c>
      <c r="AZ2439" s="1">
        <v>49.99</v>
      </c>
      <c r="BB2439" s="1">
        <v>49.99</v>
      </c>
    </row>
    <row r="2440">
      <c r="A2440" s="1" t="s">
        <v>2362</v>
      </c>
      <c r="C2440" s="1" t="s">
        <v>56</v>
      </c>
      <c r="D2440" s="1" t="s">
        <v>3652</v>
      </c>
      <c r="Y2440" s="2">
        <v>45511.0</v>
      </c>
      <c r="AE2440" s="1">
        <v>89.99</v>
      </c>
      <c r="AG2440" s="3" t="str">
        <f>"2000006140920435"</f>
        <v>2000006140920435</v>
      </c>
      <c r="AH2440" s="1" t="s">
        <v>58</v>
      </c>
      <c r="AI2440" s="1" t="s">
        <v>59</v>
      </c>
      <c r="AJ2440" s="1" t="s">
        <v>59</v>
      </c>
      <c r="AK2440" s="1" t="s">
        <v>60</v>
      </c>
      <c r="AL2440" s="1" t="s">
        <v>60</v>
      </c>
      <c r="AW2440" s="1" t="s">
        <v>2364</v>
      </c>
      <c r="AY2440" s="1">
        <v>1.0</v>
      </c>
      <c r="AZ2440" s="1">
        <v>89.99</v>
      </c>
      <c r="BB2440" s="1">
        <v>89.99</v>
      </c>
    </row>
    <row r="2441">
      <c r="A2441" s="1" t="s">
        <v>1497</v>
      </c>
      <c r="C2441" s="1" t="s">
        <v>56</v>
      </c>
      <c r="D2441" s="1" t="s">
        <v>3653</v>
      </c>
      <c r="Y2441" s="2">
        <v>45511.0</v>
      </c>
      <c r="AE2441" s="1">
        <v>89.99</v>
      </c>
      <c r="AG2441" s="3" t="str">
        <f>"2000006140840677"</f>
        <v>2000006140840677</v>
      </c>
      <c r="AH2441" s="1" t="s">
        <v>58</v>
      </c>
      <c r="AI2441" s="1" t="s">
        <v>59</v>
      </c>
      <c r="AJ2441" s="1" t="s">
        <v>59</v>
      </c>
      <c r="AK2441" s="1" t="s">
        <v>60</v>
      </c>
      <c r="AL2441" s="1" t="s">
        <v>60</v>
      </c>
      <c r="AW2441" s="1" t="s">
        <v>1499</v>
      </c>
      <c r="AY2441" s="1">
        <v>1.0</v>
      </c>
      <c r="AZ2441" s="1">
        <v>89.99</v>
      </c>
      <c r="BB2441" s="1">
        <v>89.99</v>
      </c>
    </row>
    <row r="2442">
      <c r="A2442" s="1" t="s">
        <v>893</v>
      </c>
      <c r="C2442" s="1" t="s">
        <v>56</v>
      </c>
      <c r="D2442" s="1" t="s">
        <v>3654</v>
      </c>
      <c r="Y2442" s="2">
        <v>45511.0</v>
      </c>
      <c r="AE2442" s="1">
        <v>99.99</v>
      </c>
      <c r="AG2442" s="3" t="str">
        <f>"2000006140903535"</f>
        <v>2000006140903535</v>
      </c>
      <c r="AH2442" s="1" t="s">
        <v>58</v>
      </c>
      <c r="AI2442" s="1" t="s">
        <v>59</v>
      </c>
      <c r="AJ2442" s="1" t="s">
        <v>59</v>
      </c>
      <c r="AK2442" s="1" t="s">
        <v>60</v>
      </c>
      <c r="AL2442" s="1" t="s">
        <v>60</v>
      </c>
      <c r="AW2442" s="1" t="s">
        <v>895</v>
      </c>
      <c r="AY2442" s="1">
        <v>1.0</v>
      </c>
      <c r="AZ2442" s="1">
        <v>99.99</v>
      </c>
      <c r="BB2442" s="1">
        <v>99.99</v>
      </c>
    </row>
    <row r="2443">
      <c r="A2443" s="1" t="s">
        <v>3655</v>
      </c>
      <c r="C2443" s="1" t="s">
        <v>56</v>
      </c>
      <c r="D2443" s="1" t="s">
        <v>3656</v>
      </c>
      <c r="Y2443" s="2">
        <v>45511.0</v>
      </c>
      <c r="AE2443" s="1">
        <v>109.99</v>
      </c>
      <c r="AG2443" s="3" t="str">
        <f>"2000006140893991"</f>
        <v>2000006140893991</v>
      </c>
      <c r="AH2443" s="1" t="s">
        <v>58</v>
      </c>
      <c r="AI2443" s="1" t="s">
        <v>59</v>
      </c>
      <c r="AJ2443" s="1" t="s">
        <v>59</v>
      </c>
      <c r="AK2443" s="1" t="s">
        <v>60</v>
      </c>
      <c r="AL2443" s="1" t="s">
        <v>60</v>
      </c>
      <c r="AW2443" s="1" t="s">
        <v>3657</v>
      </c>
      <c r="AY2443" s="1">
        <v>1.0</v>
      </c>
      <c r="AZ2443" s="1">
        <v>109.99</v>
      </c>
      <c r="BB2443" s="1">
        <v>109.99</v>
      </c>
    </row>
    <row r="2444">
      <c r="A2444" s="1" t="s">
        <v>3658</v>
      </c>
      <c r="C2444" s="1" t="s">
        <v>56</v>
      </c>
      <c r="D2444" s="1" t="s">
        <v>3659</v>
      </c>
      <c r="Y2444" s="2">
        <v>45511.0</v>
      </c>
      <c r="AE2444" s="1">
        <v>59.99</v>
      </c>
      <c r="AG2444" s="3" t="str">
        <f>"2000006140779067"</f>
        <v>2000006140779067</v>
      </c>
      <c r="AH2444" s="1" t="s">
        <v>58</v>
      </c>
      <c r="AI2444" s="1" t="s">
        <v>59</v>
      </c>
      <c r="AJ2444" s="1" t="s">
        <v>59</v>
      </c>
      <c r="AK2444" s="1" t="s">
        <v>60</v>
      </c>
      <c r="AL2444" s="1" t="s">
        <v>60</v>
      </c>
      <c r="AW2444" s="1" t="s">
        <v>3660</v>
      </c>
      <c r="AY2444" s="1">
        <v>1.0</v>
      </c>
      <c r="AZ2444" s="1">
        <v>59.99</v>
      </c>
      <c r="BB2444" s="1">
        <v>59.99</v>
      </c>
    </row>
    <row r="2445">
      <c r="A2445" s="1" t="s">
        <v>62</v>
      </c>
      <c r="C2445" s="1" t="s">
        <v>56</v>
      </c>
      <c r="D2445" s="1" t="s">
        <v>3661</v>
      </c>
      <c r="Y2445" s="2">
        <v>45511.0</v>
      </c>
      <c r="AE2445" s="1">
        <v>249.49</v>
      </c>
      <c r="AG2445" s="3" t="str">
        <f>"2000008973242972"</f>
        <v>2000008973242972</v>
      </c>
      <c r="AH2445" s="1" t="s">
        <v>58</v>
      </c>
      <c r="AI2445" s="1" t="s">
        <v>59</v>
      </c>
      <c r="AJ2445" s="1" t="s">
        <v>59</v>
      </c>
      <c r="AK2445" s="1" t="s">
        <v>60</v>
      </c>
      <c r="AL2445" s="1" t="s">
        <v>60</v>
      </c>
      <c r="AW2445" s="1" t="s">
        <v>64</v>
      </c>
      <c r="AY2445" s="1">
        <v>1.0</v>
      </c>
      <c r="AZ2445" s="1">
        <v>249.49</v>
      </c>
      <c r="BB2445" s="1">
        <v>249.49</v>
      </c>
    </row>
    <row r="2446">
      <c r="A2446" s="1" t="s">
        <v>2036</v>
      </c>
      <c r="C2446" s="1" t="s">
        <v>56</v>
      </c>
      <c r="D2446" s="1" t="s">
        <v>3662</v>
      </c>
      <c r="Y2446" s="2">
        <v>45511.0</v>
      </c>
      <c r="AE2446" s="1">
        <v>109.99</v>
      </c>
      <c r="AG2446" s="3" t="str">
        <f>"2000006140750901"</f>
        <v>2000006140750901</v>
      </c>
      <c r="AH2446" s="1" t="s">
        <v>58</v>
      </c>
      <c r="AI2446" s="1" t="s">
        <v>59</v>
      </c>
      <c r="AJ2446" s="1" t="s">
        <v>59</v>
      </c>
      <c r="AK2446" s="1" t="s">
        <v>60</v>
      </c>
      <c r="AL2446" s="1" t="s">
        <v>60</v>
      </c>
      <c r="AW2446" s="1" t="s">
        <v>3265</v>
      </c>
      <c r="AY2446" s="1">
        <v>1.0</v>
      </c>
      <c r="AZ2446" s="1">
        <v>109.99</v>
      </c>
      <c r="BB2446" s="1">
        <v>109.99</v>
      </c>
    </row>
    <row r="2447">
      <c r="A2447" s="1" t="s">
        <v>1700</v>
      </c>
      <c r="C2447" s="1" t="s">
        <v>56</v>
      </c>
      <c r="D2447" s="1" t="s">
        <v>3663</v>
      </c>
      <c r="Y2447" s="2">
        <v>45511.0</v>
      </c>
      <c r="AE2447" s="1">
        <v>219.99</v>
      </c>
      <c r="AG2447" s="3" t="str">
        <f>"2000006140692779"</f>
        <v>2000006140692779</v>
      </c>
      <c r="AH2447" s="1" t="s">
        <v>58</v>
      </c>
      <c r="AI2447" s="1" t="s">
        <v>59</v>
      </c>
      <c r="AJ2447" s="1" t="s">
        <v>59</v>
      </c>
      <c r="AK2447" s="1" t="s">
        <v>60</v>
      </c>
      <c r="AL2447" s="1" t="s">
        <v>60</v>
      </c>
      <c r="AW2447" s="1" t="s">
        <v>1702</v>
      </c>
      <c r="AY2447" s="1">
        <v>1.0</v>
      </c>
      <c r="AZ2447" s="1">
        <v>219.99</v>
      </c>
      <c r="BB2447" s="1">
        <v>219.99</v>
      </c>
    </row>
    <row r="2448">
      <c r="A2448" s="1" t="s">
        <v>117</v>
      </c>
      <c r="C2448" s="1" t="s">
        <v>56</v>
      </c>
      <c r="D2448" s="1" t="s">
        <v>3664</v>
      </c>
      <c r="Y2448" s="2">
        <v>45511.0</v>
      </c>
      <c r="AE2448" s="1">
        <v>129.99</v>
      </c>
      <c r="AG2448" s="3" t="str">
        <f>"2000006140678735"</f>
        <v>2000006140678735</v>
      </c>
      <c r="AH2448" s="1" t="s">
        <v>58</v>
      </c>
      <c r="AI2448" s="1" t="s">
        <v>59</v>
      </c>
      <c r="AJ2448" s="1" t="s">
        <v>59</v>
      </c>
      <c r="AK2448" s="1" t="s">
        <v>60</v>
      </c>
      <c r="AL2448" s="1" t="s">
        <v>60</v>
      </c>
      <c r="AW2448" s="1" t="s">
        <v>763</v>
      </c>
      <c r="AY2448" s="1">
        <v>1.0</v>
      </c>
      <c r="AZ2448" s="1">
        <v>129.99</v>
      </c>
      <c r="BB2448" s="1">
        <v>129.99</v>
      </c>
    </row>
    <row r="2449">
      <c r="A2449" s="1" t="s">
        <v>798</v>
      </c>
      <c r="C2449" s="1" t="s">
        <v>56</v>
      </c>
      <c r="D2449" s="1" t="s">
        <v>3624</v>
      </c>
      <c r="Y2449" s="2">
        <v>45511.0</v>
      </c>
      <c r="AE2449" s="1">
        <v>89.99</v>
      </c>
      <c r="AG2449" s="3" t="str">
        <f>"2000006140653443"</f>
        <v>2000006140653443</v>
      </c>
      <c r="AH2449" s="1" t="s">
        <v>58</v>
      </c>
      <c r="AI2449" s="1" t="s">
        <v>59</v>
      </c>
      <c r="AJ2449" s="1" t="s">
        <v>59</v>
      </c>
      <c r="AK2449" s="1" t="s">
        <v>60</v>
      </c>
      <c r="AL2449" s="1" t="s">
        <v>60</v>
      </c>
      <c r="AW2449" s="1" t="s">
        <v>800</v>
      </c>
      <c r="AY2449" s="1">
        <v>1.0</v>
      </c>
      <c r="AZ2449" s="1">
        <v>89.99</v>
      </c>
      <c r="BB2449" s="1">
        <v>89.99</v>
      </c>
    </row>
    <row r="2450">
      <c r="A2450" s="1" t="s">
        <v>1689</v>
      </c>
      <c r="C2450" s="1" t="s">
        <v>56</v>
      </c>
      <c r="D2450" s="1" t="s">
        <v>3665</v>
      </c>
      <c r="Y2450" s="2">
        <v>45511.0</v>
      </c>
      <c r="AE2450" s="1">
        <v>79.99</v>
      </c>
      <c r="AG2450" s="3" t="str">
        <f>"2000006140560073"</f>
        <v>2000006140560073</v>
      </c>
      <c r="AH2450" s="1" t="s">
        <v>58</v>
      </c>
      <c r="AI2450" s="1" t="s">
        <v>59</v>
      </c>
      <c r="AJ2450" s="1" t="s">
        <v>59</v>
      </c>
      <c r="AK2450" s="1" t="s">
        <v>60</v>
      </c>
      <c r="AL2450" s="1" t="s">
        <v>60</v>
      </c>
      <c r="AW2450" s="1" t="s">
        <v>856</v>
      </c>
      <c r="AY2450" s="1">
        <v>1.0</v>
      </c>
      <c r="AZ2450" s="1">
        <v>79.99</v>
      </c>
      <c r="BB2450" s="1">
        <v>79.99</v>
      </c>
    </row>
    <row r="2451">
      <c r="A2451" s="1" t="s">
        <v>86</v>
      </c>
      <c r="C2451" s="1" t="s">
        <v>56</v>
      </c>
      <c r="D2451" s="1" t="s">
        <v>3666</v>
      </c>
      <c r="Y2451" s="2">
        <v>45511.0</v>
      </c>
      <c r="AE2451" s="1">
        <v>64.99</v>
      </c>
      <c r="AG2451" s="3" t="str">
        <f>"2000006140559183"</f>
        <v>2000006140559183</v>
      </c>
      <c r="AH2451" s="1" t="s">
        <v>58</v>
      </c>
      <c r="AI2451" s="1" t="s">
        <v>59</v>
      </c>
      <c r="AJ2451" s="1" t="s">
        <v>59</v>
      </c>
      <c r="AK2451" s="1" t="s">
        <v>60</v>
      </c>
      <c r="AL2451" s="1" t="s">
        <v>60</v>
      </c>
      <c r="AW2451" s="1" t="s">
        <v>88</v>
      </c>
      <c r="AY2451" s="1">
        <v>1.0</v>
      </c>
      <c r="AZ2451" s="1">
        <v>64.99</v>
      </c>
      <c r="BB2451" s="1">
        <v>64.99</v>
      </c>
    </row>
    <row r="2452">
      <c r="A2452" s="1" t="s">
        <v>3667</v>
      </c>
      <c r="C2452" s="1" t="s">
        <v>56</v>
      </c>
      <c r="D2452" s="1" t="s">
        <v>3668</v>
      </c>
      <c r="Y2452" s="2">
        <v>45511.0</v>
      </c>
      <c r="AE2452" s="1">
        <v>46.99</v>
      </c>
      <c r="AG2452" s="3" t="str">
        <f>"2000006140514489"</f>
        <v>2000006140514489</v>
      </c>
      <c r="AH2452" s="1" t="s">
        <v>58</v>
      </c>
      <c r="AI2452" s="1" t="s">
        <v>59</v>
      </c>
      <c r="AJ2452" s="1" t="s">
        <v>59</v>
      </c>
      <c r="AK2452" s="1" t="s">
        <v>60</v>
      </c>
      <c r="AL2452" s="1" t="s">
        <v>60</v>
      </c>
      <c r="AW2452" s="1" t="s">
        <v>3669</v>
      </c>
      <c r="AY2452" s="1">
        <v>1.0</v>
      </c>
      <c r="AZ2452" s="1">
        <v>46.99</v>
      </c>
      <c r="BB2452" s="1">
        <v>46.99</v>
      </c>
    </row>
    <row r="2453">
      <c r="A2453" s="1" t="s">
        <v>605</v>
      </c>
      <c r="C2453" s="1" t="s">
        <v>56</v>
      </c>
      <c r="D2453" s="1" t="s">
        <v>3670</v>
      </c>
      <c r="Y2453" s="2">
        <v>45511.0</v>
      </c>
      <c r="AE2453" s="1">
        <v>89.99</v>
      </c>
      <c r="AG2453" s="3" t="str">
        <f>"2000006140458317"</f>
        <v>2000006140458317</v>
      </c>
      <c r="AH2453" s="1" t="s">
        <v>58</v>
      </c>
      <c r="AI2453" s="1" t="s">
        <v>59</v>
      </c>
      <c r="AJ2453" s="1" t="s">
        <v>59</v>
      </c>
      <c r="AK2453" s="1" t="s">
        <v>60</v>
      </c>
      <c r="AL2453" s="1" t="s">
        <v>60</v>
      </c>
      <c r="AW2453" s="1" t="s">
        <v>607</v>
      </c>
      <c r="AY2453" s="1">
        <v>1.0</v>
      </c>
      <c r="AZ2453" s="1">
        <v>89.99</v>
      </c>
      <c r="BB2453" s="1">
        <v>89.99</v>
      </c>
    </row>
    <row r="2454">
      <c r="A2454" s="1" t="s">
        <v>2810</v>
      </c>
      <c r="C2454" s="1" t="s">
        <v>56</v>
      </c>
      <c r="D2454" s="1" t="s">
        <v>3671</v>
      </c>
      <c r="Y2454" s="2">
        <v>45511.0</v>
      </c>
      <c r="AE2454" s="1">
        <v>289.99</v>
      </c>
      <c r="AG2454" s="3" t="str">
        <f>"2000006140297545"</f>
        <v>2000006140297545</v>
      </c>
      <c r="AH2454" s="1" t="s">
        <v>58</v>
      </c>
      <c r="AI2454" s="1" t="s">
        <v>59</v>
      </c>
      <c r="AJ2454" s="1" t="s">
        <v>59</v>
      </c>
      <c r="AK2454" s="1" t="s">
        <v>60</v>
      </c>
      <c r="AL2454" s="1" t="s">
        <v>60</v>
      </c>
      <c r="AW2454" s="1" t="s">
        <v>3672</v>
      </c>
      <c r="AY2454" s="1">
        <v>1.0</v>
      </c>
      <c r="AZ2454" s="1">
        <v>289.99</v>
      </c>
      <c r="BB2454" s="1">
        <v>289.99</v>
      </c>
    </row>
    <row r="2455">
      <c r="A2455" s="1" t="s">
        <v>1517</v>
      </c>
      <c r="C2455" s="1" t="s">
        <v>56</v>
      </c>
      <c r="D2455" s="1" t="s">
        <v>3673</v>
      </c>
      <c r="Y2455" s="2">
        <v>45511.0</v>
      </c>
      <c r="AE2455" s="1">
        <v>69.99</v>
      </c>
      <c r="AG2455" s="3" t="str">
        <f>"2000006140373361"</f>
        <v>2000006140373361</v>
      </c>
      <c r="AH2455" s="1" t="s">
        <v>58</v>
      </c>
      <c r="AI2455" s="1" t="s">
        <v>59</v>
      </c>
      <c r="AJ2455" s="1" t="s">
        <v>59</v>
      </c>
      <c r="AK2455" s="1" t="s">
        <v>60</v>
      </c>
      <c r="AL2455" s="1" t="s">
        <v>60</v>
      </c>
      <c r="AW2455" s="1" t="s">
        <v>1519</v>
      </c>
      <c r="AY2455" s="1">
        <v>1.0</v>
      </c>
      <c r="AZ2455" s="1">
        <v>69.99</v>
      </c>
      <c r="BB2455" s="1">
        <v>69.99</v>
      </c>
    </row>
    <row r="2456">
      <c r="A2456" s="1" t="s">
        <v>533</v>
      </c>
      <c r="C2456" s="1" t="s">
        <v>56</v>
      </c>
      <c r="D2456" s="1" t="s">
        <v>3674</v>
      </c>
      <c r="Y2456" s="2">
        <v>45511.0</v>
      </c>
      <c r="AE2456" s="1">
        <v>89.99</v>
      </c>
      <c r="AG2456" s="3" t="str">
        <f>"2000006140370579"</f>
        <v>2000006140370579</v>
      </c>
      <c r="AH2456" s="1" t="s">
        <v>58</v>
      </c>
      <c r="AI2456" s="1" t="s">
        <v>59</v>
      </c>
      <c r="AJ2456" s="1" t="s">
        <v>59</v>
      </c>
      <c r="AK2456" s="1" t="s">
        <v>60</v>
      </c>
      <c r="AL2456" s="1" t="s">
        <v>60</v>
      </c>
      <c r="AW2456" s="1" t="s">
        <v>535</v>
      </c>
      <c r="AY2456" s="1">
        <v>1.0</v>
      </c>
      <c r="AZ2456" s="1">
        <v>89.99</v>
      </c>
      <c r="BB2456" s="1">
        <v>89.99</v>
      </c>
    </row>
    <row r="2457">
      <c r="A2457" s="1" t="s">
        <v>195</v>
      </c>
      <c r="C2457" s="1" t="s">
        <v>56</v>
      </c>
      <c r="D2457" s="1" t="s">
        <v>3675</v>
      </c>
      <c r="Y2457" s="2">
        <v>45511.0</v>
      </c>
      <c r="AE2457" s="1">
        <v>47.99</v>
      </c>
      <c r="AG2457" s="3" t="str">
        <f>"2000006140371481"</f>
        <v>2000006140371481</v>
      </c>
      <c r="AH2457" s="1" t="s">
        <v>58</v>
      </c>
      <c r="AI2457" s="1" t="s">
        <v>59</v>
      </c>
      <c r="AJ2457" s="1" t="s">
        <v>59</v>
      </c>
      <c r="AK2457" s="1" t="s">
        <v>60</v>
      </c>
      <c r="AL2457" s="1" t="s">
        <v>60</v>
      </c>
      <c r="AW2457" s="1" t="s">
        <v>197</v>
      </c>
      <c r="AY2457" s="1">
        <v>1.0</v>
      </c>
      <c r="AZ2457" s="1">
        <v>47.99</v>
      </c>
      <c r="BB2457" s="1">
        <v>47.99</v>
      </c>
    </row>
    <row r="2458">
      <c r="A2458" s="1" t="s">
        <v>1953</v>
      </c>
      <c r="C2458" s="1" t="s">
        <v>56</v>
      </c>
      <c r="D2458" s="1" t="s">
        <v>1954</v>
      </c>
      <c r="Y2458" s="2">
        <v>45511.0</v>
      </c>
      <c r="AE2458" s="1">
        <v>189.99</v>
      </c>
      <c r="AG2458" s="3" t="str">
        <f>"2000008972286748"</f>
        <v>2000008972286748</v>
      </c>
      <c r="AH2458" s="1" t="s">
        <v>58</v>
      </c>
      <c r="AI2458" s="1" t="s">
        <v>59</v>
      </c>
      <c r="AJ2458" s="1" t="s">
        <v>59</v>
      </c>
      <c r="AK2458" s="1" t="s">
        <v>60</v>
      </c>
      <c r="AL2458" s="1" t="s">
        <v>60</v>
      </c>
      <c r="AW2458" s="1" t="s">
        <v>1955</v>
      </c>
      <c r="AY2458" s="1">
        <v>1.0</v>
      </c>
      <c r="AZ2458" s="1">
        <v>189.99</v>
      </c>
      <c r="BB2458" s="1">
        <v>189.99</v>
      </c>
    </row>
    <row r="2459">
      <c r="A2459" s="1" t="s">
        <v>3676</v>
      </c>
      <c r="C2459" s="1" t="s">
        <v>56</v>
      </c>
      <c r="D2459" s="1" t="s">
        <v>3677</v>
      </c>
      <c r="Y2459" s="2">
        <v>45511.0</v>
      </c>
      <c r="AE2459" s="1">
        <v>69.99</v>
      </c>
      <c r="AG2459" s="3" t="str">
        <f>"2000008972249314"</f>
        <v>2000008972249314</v>
      </c>
      <c r="AH2459" s="1" t="s">
        <v>58</v>
      </c>
      <c r="AI2459" s="1" t="s">
        <v>59</v>
      </c>
      <c r="AJ2459" s="1" t="s">
        <v>59</v>
      </c>
      <c r="AK2459" s="1" t="s">
        <v>60</v>
      </c>
      <c r="AL2459" s="1" t="s">
        <v>60</v>
      </c>
      <c r="AW2459" s="1" t="s">
        <v>3678</v>
      </c>
      <c r="AY2459" s="1">
        <v>1.0</v>
      </c>
      <c r="AZ2459" s="1">
        <v>69.99</v>
      </c>
      <c r="BB2459" s="1">
        <v>69.99</v>
      </c>
    </row>
    <row r="2460">
      <c r="A2460" s="1" t="s">
        <v>2784</v>
      </c>
      <c r="C2460" s="1" t="s">
        <v>56</v>
      </c>
      <c r="D2460" s="1" t="s">
        <v>3679</v>
      </c>
      <c r="Y2460" s="2">
        <v>45511.0</v>
      </c>
      <c r="AE2460" s="1">
        <v>39.99</v>
      </c>
      <c r="AG2460" s="3" t="str">
        <f>"2000006140176141"</f>
        <v>2000006140176141</v>
      </c>
      <c r="AH2460" s="1" t="s">
        <v>58</v>
      </c>
      <c r="AI2460" s="1" t="s">
        <v>59</v>
      </c>
      <c r="AJ2460" s="1" t="s">
        <v>59</v>
      </c>
      <c r="AK2460" s="1" t="s">
        <v>60</v>
      </c>
      <c r="AL2460" s="1" t="s">
        <v>60</v>
      </c>
      <c r="AW2460" s="1" t="s">
        <v>1529</v>
      </c>
      <c r="AY2460" s="1">
        <v>1.0</v>
      </c>
      <c r="AZ2460" s="1">
        <v>39.99</v>
      </c>
      <c r="BB2460" s="1">
        <v>39.99</v>
      </c>
    </row>
    <row r="2461">
      <c r="A2461" s="1" t="s">
        <v>114</v>
      </c>
      <c r="C2461" s="1" t="s">
        <v>56</v>
      </c>
      <c r="D2461" s="1" t="s">
        <v>3680</v>
      </c>
      <c r="Y2461" s="2">
        <v>45511.0</v>
      </c>
      <c r="AE2461" s="1">
        <v>84.99</v>
      </c>
      <c r="AG2461" s="3" t="str">
        <f>"2000008972110282"</f>
        <v>2000008972110282</v>
      </c>
      <c r="AH2461" s="1" t="s">
        <v>58</v>
      </c>
      <c r="AI2461" s="1" t="s">
        <v>59</v>
      </c>
      <c r="AJ2461" s="1" t="s">
        <v>59</v>
      </c>
      <c r="AK2461" s="1" t="s">
        <v>60</v>
      </c>
      <c r="AL2461" s="1" t="s">
        <v>60</v>
      </c>
      <c r="AW2461" s="1" t="s">
        <v>116</v>
      </c>
      <c r="AY2461" s="1">
        <v>1.0</v>
      </c>
      <c r="AZ2461" s="1">
        <v>84.99</v>
      </c>
      <c r="BB2461" s="1">
        <v>84.99</v>
      </c>
    </row>
    <row r="2462">
      <c r="A2462" s="1" t="s">
        <v>2745</v>
      </c>
      <c r="C2462" s="1" t="s">
        <v>56</v>
      </c>
      <c r="D2462" s="1" t="s">
        <v>3681</v>
      </c>
      <c r="Y2462" s="2">
        <v>45511.0</v>
      </c>
      <c r="AE2462" s="1">
        <v>69.99</v>
      </c>
      <c r="AG2462" s="3" t="str">
        <f>"2000008972062468"</f>
        <v>2000008972062468</v>
      </c>
      <c r="AH2462" s="1" t="s">
        <v>58</v>
      </c>
      <c r="AI2462" s="1" t="s">
        <v>59</v>
      </c>
      <c r="AJ2462" s="1" t="s">
        <v>59</v>
      </c>
      <c r="AK2462" s="1" t="s">
        <v>60</v>
      </c>
      <c r="AL2462" s="1" t="s">
        <v>60</v>
      </c>
      <c r="AW2462" s="1" t="s">
        <v>2747</v>
      </c>
      <c r="AY2462" s="1">
        <v>1.0</v>
      </c>
      <c r="AZ2462" s="1">
        <v>69.99</v>
      </c>
      <c r="BB2462" s="1">
        <v>69.99</v>
      </c>
    </row>
    <row r="2463">
      <c r="A2463" s="1" t="s">
        <v>212</v>
      </c>
      <c r="C2463" s="1" t="s">
        <v>56</v>
      </c>
      <c r="D2463" s="1" t="s">
        <v>3682</v>
      </c>
      <c r="Y2463" s="2">
        <v>45511.0</v>
      </c>
      <c r="AE2463" s="1">
        <v>49.99</v>
      </c>
      <c r="AG2463" s="3" t="str">
        <f>"2000006140116471"</f>
        <v>2000006140116471</v>
      </c>
      <c r="AH2463" s="1" t="s">
        <v>58</v>
      </c>
      <c r="AI2463" s="1" t="s">
        <v>59</v>
      </c>
      <c r="AJ2463" s="1" t="s">
        <v>59</v>
      </c>
      <c r="AK2463" s="1" t="s">
        <v>60</v>
      </c>
      <c r="AL2463" s="1" t="s">
        <v>60</v>
      </c>
      <c r="AW2463" s="1" t="s">
        <v>214</v>
      </c>
      <c r="AY2463" s="1">
        <v>1.0</v>
      </c>
      <c r="AZ2463" s="1">
        <v>49.99</v>
      </c>
      <c r="BB2463" s="1">
        <v>49.99</v>
      </c>
    </row>
    <row r="2464">
      <c r="A2464" s="1" t="s">
        <v>3683</v>
      </c>
      <c r="C2464" s="1" t="s">
        <v>56</v>
      </c>
      <c r="D2464" s="1" t="s">
        <v>3684</v>
      </c>
      <c r="Y2464" s="2">
        <v>45511.0</v>
      </c>
      <c r="AE2464" s="1">
        <v>119.99</v>
      </c>
      <c r="AG2464" s="3" t="str">
        <f>"2000006140093371"</f>
        <v>2000006140093371</v>
      </c>
      <c r="AH2464" s="1" t="s">
        <v>58</v>
      </c>
      <c r="AI2464" s="1" t="s">
        <v>59</v>
      </c>
      <c r="AJ2464" s="1" t="s">
        <v>59</v>
      </c>
      <c r="AK2464" s="1" t="s">
        <v>60</v>
      </c>
      <c r="AL2464" s="1" t="s">
        <v>60</v>
      </c>
      <c r="AW2464" s="1" t="s">
        <v>3685</v>
      </c>
      <c r="AY2464" s="1">
        <v>1.0</v>
      </c>
      <c r="AZ2464" s="1">
        <v>119.99</v>
      </c>
      <c r="BB2464" s="1">
        <v>119.99</v>
      </c>
    </row>
    <row r="2465">
      <c r="A2465" s="1" t="s">
        <v>3686</v>
      </c>
      <c r="C2465" s="1" t="s">
        <v>56</v>
      </c>
      <c r="D2465" s="1" t="s">
        <v>3687</v>
      </c>
      <c r="Y2465" s="2">
        <v>45511.0</v>
      </c>
      <c r="AE2465" s="1">
        <v>64.99</v>
      </c>
      <c r="AG2465" s="3" t="str">
        <f>"2000006140041779"</f>
        <v>2000006140041779</v>
      </c>
      <c r="AH2465" s="1" t="s">
        <v>58</v>
      </c>
      <c r="AI2465" s="1" t="s">
        <v>59</v>
      </c>
      <c r="AJ2465" s="1" t="s">
        <v>59</v>
      </c>
      <c r="AK2465" s="1" t="s">
        <v>60</v>
      </c>
      <c r="AL2465" s="1" t="s">
        <v>60</v>
      </c>
      <c r="AW2465" s="1" t="s">
        <v>1800</v>
      </c>
      <c r="AY2465" s="1">
        <v>1.0</v>
      </c>
      <c r="AZ2465" s="1">
        <v>64.99</v>
      </c>
      <c r="BB2465" s="1">
        <v>64.99</v>
      </c>
    </row>
    <row r="2466">
      <c r="A2466" s="1" t="s">
        <v>1610</v>
      </c>
      <c r="C2466" s="1" t="s">
        <v>56</v>
      </c>
      <c r="D2466" s="1" t="s">
        <v>3688</v>
      </c>
      <c r="Y2466" s="2">
        <v>45511.0</v>
      </c>
      <c r="AE2466" s="1">
        <v>59.99</v>
      </c>
      <c r="AG2466" s="3" t="str">
        <f>"2000006139928331"</f>
        <v>2000006139928331</v>
      </c>
      <c r="AH2466" s="1" t="s">
        <v>58</v>
      </c>
      <c r="AI2466" s="1" t="s">
        <v>59</v>
      </c>
      <c r="AJ2466" s="1" t="s">
        <v>59</v>
      </c>
      <c r="AK2466" s="1" t="s">
        <v>60</v>
      </c>
      <c r="AL2466" s="1" t="s">
        <v>60</v>
      </c>
      <c r="AW2466" s="1" t="s">
        <v>104</v>
      </c>
      <c r="AY2466" s="1">
        <v>1.0</v>
      </c>
      <c r="AZ2466" s="1">
        <v>59.99</v>
      </c>
      <c r="BB2466" s="1">
        <v>59.99</v>
      </c>
    </row>
    <row r="2467">
      <c r="A2467" s="1" t="s">
        <v>757</v>
      </c>
      <c r="C2467" s="1" t="s">
        <v>56</v>
      </c>
      <c r="D2467" s="1" t="s">
        <v>3689</v>
      </c>
      <c r="Y2467" s="2">
        <v>45511.0</v>
      </c>
      <c r="AE2467" s="1">
        <v>499.99</v>
      </c>
      <c r="AG2467" s="3" t="str">
        <f>"2000008971478590"</f>
        <v>2000008971478590</v>
      </c>
      <c r="AH2467" s="1" t="s">
        <v>58</v>
      </c>
      <c r="AI2467" s="1" t="s">
        <v>59</v>
      </c>
      <c r="AJ2467" s="1" t="s">
        <v>59</v>
      </c>
      <c r="AK2467" s="1" t="s">
        <v>60</v>
      </c>
      <c r="AL2467" s="1" t="s">
        <v>60</v>
      </c>
      <c r="AW2467" s="1" t="s">
        <v>759</v>
      </c>
      <c r="AY2467" s="1">
        <v>1.0</v>
      </c>
      <c r="AZ2467" s="1">
        <v>499.99</v>
      </c>
      <c r="BB2467" s="1">
        <v>499.99</v>
      </c>
    </row>
    <row r="2468">
      <c r="A2468" s="1" t="s">
        <v>1084</v>
      </c>
      <c r="C2468" s="1" t="s">
        <v>56</v>
      </c>
      <c r="D2468" s="1" t="s">
        <v>3690</v>
      </c>
      <c r="Y2468" s="2">
        <v>45511.0</v>
      </c>
      <c r="AE2468" s="1">
        <v>299.94</v>
      </c>
      <c r="AG2468" s="3" t="str">
        <f>"2000006139828573"</f>
        <v>2000006139828573</v>
      </c>
      <c r="AH2468" s="1" t="s">
        <v>58</v>
      </c>
      <c r="AI2468" s="1" t="s">
        <v>59</v>
      </c>
      <c r="AJ2468" s="1" t="s">
        <v>59</v>
      </c>
      <c r="AK2468" s="1" t="s">
        <v>60</v>
      </c>
      <c r="AL2468" s="1" t="s">
        <v>60</v>
      </c>
      <c r="AW2468" s="1" t="s">
        <v>1086</v>
      </c>
      <c r="AY2468" s="1">
        <v>6.0</v>
      </c>
      <c r="AZ2468" s="1">
        <v>49.99</v>
      </c>
      <c r="BB2468" s="1">
        <v>299.94</v>
      </c>
    </row>
    <row r="2469">
      <c r="A2469" s="1" t="s">
        <v>1927</v>
      </c>
      <c r="C2469" s="1" t="s">
        <v>56</v>
      </c>
      <c r="D2469" s="1" t="s">
        <v>3691</v>
      </c>
      <c r="Y2469" s="2">
        <v>45511.0</v>
      </c>
      <c r="AE2469" s="1">
        <v>99.99</v>
      </c>
      <c r="AG2469" s="3" t="str">
        <f>"2000006138227557"</f>
        <v>2000006138227557</v>
      </c>
      <c r="AH2469" s="1" t="s">
        <v>58</v>
      </c>
      <c r="AI2469" s="1" t="s">
        <v>59</v>
      </c>
      <c r="AJ2469" s="1" t="s">
        <v>59</v>
      </c>
      <c r="AK2469" s="1" t="s">
        <v>60</v>
      </c>
      <c r="AL2469" s="1" t="s">
        <v>60</v>
      </c>
      <c r="AW2469" s="1" t="s">
        <v>3692</v>
      </c>
      <c r="AY2469" s="1">
        <v>1.0</v>
      </c>
      <c r="AZ2469" s="1">
        <v>99.99</v>
      </c>
      <c r="BB2469" s="1">
        <v>99.99</v>
      </c>
    </row>
    <row r="2470">
      <c r="A2470" s="1" t="s">
        <v>3693</v>
      </c>
      <c r="C2470" s="1" t="s">
        <v>56</v>
      </c>
      <c r="D2470" s="1" t="s">
        <v>3694</v>
      </c>
      <c r="Y2470" s="2">
        <v>45511.0</v>
      </c>
      <c r="AE2470" s="1">
        <v>89.99</v>
      </c>
      <c r="AG2470" s="3" t="str">
        <f>"2000008971392130"</f>
        <v>2000008971392130</v>
      </c>
      <c r="AH2470" s="1" t="s">
        <v>58</v>
      </c>
      <c r="AI2470" s="1" t="s">
        <v>59</v>
      </c>
      <c r="AJ2470" s="1" t="s">
        <v>59</v>
      </c>
      <c r="AK2470" s="1" t="s">
        <v>60</v>
      </c>
      <c r="AL2470" s="1" t="s">
        <v>60</v>
      </c>
      <c r="AW2470" s="1" t="s">
        <v>3695</v>
      </c>
      <c r="AY2470" s="1">
        <v>1.0</v>
      </c>
      <c r="AZ2470" s="1">
        <v>89.99</v>
      </c>
      <c r="BB2470" s="1">
        <v>89.99</v>
      </c>
    </row>
    <row r="2471">
      <c r="A2471" s="1" t="s">
        <v>559</v>
      </c>
      <c r="C2471" s="1" t="s">
        <v>56</v>
      </c>
      <c r="D2471" s="1" t="s">
        <v>3696</v>
      </c>
      <c r="Y2471" s="2">
        <v>45511.0</v>
      </c>
      <c r="AE2471" s="1">
        <v>59.99</v>
      </c>
      <c r="AG2471" s="3" t="str">
        <f>"2000006139732789"</f>
        <v>2000006139732789</v>
      </c>
      <c r="AH2471" s="1" t="s">
        <v>58</v>
      </c>
      <c r="AI2471" s="1" t="s">
        <v>59</v>
      </c>
      <c r="AJ2471" s="1" t="s">
        <v>59</v>
      </c>
      <c r="AK2471" s="1" t="s">
        <v>60</v>
      </c>
      <c r="AL2471" s="1" t="s">
        <v>60</v>
      </c>
      <c r="AW2471" s="1" t="s">
        <v>558</v>
      </c>
      <c r="AY2471" s="1">
        <v>1.0</v>
      </c>
      <c r="AZ2471" s="1">
        <v>59.99</v>
      </c>
      <c r="BB2471" s="1">
        <v>59.99</v>
      </c>
    </row>
    <row r="2472">
      <c r="A2472" s="1" t="s">
        <v>3111</v>
      </c>
      <c r="C2472" s="1" t="s">
        <v>56</v>
      </c>
      <c r="D2472" s="1" t="s">
        <v>3697</v>
      </c>
      <c r="Y2472" s="2">
        <v>45511.0</v>
      </c>
      <c r="AE2472" s="1">
        <v>39.99</v>
      </c>
      <c r="AG2472" s="3" t="str">
        <f>"2000006139720443"</f>
        <v>2000006139720443</v>
      </c>
      <c r="AH2472" s="1" t="s">
        <v>58</v>
      </c>
      <c r="AI2472" s="1" t="s">
        <v>59</v>
      </c>
      <c r="AJ2472" s="1" t="s">
        <v>59</v>
      </c>
      <c r="AK2472" s="1" t="s">
        <v>60</v>
      </c>
      <c r="AL2472" s="1" t="s">
        <v>60</v>
      </c>
      <c r="AW2472" s="1" t="s">
        <v>1529</v>
      </c>
      <c r="AY2472" s="1">
        <v>1.0</v>
      </c>
      <c r="AZ2472" s="1">
        <v>39.99</v>
      </c>
      <c r="BB2472" s="1">
        <v>39.99</v>
      </c>
    </row>
    <row r="2473">
      <c r="A2473" s="1" t="s">
        <v>3260</v>
      </c>
      <c r="C2473" s="1" t="s">
        <v>56</v>
      </c>
      <c r="D2473" s="1" t="s">
        <v>3698</v>
      </c>
      <c r="Y2473" s="2">
        <v>45511.0</v>
      </c>
      <c r="AE2473" s="1">
        <v>79.99</v>
      </c>
      <c r="AG2473" s="3" t="str">
        <f t="shared" ref="AG2473:AG2475" si="95">"2000006139717593"</f>
        <v>2000006139717593</v>
      </c>
      <c r="AH2473" s="1" t="s">
        <v>58</v>
      </c>
      <c r="AI2473" s="1" t="s">
        <v>59</v>
      </c>
      <c r="AJ2473" s="1" t="s">
        <v>59</v>
      </c>
      <c r="AK2473" s="1" t="s">
        <v>60</v>
      </c>
      <c r="AL2473" s="1" t="s">
        <v>60</v>
      </c>
      <c r="AW2473" s="1" t="s">
        <v>3262</v>
      </c>
      <c r="AY2473" s="1">
        <v>1.0</v>
      </c>
      <c r="AZ2473" s="1">
        <v>79.99</v>
      </c>
      <c r="BB2473" s="1">
        <v>79.99</v>
      </c>
    </row>
    <row r="2474">
      <c r="A2474" s="1" t="s">
        <v>536</v>
      </c>
      <c r="C2474" s="1" t="s">
        <v>56</v>
      </c>
      <c r="D2474" s="1" t="s">
        <v>3698</v>
      </c>
      <c r="Y2474" s="2">
        <v>45511.0</v>
      </c>
      <c r="AE2474" s="1">
        <v>89.99</v>
      </c>
      <c r="AG2474" s="3" t="str">
        <f t="shared" si="95"/>
        <v>2000006139717593</v>
      </c>
      <c r="AH2474" s="1" t="s">
        <v>58</v>
      </c>
      <c r="AI2474" s="1" t="s">
        <v>59</v>
      </c>
      <c r="AJ2474" s="1" t="s">
        <v>59</v>
      </c>
      <c r="AK2474" s="1" t="s">
        <v>60</v>
      </c>
      <c r="AL2474" s="1" t="s">
        <v>60</v>
      </c>
      <c r="AW2474" s="1" t="s">
        <v>538</v>
      </c>
      <c r="AY2474" s="1">
        <v>1.0</v>
      </c>
      <c r="AZ2474" s="1">
        <v>89.99</v>
      </c>
      <c r="BB2474" s="1">
        <v>89.99</v>
      </c>
    </row>
    <row r="2475">
      <c r="A2475" s="1" t="s">
        <v>459</v>
      </c>
      <c r="C2475" s="1" t="s">
        <v>56</v>
      </c>
      <c r="D2475" s="1" t="s">
        <v>3698</v>
      </c>
      <c r="Y2475" s="2">
        <v>45511.0</v>
      </c>
      <c r="AE2475" s="1">
        <v>39.99</v>
      </c>
      <c r="AG2475" s="3" t="str">
        <f t="shared" si="95"/>
        <v>2000006139717593</v>
      </c>
      <c r="AH2475" s="1" t="s">
        <v>58</v>
      </c>
      <c r="AI2475" s="1" t="s">
        <v>59</v>
      </c>
      <c r="AJ2475" s="1" t="s">
        <v>59</v>
      </c>
      <c r="AK2475" s="1" t="s">
        <v>60</v>
      </c>
      <c r="AL2475" s="1" t="s">
        <v>60</v>
      </c>
      <c r="AW2475" s="1" t="s">
        <v>461</v>
      </c>
      <c r="AY2475" s="1">
        <v>1.0</v>
      </c>
      <c r="AZ2475" s="1">
        <v>39.99</v>
      </c>
      <c r="BB2475" s="1">
        <v>39.99</v>
      </c>
    </row>
    <row r="2476">
      <c r="A2476" s="1" t="s">
        <v>764</v>
      </c>
      <c r="C2476" s="1" t="s">
        <v>56</v>
      </c>
      <c r="D2476" s="1" t="s">
        <v>3699</v>
      </c>
      <c r="Y2476" s="2">
        <v>45511.0</v>
      </c>
      <c r="AE2476" s="1">
        <v>66.99</v>
      </c>
      <c r="AG2476" s="3" t="str">
        <f>"2000008971181908"</f>
        <v>2000008971181908</v>
      </c>
      <c r="AH2476" s="1" t="s">
        <v>58</v>
      </c>
      <c r="AI2476" s="1" t="s">
        <v>59</v>
      </c>
      <c r="AJ2476" s="1" t="s">
        <v>59</v>
      </c>
      <c r="AK2476" s="1" t="s">
        <v>60</v>
      </c>
      <c r="AL2476" s="1" t="s">
        <v>60</v>
      </c>
      <c r="AW2476" s="1" t="s">
        <v>766</v>
      </c>
      <c r="AY2476" s="1">
        <v>1.0</v>
      </c>
      <c r="AZ2476" s="1">
        <v>66.99</v>
      </c>
      <c r="BB2476" s="1">
        <v>66.99</v>
      </c>
    </row>
    <row r="2477">
      <c r="A2477" s="1" t="s">
        <v>1946</v>
      </c>
      <c r="C2477" s="1" t="s">
        <v>235</v>
      </c>
      <c r="D2477" s="1" t="s">
        <v>3461</v>
      </c>
      <c r="Y2477" s="2">
        <v>45511.0</v>
      </c>
      <c r="AE2477" s="1">
        <v>39.99</v>
      </c>
      <c r="AG2477" s="3" t="str">
        <f>"2000006139629417"</f>
        <v>2000006139629417</v>
      </c>
      <c r="AH2477" s="1" t="s">
        <v>58</v>
      </c>
      <c r="AI2477" s="1" t="s">
        <v>59</v>
      </c>
      <c r="AJ2477" s="1" t="s">
        <v>59</v>
      </c>
      <c r="AK2477" s="1" t="s">
        <v>60</v>
      </c>
      <c r="AL2477" s="1" t="s">
        <v>60</v>
      </c>
      <c r="AW2477" s="1" t="s">
        <v>1529</v>
      </c>
      <c r="AY2477" s="1">
        <v>1.0</v>
      </c>
      <c r="AZ2477" s="1">
        <v>39.99</v>
      </c>
      <c r="BB2477" s="1">
        <v>39.99</v>
      </c>
    </row>
    <row r="2478">
      <c r="A2478" s="1" t="s">
        <v>3491</v>
      </c>
      <c r="C2478" s="1" t="s">
        <v>56</v>
      </c>
      <c r="D2478" s="1" t="s">
        <v>3700</v>
      </c>
      <c r="Y2478" s="2">
        <v>45511.0</v>
      </c>
      <c r="AE2478" s="1">
        <v>119.99</v>
      </c>
      <c r="AG2478" s="3" t="str">
        <f>"2000006139628451"</f>
        <v>2000006139628451</v>
      </c>
      <c r="AH2478" s="1" t="s">
        <v>58</v>
      </c>
      <c r="AI2478" s="1" t="s">
        <v>59</v>
      </c>
      <c r="AJ2478" s="1" t="s">
        <v>59</v>
      </c>
      <c r="AK2478" s="1" t="s">
        <v>60</v>
      </c>
      <c r="AL2478" s="1" t="s">
        <v>60</v>
      </c>
      <c r="AW2478" s="1" t="s">
        <v>3493</v>
      </c>
      <c r="AY2478" s="1">
        <v>1.0</v>
      </c>
      <c r="AZ2478" s="1">
        <v>119.99</v>
      </c>
      <c r="BB2478" s="1">
        <v>119.99</v>
      </c>
    </row>
    <row r="2479">
      <c r="A2479" s="1" t="s">
        <v>195</v>
      </c>
      <c r="C2479" s="1" t="s">
        <v>56</v>
      </c>
      <c r="D2479" s="1" t="s">
        <v>3701</v>
      </c>
      <c r="Y2479" s="2">
        <v>45511.0</v>
      </c>
      <c r="AE2479" s="1">
        <v>47.99</v>
      </c>
      <c r="AG2479" s="3" t="str">
        <f>"2000006139182319"</f>
        <v>2000006139182319</v>
      </c>
      <c r="AH2479" s="1" t="s">
        <v>58</v>
      </c>
      <c r="AI2479" s="1" t="s">
        <v>59</v>
      </c>
      <c r="AJ2479" s="1" t="s">
        <v>59</v>
      </c>
      <c r="AK2479" s="1" t="s">
        <v>60</v>
      </c>
      <c r="AL2479" s="1" t="s">
        <v>60</v>
      </c>
      <c r="AW2479" s="1" t="s">
        <v>197</v>
      </c>
      <c r="AY2479" s="1">
        <v>1.0</v>
      </c>
      <c r="AZ2479" s="1">
        <v>47.99</v>
      </c>
      <c r="BB2479" s="1">
        <v>47.99</v>
      </c>
    </row>
    <row r="2480">
      <c r="A2480" s="1" t="s">
        <v>1060</v>
      </c>
      <c r="C2480" s="1" t="s">
        <v>56</v>
      </c>
      <c r="D2480" s="1" t="s">
        <v>3702</v>
      </c>
      <c r="Y2480" s="2">
        <v>45511.0</v>
      </c>
      <c r="AE2480" s="1">
        <v>64.48</v>
      </c>
      <c r="AG2480" s="3" t="str">
        <f>"2000008970148972"</f>
        <v>2000008970148972</v>
      </c>
      <c r="AH2480" s="1" t="s">
        <v>58</v>
      </c>
      <c r="AI2480" s="1" t="s">
        <v>59</v>
      </c>
      <c r="AJ2480" s="1" t="s">
        <v>59</v>
      </c>
      <c r="AK2480" s="1" t="s">
        <v>60</v>
      </c>
      <c r="AL2480" s="1" t="s">
        <v>60</v>
      </c>
      <c r="AW2480" s="1" t="s">
        <v>1062</v>
      </c>
      <c r="AY2480" s="1">
        <v>1.0</v>
      </c>
      <c r="AZ2480" s="1">
        <v>64.48</v>
      </c>
      <c r="BB2480" s="1">
        <v>64.48</v>
      </c>
    </row>
    <row r="2481">
      <c r="A2481" s="1" t="s">
        <v>3703</v>
      </c>
      <c r="C2481" s="1" t="s">
        <v>56</v>
      </c>
      <c r="D2481" s="1" t="s">
        <v>3704</v>
      </c>
      <c r="Y2481" s="2">
        <v>45511.0</v>
      </c>
      <c r="AE2481" s="1">
        <v>49.99</v>
      </c>
      <c r="AG2481" s="3" t="str">
        <f>"2000006138691209"</f>
        <v>2000006138691209</v>
      </c>
      <c r="AH2481" s="1" t="s">
        <v>58</v>
      </c>
      <c r="AI2481" s="1" t="s">
        <v>59</v>
      </c>
      <c r="AJ2481" s="1" t="s">
        <v>59</v>
      </c>
      <c r="AK2481" s="1" t="s">
        <v>60</v>
      </c>
      <c r="AL2481" s="1" t="s">
        <v>60</v>
      </c>
      <c r="AW2481" s="1" t="s">
        <v>3705</v>
      </c>
      <c r="AY2481" s="1">
        <v>1.0</v>
      </c>
      <c r="AZ2481" s="1">
        <v>49.99</v>
      </c>
      <c r="BB2481" s="1">
        <v>49.99</v>
      </c>
    </row>
    <row r="2482">
      <c r="A2482" s="1" t="s">
        <v>2482</v>
      </c>
      <c r="C2482" s="1" t="s">
        <v>56</v>
      </c>
      <c r="D2482" s="1" t="s">
        <v>3706</v>
      </c>
      <c r="Y2482" s="2">
        <v>45511.0</v>
      </c>
      <c r="AE2482" s="1">
        <v>84.99</v>
      </c>
      <c r="AG2482" s="3" t="str">
        <f>"2000006139010157"</f>
        <v>2000006139010157</v>
      </c>
      <c r="AH2482" s="1" t="s">
        <v>58</v>
      </c>
      <c r="AI2482" s="1" t="s">
        <v>59</v>
      </c>
      <c r="AJ2482" s="1" t="s">
        <v>59</v>
      </c>
      <c r="AK2482" s="1" t="s">
        <v>60</v>
      </c>
      <c r="AL2482" s="1" t="s">
        <v>60</v>
      </c>
      <c r="AW2482" s="1" t="s">
        <v>2484</v>
      </c>
      <c r="AY2482" s="1">
        <v>1.0</v>
      </c>
      <c r="AZ2482" s="1">
        <v>84.99</v>
      </c>
      <c r="BB2482" s="1">
        <v>84.99</v>
      </c>
    </row>
    <row r="2483">
      <c r="A2483" s="1" t="s">
        <v>3707</v>
      </c>
      <c r="C2483" s="1" t="s">
        <v>56</v>
      </c>
      <c r="D2483" s="1" t="s">
        <v>3708</v>
      </c>
      <c r="Y2483" s="2">
        <v>45511.0</v>
      </c>
      <c r="AE2483" s="1">
        <v>52.99</v>
      </c>
      <c r="AG2483" s="3" t="str">
        <f>"2000006138904529"</f>
        <v>2000006138904529</v>
      </c>
      <c r="AH2483" s="1" t="s">
        <v>58</v>
      </c>
      <c r="AI2483" s="1" t="s">
        <v>59</v>
      </c>
      <c r="AJ2483" s="1" t="s">
        <v>59</v>
      </c>
      <c r="AK2483" s="1" t="s">
        <v>60</v>
      </c>
      <c r="AL2483" s="1" t="s">
        <v>60</v>
      </c>
      <c r="AW2483" s="1" t="s">
        <v>3709</v>
      </c>
      <c r="AY2483" s="1">
        <v>1.0</v>
      </c>
      <c r="AZ2483" s="1">
        <v>52.99</v>
      </c>
      <c r="BB2483" s="1">
        <v>52.99</v>
      </c>
    </row>
    <row r="2484">
      <c r="A2484" s="1" t="s">
        <v>3710</v>
      </c>
      <c r="C2484" s="1" t="s">
        <v>56</v>
      </c>
      <c r="D2484" s="1" t="s">
        <v>3711</v>
      </c>
      <c r="Y2484" s="2">
        <v>45511.0</v>
      </c>
      <c r="AE2484" s="1">
        <v>89.99</v>
      </c>
      <c r="AG2484" s="3" t="str">
        <f>"2000006138851601"</f>
        <v>2000006138851601</v>
      </c>
      <c r="AH2484" s="1" t="s">
        <v>58</v>
      </c>
      <c r="AI2484" s="1" t="s">
        <v>59</v>
      </c>
      <c r="AJ2484" s="1" t="s">
        <v>59</v>
      </c>
      <c r="AK2484" s="1" t="s">
        <v>60</v>
      </c>
      <c r="AL2484" s="1" t="s">
        <v>60</v>
      </c>
      <c r="AW2484" s="1" t="s">
        <v>3712</v>
      </c>
      <c r="AY2484" s="1">
        <v>1.0</v>
      </c>
      <c r="AZ2484" s="1">
        <v>89.99</v>
      </c>
      <c r="BB2484" s="1">
        <v>89.99</v>
      </c>
    </row>
    <row r="2485">
      <c r="A2485" s="1" t="s">
        <v>3713</v>
      </c>
      <c r="C2485" s="1" t="s">
        <v>56</v>
      </c>
      <c r="D2485" s="1" t="s">
        <v>3714</v>
      </c>
      <c r="Y2485" s="2">
        <v>45511.0</v>
      </c>
      <c r="AE2485" s="1">
        <v>169.99</v>
      </c>
      <c r="AG2485" s="3" t="str">
        <f>"2000006138774541"</f>
        <v>2000006138774541</v>
      </c>
      <c r="AH2485" s="1" t="s">
        <v>58</v>
      </c>
      <c r="AI2485" s="1" t="s">
        <v>59</v>
      </c>
      <c r="AJ2485" s="1" t="s">
        <v>59</v>
      </c>
      <c r="AK2485" s="1" t="s">
        <v>60</v>
      </c>
      <c r="AL2485" s="1" t="s">
        <v>60</v>
      </c>
      <c r="AW2485" s="1" t="s">
        <v>3715</v>
      </c>
      <c r="AY2485" s="1">
        <v>1.0</v>
      </c>
      <c r="AZ2485" s="1">
        <v>169.99</v>
      </c>
      <c r="BB2485" s="1">
        <v>169.99</v>
      </c>
    </row>
    <row r="2486">
      <c r="A2486" s="1" t="s">
        <v>1569</v>
      </c>
      <c r="C2486" s="1" t="s">
        <v>56</v>
      </c>
      <c r="D2486" s="1" t="s">
        <v>3716</v>
      </c>
      <c r="Y2486" s="2">
        <v>45511.0</v>
      </c>
      <c r="AE2486" s="1">
        <v>119.98</v>
      </c>
      <c r="AG2486" s="3" t="str">
        <f>"2000006138768211"</f>
        <v>2000006138768211</v>
      </c>
      <c r="AH2486" s="1" t="s">
        <v>58</v>
      </c>
      <c r="AI2486" s="1" t="s">
        <v>59</v>
      </c>
      <c r="AJ2486" s="1" t="s">
        <v>59</v>
      </c>
      <c r="AK2486" s="1" t="s">
        <v>60</v>
      </c>
      <c r="AL2486" s="1" t="s">
        <v>60</v>
      </c>
      <c r="AW2486" s="1" t="s">
        <v>254</v>
      </c>
      <c r="AY2486" s="1">
        <v>2.0</v>
      </c>
      <c r="AZ2486" s="1">
        <v>59.99</v>
      </c>
      <c r="BB2486" s="1">
        <v>119.98</v>
      </c>
    </row>
    <row r="2487">
      <c r="A2487" s="1" t="s">
        <v>1360</v>
      </c>
      <c r="C2487" s="1" t="s">
        <v>56</v>
      </c>
      <c r="D2487" s="1" t="s">
        <v>3717</v>
      </c>
      <c r="Y2487" s="2">
        <v>45511.0</v>
      </c>
      <c r="AE2487" s="1">
        <v>499.99</v>
      </c>
      <c r="AG2487" s="3" t="str">
        <f>"2000006138748527"</f>
        <v>2000006138748527</v>
      </c>
      <c r="AH2487" s="1" t="s">
        <v>58</v>
      </c>
      <c r="AI2487" s="1" t="s">
        <v>59</v>
      </c>
      <c r="AJ2487" s="1" t="s">
        <v>59</v>
      </c>
      <c r="AK2487" s="1" t="s">
        <v>60</v>
      </c>
      <c r="AL2487" s="1" t="s">
        <v>60</v>
      </c>
      <c r="AW2487" s="1" t="s">
        <v>1362</v>
      </c>
      <c r="AY2487" s="1">
        <v>1.0</v>
      </c>
      <c r="AZ2487" s="1">
        <v>499.99</v>
      </c>
      <c r="BB2487" s="1">
        <v>499.99</v>
      </c>
    </row>
    <row r="2488">
      <c r="A2488" s="1" t="s">
        <v>1713</v>
      </c>
      <c r="C2488" s="1" t="s">
        <v>56</v>
      </c>
      <c r="D2488" s="1" t="s">
        <v>3718</v>
      </c>
      <c r="Y2488" s="2">
        <v>45511.0</v>
      </c>
      <c r="AE2488" s="1">
        <v>119.99</v>
      </c>
      <c r="AG2488" s="3" t="str">
        <f>"2000006138751879"</f>
        <v>2000006138751879</v>
      </c>
      <c r="AH2488" s="1" t="s">
        <v>58</v>
      </c>
      <c r="AI2488" s="1" t="s">
        <v>59</v>
      </c>
      <c r="AJ2488" s="1" t="s">
        <v>59</v>
      </c>
      <c r="AK2488" s="1" t="s">
        <v>60</v>
      </c>
      <c r="AL2488" s="1" t="s">
        <v>60</v>
      </c>
      <c r="AW2488" s="1" t="s">
        <v>1714</v>
      </c>
      <c r="AY2488" s="1">
        <v>1.0</v>
      </c>
      <c r="AZ2488" s="1">
        <v>119.99</v>
      </c>
      <c r="BB2488" s="1">
        <v>119.99</v>
      </c>
    </row>
    <row r="2489">
      <c r="A2489" s="1" t="s">
        <v>1713</v>
      </c>
      <c r="C2489" s="1" t="s">
        <v>56</v>
      </c>
      <c r="D2489" s="1" t="s">
        <v>3718</v>
      </c>
      <c r="Y2489" s="2">
        <v>45511.0</v>
      </c>
      <c r="AE2489" s="1">
        <v>119.99</v>
      </c>
      <c r="AG2489" s="3" t="str">
        <f>"2000006138751877"</f>
        <v>2000006138751877</v>
      </c>
      <c r="AH2489" s="1" t="s">
        <v>58</v>
      </c>
      <c r="AI2489" s="1" t="s">
        <v>59</v>
      </c>
      <c r="AJ2489" s="1" t="s">
        <v>59</v>
      </c>
      <c r="AK2489" s="1" t="s">
        <v>60</v>
      </c>
      <c r="AL2489" s="1" t="s">
        <v>60</v>
      </c>
      <c r="AW2489" s="1" t="s">
        <v>1714</v>
      </c>
      <c r="AY2489" s="1">
        <v>1.0</v>
      </c>
      <c r="AZ2489" s="1">
        <v>119.99</v>
      </c>
      <c r="BB2489" s="1">
        <v>119.99</v>
      </c>
    </row>
    <row r="2490">
      <c r="A2490" s="1" t="s">
        <v>3719</v>
      </c>
      <c r="C2490" s="1" t="s">
        <v>56</v>
      </c>
      <c r="D2490" s="1" t="s">
        <v>3720</v>
      </c>
      <c r="Y2490" s="2">
        <v>45511.0</v>
      </c>
      <c r="AE2490" s="1">
        <v>35.99</v>
      </c>
      <c r="AG2490" s="3" t="str">
        <f>"2000006138721979"</f>
        <v>2000006138721979</v>
      </c>
      <c r="AH2490" s="1" t="s">
        <v>58</v>
      </c>
      <c r="AI2490" s="1" t="s">
        <v>59</v>
      </c>
      <c r="AJ2490" s="1" t="s">
        <v>59</v>
      </c>
      <c r="AK2490" s="1" t="s">
        <v>60</v>
      </c>
      <c r="AL2490" s="1" t="s">
        <v>60</v>
      </c>
      <c r="AW2490" s="1" t="s">
        <v>3721</v>
      </c>
      <c r="AY2490" s="1">
        <v>1.0</v>
      </c>
      <c r="AZ2490" s="1">
        <v>35.99</v>
      </c>
      <c r="BB2490" s="1">
        <v>35.99</v>
      </c>
    </row>
    <row r="2491">
      <c r="A2491" s="1" t="s">
        <v>302</v>
      </c>
      <c r="C2491" s="1" t="s">
        <v>56</v>
      </c>
      <c r="D2491" s="1" t="s">
        <v>3722</v>
      </c>
      <c r="Y2491" s="2">
        <v>45511.0</v>
      </c>
      <c r="AE2491" s="1">
        <v>39.48</v>
      </c>
      <c r="AG2491" s="3" t="str">
        <f>"2000006138704287"</f>
        <v>2000006138704287</v>
      </c>
      <c r="AH2491" s="1" t="s">
        <v>58</v>
      </c>
      <c r="AI2491" s="1" t="s">
        <v>59</v>
      </c>
      <c r="AJ2491" s="1" t="s">
        <v>59</v>
      </c>
      <c r="AK2491" s="1" t="s">
        <v>60</v>
      </c>
      <c r="AL2491" s="1" t="s">
        <v>60</v>
      </c>
      <c r="AW2491" s="1" t="s">
        <v>304</v>
      </c>
      <c r="AY2491" s="1">
        <v>1.0</v>
      </c>
      <c r="AZ2491" s="1">
        <v>39.48</v>
      </c>
      <c r="BB2491" s="1">
        <v>39.48</v>
      </c>
    </row>
    <row r="2492">
      <c r="A2492" s="1" t="s">
        <v>1521</v>
      </c>
      <c r="C2492" s="1" t="s">
        <v>56</v>
      </c>
      <c r="D2492" s="1" t="s">
        <v>3723</v>
      </c>
      <c r="Y2492" s="2">
        <v>45511.0</v>
      </c>
      <c r="AE2492" s="1">
        <v>49.99</v>
      </c>
      <c r="AG2492" s="3" t="str">
        <f>"2000006138698257"</f>
        <v>2000006138698257</v>
      </c>
      <c r="AH2492" s="1" t="s">
        <v>58</v>
      </c>
      <c r="AI2492" s="1" t="s">
        <v>59</v>
      </c>
      <c r="AJ2492" s="1" t="s">
        <v>59</v>
      </c>
      <c r="AK2492" s="1" t="s">
        <v>60</v>
      </c>
      <c r="AL2492" s="1" t="s">
        <v>60</v>
      </c>
      <c r="AW2492" s="1" t="s">
        <v>1523</v>
      </c>
      <c r="AY2492" s="1">
        <v>1.0</v>
      </c>
      <c r="AZ2492" s="1">
        <v>49.99</v>
      </c>
      <c r="BB2492" s="1">
        <v>49.99</v>
      </c>
    </row>
    <row r="2493">
      <c r="A2493" s="1" t="s">
        <v>1371</v>
      </c>
      <c r="C2493" s="1" t="s">
        <v>56</v>
      </c>
      <c r="D2493" s="1" t="s">
        <v>3724</v>
      </c>
      <c r="Y2493" s="2">
        <v>45511.0</v>
      </c>
      <c r="AE2493" s="1">
        <v>99.99</v>
      </c>
      <c r="AG2493" s="3" t="str">
        <f>"2000006138674561"</f>
        <v>2000006138674561</v>
      </c>
      <c r="AH2493" s="1" t="s">
        <v>58</v>
      </c>
      <c r="AI2493" s="1" t="s">
        <v>59</v>
      </c>
      <c r="AJ2493" s="1" t="s">
        <v>59</v>
      </c>
      <c r="AK2493" s="1" t="s">
        <v>60</v>
      </c>
      <c r="AL2493" s="1" t="s">
        <v>60</v>
      </c>
      <c r="AW2493" s="1" t="s">
        <v>1373</v>
      </c>
      <c r="AY2493" s="1">
        <v>1.0</v>
      </c>
      <c r="AZ2493" s="1">
        <v>99.99</v>
      </c>
      <c r="BB2493" s="1">
        <v>99.99</v>
      </c>
    </row>
    <row r="2494">
      <c r="A2494" s="1" t="s">
        <v>3228</v>
      </c>
      <c r="C2494" s="1" t="s">
        <v>56</v>
      </c>
      <c r="D2494" s="1" t="s">
        <v>3725</v>
      </c>
      <c r="Y2494" s="2">
        <v>45511.0</v>
      </c>
      <c r="AE2494" s="1">
        <v>169.99</v>
      </c>
      <c r="AG2494" s="3" t="str">
        <f>"2000006138667971"</f>
        <v>2000006138667971</v>
      </c>
      <c r="AH2494" s="1" t="s">
        <v>58</v>
      </c>
      <c r="AI2494" s="1" t="s">
        <v>59</v>
      </c>
      <c r="AJ2494" s="1" t="s">
        <v>59</v>
      </c>
      <c r="AK2494" s="1" t="s">
        <v>60</v>
      </c>
      <c r="AL2494" s="1" t="s">
        <v>60</v>
      </c>
      <c r="AW2494" s="1" t="s">
        <v>3230</v>
      </c>
      <c r="AY2494" s="1">
        <v>1.0</v>
      </c>
      <c r="AZ2494" s="1">
        <v>169.99</v>
      </c>
      <c r="BB2494" s="1">
        <v>169.99</v>
      </c>
    </row>
    <row r="2495">
      <c r="A2495" s="1" t="s">
        <v>3726</v>
      </c>
      <c r="C2495" s="1" t="s">
        <v>56</v>
      </c>
      <c r="D2495" s="1" t="s">
        <v>3727</v>
      </c>
      <c r="Y2495" s="2">
        <v>45511.0</v>
      </c>
      <c r="AE2495" s="1">
        <v>69.99</v>
      </c>
      <c r="AG2495" s="3" t="str">
        <f>"2000006138647943"</f>
        <v>2000006138647943</v>
      </c>
      <c r="AH2495" s="1" t="s">
        <v>58</v>
      </c>
      <c r="AI2495" s="1" t="s">
        <v>59</v>
      </c>
      <c r="AJ2495" s="1" t="s">
        <v>59</v>
      </c>
      <c r="AK2495" s="1" t="s">
        <v>60</v>
      </c>
      <c r="AL2495" s="1" t="s">
        <v>60</v>
      </c>
      <c r="AW2495" s="1" t="s">
        <v>999</v>
      </c>
      <c r="AY2495" s="1">
        <v>1.0</v>
      </c>
      <c r="AZ2495" s="1">
        <v>69.99</v>
      </c>
      <c r="BB2495" s="1">
        <v>69.99</v>
      </c>
    </row>
    <row r="2496">
      <c r="A2496" s="1" t="s">
        <v>2959</v>
      </c>
      <c r="C2496" s="1" t="s">
        <v>56</v>
      </c>
      <c r="D2496" s="1" t="s">
        <v>3728</v>
      </c>
      <c r="Y2496" s="2">
        <v>45511.0</v>
      </c>
      <c r="AE2496" s="1">
        <v>134.99</v>
      </c>
      <c r="AG2496" s="3" t="str">
        <f>"2000006138639769"</f>
        <v>2000006138639769</v>
      </c>
      <c r="AH2496" s="1" t="s">
        <v>58</v>
      </c>
      <c r="AI2496" s="1" t="s">
        <v>59</v>
      </c>
      <c r="AJ2496" s="1" t="s">
        <v>59</v>
      </c>
      <c r="AK2496" s="1" t="s">
        <v>60</v>
      </c>
      <c r="AL2496" s="1" t="s">
        <v>60</v>
      </c>
      <c r="AW2496" s="1" t="s">
        <v>2961</v>
      </c>
      <c r="AY2496" s="1">
        <v>1.0</v>
      </c>
      <c r="AZ2496" s="1">
        <v>134.99</v>
      </c>
      <c r="BB2496" s="1">
        <v>134.99</v>
      </c>
    </row>
    <row r="2497">
      <c r="A2497" s="1" t="s">
        <v>2174</v>
      </c>
      <c r="C2497" s="1" t="s">
        <v>56</v>
      </c>
      <c r="D2497" s="1" t="s">
        <v>3729</v>
      </c>
      <c r="Y2497" s="2">
        <v>45511.0</v>
      </c>
      <c r="AE2497" s="1">
        <v>64.99</v>
      </c>
      <c r="AG2497" s="3" t="str">
        <f>"2000006138626235"</f>
        <v>2000006138626235</v>
      </c>
      <c r="AH2497" s="1" t="s">
        <v>58</v>
      </c>
      <c r="AI2497" s="1" t="s">
        <v>59</v>
      </c>
      <c r="AJ2497" s="1" t="s">
        <v>59</v>
      </c>
      <c r="AK2497" s="1" t="s">
        <v>60</v>
      </c>
      <c r="AL2497" s="1" t="s">
        <v>60</v>
      </c>
      <c r="AW2497" s="1" t="s">
        <v>2176</v>
      </c>
      <c r="AY2497" s="1">
        <v>1.0</v>
      </c>
      <c r="AZ2497" s="1">
        <v>64.99</v>
      </c>
      <c r="BB2497" s="1">
        <v>64.99</v>
      </c>
    </row>
    <row r="2498">
      <c r="A2498" s="1" t="s">
        <v>3730</v>
      </c>
      <c r="C2498" s="1" t="s">
        <v>56</v>
      </c>
      <c r="D2498" s="1" t="s">
        <v>3731</v>
      </c>
      <c r="Y2498" s="2">
        <v>45511.0</v>
      </c>
      <c r="AE2498" s="1">
        <v>64.99</v>
      </c>
      <c r="AG2498" s="3" t="str">
        <f>"2000006138620235"</f>
        <v>2000006138620235</v>
      </c>
      <c r="AH2498" s="1" t="s">
        <v>58</v>
      </c>
      <c r="AI2498" s="1" t="s">
        <v>59</v>
      </c>
      <c r="AJ2498" s="1" t="s">
        <v>59</v>
      </c>
      <c r="AK2498" s="1" t="s">
        <v>60</v>
      </c>
      <c r="AL2498" s="1" t="s">
        <v>60</v>
      </c>
      <c r="AW2498" s="1" t="s">
        <v>3732</v>
      </c>
      <c r="AY2498" s="1">
        <v>1.0</v>
      </c>
      <c r="AZ2498" s="1">
        <v>64.99</v>
      </c>
      <c r="BB2498" s="1">
        <v>64.99</v>
      </c>
    </row>
    <row r="2499">
      <c r="A2499" s="1" t="s">
        <v>2370</v>
      </c>
      <c r="C2499" s="1" t="s">
        <v>56</v>
      </c>
      <c r="D2499" s="1" t="s">
        <v>3733</v>
      </c>
      <c r="Y2499" s="2">
        <v>45511.0</v>
      </c>
      <c r="AE2499" s="1">
        <v>114.99</v>
      </c>
      <c r="AG2499" s="3" t="str">
        <f>"2000006138602305"</f>
        <v>2000006138602305</v>
      </c>
      <c r="AH2499" s="1" t="s">
        <v>58</v>
      </c>
      <c r="AI2499" s="1" t="s">
        <v>59</v>
      </c>
      <c r="AJ2499" s="1" t="s">
        <v>59</v>
      </c>
      <c r="AK2499" s="1" t="s">
        <v>60</v>
      </c>
      <c r="AL2499" s="1" t="s">
        <v>60</v>
      </c>
      <c r="AW2499" s="1" t="s">
        <v>2372</v>
      </c>
      <c r="AY2499" s="1">
        <v>1.0</v>
      </c>
      <c r="AZ2499" s="1">
        <v>114.99</v>
      </c>
      <c r="BB2499" s="1">
        <v>114.99</v>
      </c>
    </row>
    <row r="2500">
      <c r="A2500" s="1" t="s">
        <v>768</v>
      </c>
      <c r="C2500" s="1" t="s">
        <v>56</v>
      </c>
      <c r="D2500" s="1" t="s">
        <v>3734</v>
      </c>
      <c r="Y2500" s="2">
        <v>45511.0</v>
      </c>
      <c r="AE2500" s="1">
        <v>159.99</v>
      </c>
      <c r="AG2500" s="3" t="str">
        <f>"2000006138604305"</f>
        <v>2000006138604305</v>
      </c>
      <c r="AH2500" s="1" t="s">
        <v>58</v>
      </c>
      <c r="AI2500" s="1" t="s">
        <v>59</v>
      </c>
      <c r="AJ2500" s="1" t="s">
        <v>59</v>
      </c>
      <c r="AK2500" s="1" t="s">
        <v>60</v>
      </c>
      <c r="AL2500" s="1" t="s">
        <v>60</v>
      </c>
      <c r="AW2500" s="1" t="s">
        <v>770</v>
      </c>
      <c r="AY2500" s="1">
        <v>1.0</v>
      </c>
      <c r="AZ2500" s="1">
        <v>159.99</v>
      </c>
      <c r="BB2500" s="1">
        <v>159.99</v>
      </c>
    </row>
    <row r="2501">
      <c r="A2501" s="1" t="s">
        <v>1324</v>
      </c>
      <c r="C2501" s="1" t="s">
        <v>56</v>
      </c>
      <c r="D2501" s="1" t="s">
        <v>3735</v>
      </c>
      <c r="Y2501" s="2">
        <v>45511.0</v>
      </c>
      <c r="AE2501" s="1">
        <v>36.68</v>
      </c>
      <c r="AG2501" s="3" t="str">
        <f t="shared" ref="AG2501:AG2504" si="96">"2000006138600893"</f>
        <v>2000006138600893</v>
      </c>
      <c r="AH2501" s="1" t="s">
        <v>58</v>
      </c>
      <c r="AI2501" s="1" t="s">
        <v>59</v>
      </c>
      <c r="AJ2501" s="1" t="s">
        <v>59</v>
      </c>
      <c r="AK2501" s="1" t="s">
        <v>60</v>
      </c>
      <c r="AL2501" s="1" t="s">
        <v>60</v>
      </c>
      <c r="AW2501" s="1" t="s">
        <v>3736</v>
      </c>
      <c r="AY2501" s="1">
        <v>1.0</v>
      </c>
      <c r="AZ2501" s="1">
        <v>36.68</v>
      </c>
      <c r="BB2501" s="1">
        <v>36.68</v>
      </c>
    </row>
    <row r="2502">
      <c r="A2502" s="1" t="s">
        <v>921</v>
      </c>
      <c r="C2502" s="1" t="s">
        <v>56</v>
      </c>
      <c r="D2502" s="1" t="s">
        <v>3735</v>
      </c>
      <c r="Y2502" s="2">
        <v>45511.0</v>
      </c>
      <c r="AE2502" s="1">
        <v>36.68</v>
      </c>
      <c r="AG2502" s="3" t="str">
        <f t="shared" si="96"/>
        <v>2000006138600893</v>
      </c>
      <c r="AH2502" s="1" t="s">
        <v>58</v>
      </c>
      <c r="AI2502" s="1" t="s">
        <v>59</v>
      </c>
      <c r="AJ2502" s="1" t="s">
        <v>59</v>
      </c>
      <c r="AK2502" s="1" t="s">
        <v>60</v>
      </c>
      <c r="AL2502" s="1" t="s">
        <v>60</v>
      </c>
      <c r="AW2502" s="1" t="s">
        <v>3736</v>
      </c>
      <c r="AY2502" s="1">
        <v>1.0</v>
      </c>
      <c r="AZ2502" s="1">
        <v>36.68</v>
      </c>
      <c r="BB2502" s="1">
        <v>36.68</v>
      </c>
    </row>
    <row r="2503">
      <c r="A2503" s="1" t="s">
        <v>195</v>
      </c>
      <c r="C2503" s="1" t="s">
        <v>56</v>
      </c>
      <c r="D2503" s="1" t="s">
        <v>3735</v>
      </c>
      <c r="Y2503" s="2">
        <v>45511.0</v>
      </c>
      <c r="AE2503" s="1">
        <v>47.99</v>
      </c>
      <c r="AG2503" s="3" t="str">
        <f t="shared" si="96"/>
        <v>2000006138600893</v>
      </c>
      <c r="AH2503" s="1" t="s">
        <v>58</v>
      </c>
      <c r="AI2503" s="1" t="s">
        <v>59</v>
      </c>
      <c r="AJ2503" s="1" t="s">
        <v>59</v>
      </c>
      <c r="AK2503" s="1" t="s">
        <v>60</v>
      </c>
      <c r="AL2503" s="1" t="s">
        <v>60</v>
      </c>
      <c r="AW2503" s="1" t="s">
        <v>3737</v>
      </c>
      <c r="AY2503" s="1">
        <v>1.0</v>
      </c>
      <c r="AZ2503" s="1">
        <v>47.99</v>
      </c>
      <c r="BB2503" s="1">
        <v>47.99</v>
      </c>
    </row>
    <row r="2504">
      <c r="A2504" s="1" t="s">
        <v>3738</v>
      </c>
      <c r="C2504" s="1" t="s">
        <v>56</v>
      </c>
      <c r="D2504" s="1" t="s">
        <v>3735</v>
      </c>
      <c r="Y2504" s="2">
        <v>45511.0</v>
      </c>
      <c r="AE2504" s="1">
        <v>189.99</v>
      </c>
      <c r="AG2504" s="3" t="str">
        <f t="shared" si="96"/>
        <v>2000006138600893</v>
      </c>
      <c r="AH2504" s="1" t="s">
        <v>58</v>
      </c>
      <c r="AI2504" s="1" t="s">
        <v>59</v>
      </c>
      <c r="AJ2504" s="1" t="s">
        <v>59</v>
      </c>
      <c r="AK2504" s="1" t="s">
        <v>60</v>
      </c>
      <c r="AL2504" s="1" t="s">
        <v>60</v>
      </c>
      <c r="AW2504" s="1" t="s">
        <v>3739</v>
      </c>
      <c r="AY2504" s="1">
        <v>1.0</v>
      </c>
      <c r="AZ2504" s="1">
        <v>189.99</v>
      </c>
      <c r="BB2504" s="1">
        <v>189.99</v>
      </c>
    </row>
    <row r="2505">
      <c r="A2505" s="1" t="s">
        <v>3740</v>
      </c>
      <c r="C2505" s="1" t="s">
        <v>56</v>
      </c>
      <c r="D2505" s="1" t="s">
        <v>3741</v>
      </c>
      <c r="Y2505" s="2">
        <v>45511.0</v>
      </c>
      <c r="AE2505" s="1">
        <v>99.99</v>
      </c>
      <c r="AG2505" s="3" t="str">
        <f>"2000006138581643"</f>
        <v>2000006138581643</v>
      </c>
      <c r="AH2505" s="1" t="s">
        <v>58</v>
      </c>
      <c r="AI2505" s="1" t="s">
        <v>59</v>
      </c>
      <c r="AJ2505" s="1" t="s">
        <v>59</v>
      </c>
      <c r="AK2505" s="1" t="s">
        <v>60</v>
      </c>
      <c r="AL2505" s="1" t="s">
        <v>60</v>
      </c>
      <c r="AW2505" s="1" t="s">
        <v>3742</v>
      </c>
      <c r="AY2505" s="1">
        <v>1.0</v>
      </c>
      <c r="AZ2505" s="1">
        <v>99.99</v>
      </c>
      <c r="BB2505" s="1">
        <v>99.99</v>
      </c>
    </row>
    <row r="2506">
      <c r="A2506" s="1" t="s">
        <v>3743</v>
      </c>
      <c r="C2506" s="1" t="s">
        <v>56</v>
      </c>
      <c r="D2506" s="1" t="s">
        <v>3744</v>
      </c>
      <c r="Y2506" s="2">
        <v>45511.0</v>
      </c>
      <c r="AE2506" s="1">
        <v>79.99</v>
      </c>
      <c r="AG2506" s="3" t="str">
        <f>"2000006138589079"</f>
        <v>2000006138589079</v>
      </c>
      <c r="AH2506" s="1" t="s">
        <v>58</v>
      </c>
      <c r="AI2506" s="1" t="s">
        <v>59</v>
      </c>
      <c r="AJ2506" s="1" t="s">
        <v>59</v>
      </c>
      <c r="AK2506" s="1" t="s">
        <v>60</v>
      </c>
      <c r="AL2506" s="1" t="s">
        <v>60</v>
      </c>
      <c r="AW2506" s="1" t="s">
        <v>3745</v>
      </c>
      <c r="AY2506" s="1">
        <v>1.0</v>
      </c>
      <c r="AZ2506" s="1">
        <v>79.99</v>
      </c>
      <c r="BB2506" s="1">
        <v>79.99</v>
      </c>
    </row>
    <row r="2507">
      <c r="A2507" s="1" t="s">
        <v>680</v>
      </c>
      <c r="C2507" s="1" t="s">
        <v>56</v>
      </c>
      <c r="D2507" s="1" t="s">
        <v>3746</v>
      </c>
      <c r="Y2507" s="2">
        <v>45511.0</v>
      </c>
      <c r="AE2507" s="1">
        <v>99.99</v>
      </c>
      <c r="AG2507" s="3" t="str">
        <f>"2000006138586431"</f>
        <v>2000006138586431</v>
      </c>
      <c r="AH2507" s="1" t="s">
        <v>58</v>
      </c>
      <c r="AI2507" s="1" t="s">
        <v>59</v>
      </c>
      <c r="AJ2507" s="1" t="s">
        <v>59</v>
      </c>
      <c r="AK2507" s="1" t="s">
        <v>60</v>
      </c>
      <c r="AL2507" s="1" t="s">
        <v>60</v>
      </c>
      <c r="AW2507" s="1" t="s">
        <v>682</v>
      </c>
      <c r="AY2507" s="1">
        <v>1.0</v>
      </c>
      <c r="AZ2507" s="1">
        <v>99.99</v>
      </c>
      <c r="BB2507" s="1">
        <v>99.99</v>
      </c>
    </row>
    <row r="2508">
      <c r="A2508" s="1" t="s">
        <v>77</v>
      </c>
      <c r="C2508" s="1" t="s">
        <v>56</v>
      </c>
      <c r="D2508" s="1" t="s">
        <v>3747</v>
      </c>
      <c r="Y2508" s="2">
        <v>45511.0</v>
      </c>
      <c r="AE2508" s="1">
        <v>64.99</v>
      </c>
      <c r="AG2508" s="3" t="str">
        <f>"2000006138583063"</f>
        <v>2000006138583063</v>
      </c>
      <c r="AH2508" s="1" t="s">
        <v>58</v>
      </c>
      <c r="AI2508" s="1" t="s">
        <v>59</v>
      </c>
      <c r="AJ2508" s="1" t="s">
        <v>59</v>
      </c>
      <c r="AK2508" s="1" t="s">
        <v>60</v>
      </c>
      <c r="AL2508" s="1" t="s">
        <v>60</v>
      </c>
      <c r="AW2508" s="1" t="s">
        <v>79</v>
      </c>
      <c r="AY2508" s="1">
        <v>1.0</v>
      </c>
      <c r="AZ2508" s="1">
        <v>64.99</v>
      </c>
      <c r="BB2508" s="1">
        <v>64.99</v>
      </c>
    </row>
    <row r="2509">
      <c r="A2509" s="1" t="s">
        <v>502</v>
      </c>
      <c r="C2509" s="1" t="s">
        <v>56</v>
      </c>
      <c r="D2509" s="1" t="s">
        <v>3748</v>
      </c>
      <c r="Y2509" s="2">
        <v>45511.0</v>
      </c>
      <c r="AE2509" s="1">
        <v>99.99</v>
      </c>
      <c r="AG2509" s="3" t="str">
        <f>"2000006138581859"</f>
        <v>2000006138581859</v>
      </c>
      <c r="AH2509" s="1" t="s">
        <v>58</v>
      </c>
      <c r="AI2509" s="1" t="s">
        <v>59</v>
      </c>
      <c r="AJ2509" s="1" t="s">
        <v>59</v>
      </c>
      <c r="AK2509" s="1" t="s">
        <v>60</v>
      </c>
      <c r="AL2509" s="1" t="s">
        <v>60</v>
      </c>
      <c r="AW2509" s="1" t="s">
        <v>504</v>
      </c>
      <c r="AY2509" s="1">
        <v>1.0</v>
      </c>
      <c r="AZ2509" s="1">
        <v>99.99</v>
      </c>
      <c r="BB2509" s="1">
        <v>99.99</v>
      </c>
    </row>
    <row r="2510">
      <c r="A2510" s="1" t="s">
        <v>175</v>
      </c>
      <c r="C2510" s="1" t="s">
        <v>56</v>
      </c>
      <c r="D2510" s="1" t="s">
        <v>3749</v>
      </c>
      <c r="Y2510" s="2">
        <v>45511.0</v>
      </c>
      <c r="AE2510" s="1">
        <v>199.99</v>
      </c>
      <c r="AG2510" s="3" t="str">
        <f>"2000006138554947"</f>
        <v>2000006138554947</v>
      </c>
      <c r="AH2510" s="1" t="s">
        <v>58</v>
      </c>
      <c r="AI2510" s="1" t="s">
        <v>59</v>
      </c>
      <c r="AJ2510" s="1" t="s">
        <v>59</v>
      </c>
      <c r="AK2510" s="1" t="s">
        <v>60</v>
      </c>
      <c r="AL2510" s="1" t="s">
        <v>60</v>
      </c>
      <c r="AW2510" s="1" t="s">
        <v>177</v>
      </c>
      <c r="AY2510" s="1">
        <v>1.0</v>
      </c>
      <c r="AZ2510" s="1">
        <v>199.99</v>
      </c>
      <c r="BB2510" s="1">
        <v>199.99</v>
      </c>
    </row>
    <row r="2511">
      <c r="A2511" s="1" t="s">
        <v>1836</v>
      </c>
      <c r="C2511" s="1" t="s">
        <v>56</v>
      </c>
      <c r="D2511" s="1" t="s">
        <v>985</v>
      </c>
      <c r="Y2511" s="2">
        <v>45511.0</v>
      </c>
      <c r="AE2511" s="1">
        <v>49.99</v>
      </c>
      <c r="AG2511" s="3" t="str">
        <f>"2000006138563901"</f>
        <v>2000006138563901</v>
      </c>
      <c r="AH2511" s="1" t="s">
        <v>58</v>
      </c>
      <c r="AI2511" s="1" t="s">
        <v>59</v>
      </c>
      <c r="AJ2511" s="1" t="s">
        <v>59</v>
      </c>
      <c r="AK2511" s="1" t="s">
        <v>60</v>
      </c>
      <c r="AL2511" s="1" t="s">
        <v>60</v>
      </c>
      <c r="AW2511" s="1" t="s">
        <v>1838</v>
      </c>
      <c r="AY2511" s="1">
        <v>1.0</v>
      </c>
      <c r="AZ2511" s="1">
        <v>49.99</v>
      </c>
      <c r="BB2511" s="1">
        <v>49.99</v>
      </c>
    </row>
    <row r="2512">
      <c r="A2512" s="1" t="s">
        <v>3750</v>
      </c>
      <c r="C2512" s="1" t="s">
        <v>56</v>
      </c>
      <c r="D2512" s="1" t="s">
        <v>3751</v>
      </c>
      <c r="Y2512" s="2">
        <v>45511.0</v>
      </c>
      <c r="AE2512" s="1">
        <v>64.99</v>
      </c>
      <c r="AG2512" s="3" t="str">
        <f>"2000008968988868"</f>
        <v>2000008968988868</v>
      </c>
      <c r="AH2512" s="1" t="s">
        <v>58</v>
      </c>
      <c r="AI2512" s="1" t="s">
        <v>59</v>
      </c>
      <c r="AJ2512" s="1" t="s">
        <v>59</v>
      </c>
      <c r="AK2512" s="1" t="s">
        <v>60</v>
      </c>
      <c r="AL2512" s="1" t="s">
        <v>60</v>
      </c>
      <c r="AW2512" s="1" t="s">
        <v>1190</v>
      </c>
      <c r="AY2512" s="1">
        <v>1.0</v>
      </c>
      <c r="AZ2512" s="1">
        <v>64.99</v>
      </c>
      <c r="BB2512" s="1">
        <v>64.99</v>
      </c>
    </row>
    <row r="2513">
      <c r="A2513" s="1" t="s">
        <v>3589</v>
      </c>
      <c r="C2513" s="1" t="s">
        <v>56</v>
      </c>
      <c r="D2513" s="1" t="s">
        <v>3752</v>
      </c>
      <c r="Y2513" s="2">
        <v>45511.0</v>
      </c>
      <c r="AE2513" s="1">
        <v>49.99</v>
      </c>
      <c r="AG2513" s="3" t="str">
        <f>"2000006138550153"</f>
        <v>2000006138550153</v>
      </c>
      <c r="AH2513" s="1" t="s">
        <v>58</v>
      </c>
      <c r="AI2513" s="1" t="s">
        <v>59</v>
      </c>
      <c r="AJ2513" s="1" t="s">
        <v>59</v>
      </c>
      <c r="AK2513" s="1" t="s">
        <v>60</v>
      </c>
      <c r="AL2513" s="1" t="s">
        <v>60</v>
      </c>
      <c r="AW2513" s="1" t="s">
        <v>3591</v>
      </c>
      <c r="AY2513" s="1">
        <v>1.0</v>
      </c>
      <c r="AZ2513" s="1">
        <v>49.99</v>
      </c>
      <c r="BB2513" s="1">
        <v>49.99</v>
      </c>
    </row>
    <row r="2514">
      <c r="A2514" s="1" t="s">
        <v>175</v>
      </c>
      <c r="C2514" s="1" t="s">
        <v>56</v>
      </c>
      <c r="D2514" s="1" t="s">
        <v>3753</v>
      </c>
      <c r="Y2514" s="2">
        <v>45511.0</v>
      </c>
      <c r="AE2514" s="1">
        <v>199.99</v>
      </c>
      <c r="AG2514" s="3" t="str">
        <f>"2000006138535553"</f>
        <v>2000006138535553</v>
      </c>
      <c r="AH2514" s="1" t="s">
        <v>58</v>
      </c>
      <c r="AI2514" s="1" t="s">
        <v>59</v>
      </c>
      <c r="AJ2514" s="1" t="s">
        <v>59</v>
      </c>
      <c r="AK2514" s="1" t="s">
        <v>60</v>
      </c>
      <c r="AL2514" s="1" t="s">
        <v>60</v>
      </c>
      <c r="AW2514" s="1" t="s">
        <v>177</v>
      </c>
      <c r="AY2514" s="1">
        <v>1.0</v>
      </c>
      <c r="AZ2514" s="1">
        <v>199.99</v>
      </c>
      <c r="BB2514" s="1">
        <v>199.99</v>
      </c>
    </row>
    <row r="2515">
      <c r="A2515" s="1" t="s">
        <v>3217</v>
      </c>
      <c r="C2515" s="1" t="s">
        <v>56</v>
      </c>
      <c r="D2515" s="1" t="s">
        <v>3754</v>
      </c>
      <c r="Y2515" s="2">
        <v>45511.0</v>
      </c>
      <c r="AE2515" s="1">
        <v>59.99</v>
      </c>
      <c r="AG2515" s="3" t="str">
        <f>"2000006138525521"</f>
        <v>2000006138525521</v>
      </c>
      <c r="AH2515" s="1" t="s">
        <v>58</v>
      </c>
      <c r="AI2515" s="1" t="s">
        <v>59</v>
      </c>
      <c r="AJ2515" s="1" t="s">
        <v>59</v>
      </c>
      <c r="AK2515" s="1" t="s">
        <v>60</v>
      </c>
      <c r="AL2515" s="1" t="s">
        <v>60</v>
      </c>
      <c r="AW2515" s="1" t="s">
        <v>3219</v>
      </c>
      <c r="AY2515" s="1">
        <v>1.0</v>
      </c>
      <c r="AZ2515" s="1">
        <v>59.99</v>
      </c>
      <c r="BB2515" s="1">
        <v>59.99</v>
      </c>
    </row>
    <row r="2516">
      <c r="A2516" s="1" t="s">
        <v>2243</v>
      </c>
      <c r="C2516" s="1" t="s">
        <v>56</v>
      </c>
      <c r="D2516" s="1" t="s">
        <v>3755</v>
      </c>
      <c r="Y2516" s="2">
        <v>45511.0</v>
      </c>
      <c r="AE2516" s="1">
        <v>64.99</v>
      </c>
      <c r="AG2516" s="3" t="str">
        <f>"2000006138522415"</f>
        <v>2000006138522415</v>
      </c>
      <c r="AH2516" s="1" t="s">
        <v>58</v>
      </c>
      <c r="AI2516" s="1" t="s">
        <v>59</v>
      </c>
      <c r="AJ2516" s="1" t="s">
        <v>59</v>
      </c>
      <c r="AK2516" s="1" t="s">
        <v>60</v>
      </c>
      <c r="AL2516" s="1" t="s">
        <v>60</v>
      </c>
      <c r="AW2516" s="1" t="s">
        <v>2245</v>
      </c>
      <c r="AY2516" s="1">
        <v>1.0</v>
      </c>
      <c r="AZ2516" s="1">
        <v>64.99</v>
      </c>
      <c r="BB2516" s="1">
        <v>64.99</v>
      </c>
    </row>
    <row r="2517">
      <c r="A2517" s="1" t="s">
        <v>383</v>
      </c>
      <c r="C2517" s="1" t="s">
        <v>56</v>
      </c>
      <c r="D2517" s="1" t="s">
        <v>3756</v>
      </c>
      <c r="Y2517" s="2">
        <v>45511.0</v>
      </c>
      <c r="AE2517" s="1">
        <v>159.99</v>
      </c>
      <c r="AG2517" s="3" t="str">
        <f>"2000006138507267"</f>
        <v>2000006138507267</v>
      </c>
      <c r="AH2517" s="1" t="s">
        <v>58</v>
      </c>
      <c r="AI2517" s="1" t="s">
        <v>59</v>
      </c>
      <c r="AJ2517" s="1" t="s">
        <v>59</v>
      </c>
      <c r="AK2517" s="1" t="s">
        <v>60</v>
      </c>
      <c r="AL2517" s="1" t="s">
        <v>60</v>
      </c>
      <c r="AW2517" s="1" t="s">
        <v>385</v>
      </c>
      <c r="AY2517" s="1">
        <v>1.0</v>
      </c>
      <c r="AZ2517" s="1">
        <v>159.99</v>
      </c>
      <c r="BB2517" s="1">
        <v>159.99</v>
      </c>
    </row>
    <row r="2518">
      <c r="A2518" s="1" t="s">
        <v>960</v>
      </c>
      <c r="C2518" s="1" t="s">
        <v>56</v>
      </c>
      <c r="D2518" s="1" t="s">
        <v>3757</v>
      </c>
      <c r="Y2518" s="2">
        <v>45511.0</v>
      </c>
      <c r="AE2518" s="1">
        <v>129.99</v>
      </c>
      <c r="AG2518" s="3" t="str">
        <f>"2000006138500833"</f>
        <v>2000006138500833</v>
      </c>
      <c r="AH2518" s="1" t="s">
        <v>58</v>
      </c>
      <c r="AI2518" s="1" t="s">
        <v>59</v>
      </c>
      <c r="AJ2518" s="1" t="s">
        <v>59</v>
      </c>
      <c r="AK2518" s="1" t="s">
        <v>60</v>
      </c>
      <c r="AL2518" s="1" t="s">
        <v>60</v>
      </c>
      <c r="AW2518" s="1" t="s">
        <v>763</v>
      </c>
      <c r="AY2518" s="1">
        <v>1.0</v>
      </c>
      <c r="AZ2518" s="1">
        <v>129.99</v>
      </c>
      <c r="BB2518" s="1">
        <v>129.99</v>
      </c>
    </row>
    <row r="2519">
      <c r="A2519" s="1" t="s">
        <v>1103</v>
      </c>
      <c r="C2519" s="1" t="s">
        <v>56</v>
      </c>
      <c r="D2519" s="1" t="s">
        <v>2871</v>
      </c>
      <c r="Y2519" s="2">
        <v>45511.0</v>
      </c>
      <c r="AE2519" s="1">
        <v>59.99</v>
      </c>
      <c r="AG2519" s="3" t="str">
        <f>"2000006138505873"</f>
        <v>2000006138505873</v>
      </c>
      <c r="AH2519" s="1" t="s">
        <v>58</v>
      </c>
      <c r="AI2519" s="1" t="s">
        <v>59</v>
      </c>
      <c r="AJ2519" s="1" t="s">
        <v>59</v>
      </c>
      <c r="AK2519" s="1" t="s">
        <v>60</v>
      </c>
      <c r="AL2519" s="1" t="s">
        <v>60</v>
      </c>
      <c r="AW2519" s="1" t="s">
        <v>1105</v>
      </c>
      <c r="AY2519" s="1">
        <v>1.0</v>
      </c>
      <c r="AZ2519" s="1">
        <v>59.99</v>
      </c>
      <c r="BB2519" s="1">
        <v>59.99</v>
      </c>
    </row>
    <row r="2520">
      <c r="A2520" s="1" t="s">
        <v>933</v>
      </c>
      <c r="C2520" s="1" t="s">
        <v>56</v>
      </c>
      <c r="D2520" s="1" t="s">
        <v>3758</v>
      </c>
      <c r="Y2520" s="2">
        <v>45511.0</v>
      </c>
      <c r="AE2520" s="1">
        <v>79.99</v>
      </c>
      <c r="AG2520" s="3" t="str">
        <f>"2000008968883794"</f>
        <v>2000008968883794</v>
      </c>
      <c r="AH2520" s="1" t="s">
        <v>58</v>
      </c>
      <c r="AI2520" s="1" t="s">
        <v>59</v>
      </c>
      <c r="AJ2520" s="1" t="s">
        <v>59</v>
      </c>
      <c r="AK2520" s="1" t="s">
        <v>60</v>
      </c>
      <c r="AL2520" s="1" t="s">
        <v>60</v>
      </c>
      <c r="AW2520" s="1" t="s">
        <v>935</v>
      </c>
      <c r="AY2520" s="1">
        <v>1.0</v>
      </c>
      <c r="AZ2520" s="1">
        <v>79.99</v>
      </c>
      <c r="BB2520" s="1">
        <v>79.99</v>
      </c>
    </row>
    <row r="2521">
      <c r="A2521" s="1" t="s">
        <v>3402</v>
      </c>
      <c r="C2521" s="1" t="s">
        <v>56</v>
      </c>
      <c r="D2521" s="1" t="s">
        <v>3759</v>
      </c>
      <c r="Y2521" s="2">
        <v>45511.0</v>
      </c>
      <c r="AE2521" s="1">
        <v>49.99</v>
      </c>
      <c r="AG2521" s="3" t="str">
        <f>"2000006138490819"</f>
        <v>2000006138490819</v>
      </c>
      <c r="AH2521" s="1" t="s">
        <v>58</v>
      </c>
      <c r="AI2521" s="1" t="s">
        <v>59</v>
      </c>
      <c r="AJ2521" s="1" t="s">
        <v>59</v>
      </c>
      <c r="AK2521" s="1" t="s">
        <v>60</v>
      </c>
      <c r="AL2521" s="1" t="s">
        <v>60</v>
      </c>
      <c r="AW2521" s="1" t="s">
        <v>1338</v>
      </c>
      <c r="AY2521" s="1">
        <v>1.0</v>
      </c>
      <c r="AZ2521" s="1">
        <v>49.99</v>
      </c>
      <c r="BB2521" s="1">
        <v>49.99</v>
      </c>
    </row>
    <row r="2522">
      <c r="A2522" s="1" t="s">
        <v>195</v>
      </c>
      <c r="C2522" s="1" t="s">
        <v>235</v>
      </c>
      <c r="D2522" s="1" t="s">
        <v>3760</v>
      </c>
      <c r="Y2522" s="2">
        <v>45511.0</v>
      </c>
      <c r="AE2522" s="1">
        <v>335.93</v>
      </c>
      <c r="AG2522" s="3" t="str">
        <f>"2000006138490857"</f>
        <v>2000006138490857</v>
      </c>
      <c r="AH2522" s="1" t="s">
        <v>58</v>
      </c>
      <c r="AI2522" s="1" t="s">
        <v>59</v>
      </c>
      <c r="AJ2522" s="1" t="s">
        <v>59</v>
      </c>
      <c r="AK2522" s="1" t="s">
        <v>60</v>
      </c>
      <c r="AL2522" s="1" t="s">
        <v>60</v>
      </c>
      <c r="AW2522" s="1" t="s">
        <v>197</v>
      </c>
      <c r="AY2522" s="1">
        <v>7.0</v>
      </c>
      <c r="AZ2522" s="1">
        <v>47.99</v>
      </c>
      <c r="BB2522" s="1">
        <v>335.93</v>
      </c>
    </row>
    <row r="2523">
      <c r="A2523" s="1" t="s">
        <v>630</v>
      </c>
      <c r="C2523" s="1" t="s">
        <v>56</v>
      </c>
      <c r="D2523" s="1" t="s">
        <v>3761</v>
      </c>
      <c r="Y2523" s="2">
        <v>45511.0</v>
      </c>
      <c r="AE2523" s="1">
        <v>189.99</v>
      </c>
      <c r="AG2523" s="3" t="str">
        <f>"2000006138443679"</f>
        <v>2000006138443679</v>
      </c>
      <c r="AH2523" s="1" t="s">
        <v>58</v>
      </c>
      <c r="AI2523" s="1" t="s">
        <v>59</v>
      </c>
      <c r="AJ2523" s="1" t="s">
        <v>59</v>
      </c>
      <c r="AK2523" s="1" t="s">
        <v>60</v>
      </c>
      <c r="AL2523" s="1" t="s">
        <v>60</v>
      </c>
      <c r="AW2523" s="1" t="s">
        <v>632</v>
      </c>
      <c r="AY2523" s="1">
        <v>1.0</v>
      </c>
      <c r="AZ2523" s="1">
        <v>189.99</v>
      </c>
      <c r="BB2523" s="1">
        <v>189.99</v>
      </c>
    </row>
    <row r="2524">
      <c r="A2524" s="1" t="s">
        <v>3111</v>
      </c>
      <c r="C2524" s="1" t="s">
        <v>56</v>
      </c>
      <c r="D2524" s="1" t="s">
        <v>3762</v>
      </c>
      <c r="Y2524" s="2">
        <v>45511.0</v>
      </c>
      <c r="AE2524" s="1">
        <v>39.99</v>
      </c>
      <c r="AG2524" s="3" t="str">
        <f>"2000006138440261"</f>
        <v>2000006138440261</v>
      </c>
      <c r="AH2524" s="1" t="s">
        <v>58</v>
      </c>
      <c r="AI2524" s="1" t="s">
        <v>59</v>
      </c>
      <c r="AJ2524" s="1" t="s">
        <v>59</v>
      </c>
      <c r="AK2524" s="1" t="s">
        <v>60</v>
      </c>
      <c r="AL2524" s="1" t="s">
        <v>60</v>
      </c>
      <c r="AW2524" s="1" t="s">
        <v>1529</v>
      </c>
      <c r="AY2524" s="1">
        <v>1.0</v>
      </c>
      <c r="AZ2524" s="1">
        <v>39.99</v>
      </c>
      <c r="BB2524" s="1">
        <v>39.99</v>
      </c>
    </row>
    <row r="2525">
      <c r="A2525" s="1" t="s">
        <v>256</v>
      </c>
      <c r="C2525" s="1" t="s">
        <v>56</v>
      </c>
      <c r="D2525" s="1" t="s">
        <v>3763</v>
      </c>
      <c r="Y2525" s="2">
        <v>45511.0</v>
      </c>
      <c r="AE2525" s="1">
        <v>149.99</v>
      </c>
      <c r="AG2525" s="3" t="str">
        <f>"2000008968757968"</f>
        <v>2000008968757968</v>
      </c>
      <c r="AH2525" s="1" t="s">
        <v>58</v>
      </c>
      <c r="AI2525" s="1" t="s">
        <v>59</v>
      </c>
      <c r="AJ2525" s="1" t="s">
        <v>59</v>
      </c>
      <c r="AK2525" s="1" t="s">
        <v>60</v>
      </c>
      <c r="AL2525" s="1" t="s">
        <v>60</v>
      </c>
      <c r="AW2525" s="1" t="s">
        <v>3764</v>
      </c>
      <c r="AY2525" s="1">
        <v>1.0</v>
      </c>
      <c r="AZ2525" s="1">
        <v>149.99</v>
      </c>
      <c r="BB2525" s="1">
        <v>149.99</v>
      </c>
    </row>
    <row r="2526">
      <c r="A2526" s="1" t="s">
        <v>3765</v>
      </c>
      <c r="C2526" s="1" t="s">
        <v>56</v>
      </c>
      <c r="D2526" s="1" t="s">
        <v>3766</v>
      </c>
      <c r="Y2526" s="2">
        <v>45511.0</v>
      </c>
      <c r="AE2526" s="1">
        <v>219.99</v>
      </c>
      <c r="AG2526" s="3" t="str">
        <f>"2000008968757302"</f>
        <v>2000008968757302</v>
      </c>
      <c r="AH2526" s="1" t="s">
        <v>58</v>
      </c>
      <c r="AI2526" s="1" t="s">
        <v>59</v>
      </c>
      <c r="AJ2526" s="1" t="s">
        <v>59</v>
      </c>
      <c r="AK2526" s="1" t="s">
        <v>60</v>
      </c>
      <c r="AL2526" s="1" t="s">
        <v>60</v>
      </c>
      <c r="AW2526" s="1" t="s">
        <v>2097</v>
      </c>
      <c r="AY2526" s="1">
        <v>1.0</v>
      </c>
      <c r="AZ2526" s="1">
        <v>219.99</v>
      </c>
      <c r="BB2526" s="1">
        <v>219.99</v>
      </c>
    </row>
    <row r="2527">
      <c r="A2527" s="1" t="s">
        <v>195</v>
      </c>
      <c r="C2527" s="1" t="s">
        <v>56</v>
      </c>
      <c r="D2527" s="1" t="s">
        <v>3767</v>
      </c>
      <c r="Y2527" s="2">
        <v>45511.0</v>
      </c>
      <c r="AE2527" s="1">
        <v>47.99</v>
      </c>
      <c r="AG2527" s="3" t="str">
        <f>"2000006138400591"</f>
        <v>2000006138400591</v>
      </c>
      <c r="AH2527" s="1" t="s">
        <v>58</v>
      </c>
      <c r="AI2527" s="1" t="s">
        <v>59</v>
      </c>
      <c r="AJ2527" s="1" t="s">
        <v>59</v>
      </c>
      <c r="AK2527" s="1" t="s">
        <v>60</v>
      </c>
      <c r="AL2527" s="1" t="s">
        <v>60</v>
      </c>
      <c r="AW2527" s="1" t="s">
        <v>197</v>
      </c>
      <c r="AY2527" s="1">
        <v>1.0</v>
      </c>
      <c r="AZ2527" s="1">
        <v>47.99</v>
      </c>
      <c r="BB2527" s="1">
        <v>47.99</v>
      </c>
    </row>
    <row r="2528">
      <c r="A2528" s="1" t="s">
        <v>1742</v>
      </c>
      <c r="C2528" s="1" t="s">
        <v>56</v>
      </c>
      <c r="D2528" s="1" t="s">
        <v>3768</v>
      </c>
      <c r="Y2528" s="2">
        <v>45511.0</v>
      </c>
      <c r="AE2528" s="1">
        <v>109.99</v>
      </c>
      <c r="AG2528" s="3" t="str">
        <f>"2000006138383193"</f>
        <v>2000006138383193</v>
      </c>
      <c r="AH2528" s="1" t="s">
        <v>58</v>
      </c>
      <c r="AI2528" s="1" t="s">
        <v>59</v>
      </c>
      <c r="AJ2528" s="1" t="s">
        <v>59</v>
      </c>
      <c r="AK2528" s="1" t="s">
        <v>60</v>
      </c>
      <c r="AL2528" s="1" t="s">
        <v>60</v>
      </c>
      <c r="AW2528" s="1" t="s">
        <v>1744</v>
      </c>
      <c r="AY2528" s="1">
        <v>1.0</v>
      </c>
      <c r="AZ2528" s="1">
        <v>109.99</v>
      </c>
      <c r="BB2528" s="1">
        <v>109.99</v>
      </c>
    </row>
    <row r="2529">
      <c r="A2529" s="1" t="s">
        <v>1447</v>
      </c>
      <c r="C2529" s="1" t="s">
        <v>56</v>
      </c>
      <c r="D2529" s="1" t="s">
        <v>3769</v>
      </c>
      <c r="Y2529" s="2">
        <v>45511.0</v>
      </c>
      <c r="AE2529" s="1">
        <v>74.99</v>
      </c>
      <c r="AG2529" s="3" t="str">
        <f>"2000006138385469"</f>
        <v>2000006138385469</v>
      </c>
      <c r="AH2529" s="1" t="s">
        <v>58</v>
      </c>
      <c r="AI2529" s="1" t="s">
        <v>59</v>
      </c>
      <c r="AJ2529" s="1" t="s">
        <v>59</v>
      </c>
      <c r="AK2529" s="1" t="s">
        <v>60</v>
      </c>
      <c r="AL2529" s="1" t="s">
        <v>60</v>
      </c>
      <c r="AW2529" s="1" t="s">
        <v>1449</v>
      </c>
      <c r="AY2529" s="1">
        <v>1.0</v>
      </c>
      <c r="AZ2529" s="1">
        <v>74.99</v>
      </c>
      <c r="BB2529" s="1">
        <v>74.99</v>
      </c>
    </row>
    <row r="2530">
      <c r="A2530" s="1" t="s">
        <v>3770</v>
      </c>
      <c r="C2530" s="1" t="s">
        <v>235</v>
      </c>
      <c r="D2530" s="1" t="s">
        <v>3771</v>
      </c>
      <c r="Y2530" s="2">
        <v>45511.0</v>
      </c>
      <c r="AE2530" s="1">
        <v>94.99</v>
      </c>
      <c r="AG2530" s="3" t="str">
        <f>"2000006138369567"</f>
        <v>2000006138369567</v>
      </c>
      <c r="AH2530" s="1" t="s">
        <v>58</v>
      </c>
      <c r="AI2530" s="1" t="s">
        <v>59</v>
      </c>
      <c r="AJ2530" s="1" t="s">
        <v>59</v>
      </c>
      <c r="AK2530" s="1" t="s">
        <v>60</v>
      </c>
      <c r="AL2530" s="1" t="s">
        <v>60</v>
      </c>
      <c r="AW2530" s="1" t="s">
        <v>1279</v>
      </c>
      <c r="AY2530" s="1">
        <v>1.0</v>
      </c>
      <c r="AZ2530" s="1">
        <v>94.99</v>
      </c>
      <c r="BB2530" s="1">
        <v>94.99</v>
      </c>
    </row>
    <row r="2531">
      <c r="A2531" s="1" t="s">
        <v>742</v>
      </c>
      <c r="C2531" s="1" t="s">
        <v>56</v>
      </c>
      <c r="D2531" s="1" t="s">
        <v>3772</v>
      </c>
      <c r="Y2531" s="2">
        <v>45510.0</v>
      </c>
      <c r="AE2531" s="1">
        <v>139.99</v>
      </c>
      <c r="AG2531" s="3" t="str">
        <f>"2000006138310769"</f>
        <v>2000006138310769</v>
      </c>
      <c r="AH2531" s="1" t="s">
        <v>58</v>
      </c>
      <c r="AI2531" s="1" t="s">
        <v>59</v>
      </c>
      <c r="AJ2531" s="1" t="s">
        <v>59</v>
      </c>
      <c r="AK2531" s="1" t="s">
        <v>60</v>
      </c>
      <c r="AL2531" s="1" t="s">
        <v>60</v>
      </c>
      <c r="AW2531" s="1" t="s">
        <v>3617</v>
      </c>
      <c r="AY2531" s="1">
        <v>1.0</v>
      </c>
      <c r="AZ2531" s="1">
        <v>139.99</v>
      </c>
      <c r="BB2531" s="1">
        <v>139.99</v>
      </c>
    </row>
    <row r="2532">
      <c r="A2532" s="1" t="s">
        <v>1095</v>
      </c>
      <c r="C2532" s="1" t="s">
        <v>56</v>
      </c>
      <c r="D2532" s="1" t="s">
        <v>3773</v>
      </c>
      <c r="Y2532" s="2">
        <v>45510.0</v>
      </c>
      <c r="AE2532" s="1">
        <v>99.99</v>
      </c>
      <c r="AG2532" s="3" t="str">
        <f>"2000006138296629"</f>
        <v>2000006138296629</v>
      </c>
      <c r="AH2532" s="1" t="s">
        <v>58</v>
      </c>
      <c r="AI2532" s="1" t="s">
        <v>59</v>
      </c>
      <c r="AJ2532" s="1" t="s">
        <v>59</v>
      </c>
      <c r="AK2532" s="1" t="s">
        <v>60</v>
      </c>
      <c r="AL2532" s="1" t="s">
        <v>60</v>
      </c>
      <c r="AW2532" s="1" t="s">
        <v>1097</v>
      </c>
      <c r="AY2532" s="1">
        <v>1.0</v>
      </c>
      <c r="AZ2532" s="1">
        <v>99.99</v>
      </c>
      <c r="BB2532" s="1">
        <v>99.99</v>
      </c>
    </row>
    <row r="2533">
      <c r="A2533" s="1" t="s">
        <v>195</v>
      </c>
      <c r="C2533" s="1" t="s">
        <v>56</v>
      </c>
      <c r="D2533" s="1" t="s">
        <v>3760</v>
      </c>
      <c r="Y2533" s="2">
        <v>45510.0</v>
      </c>
      <c r="AE2533" s="1">
        <v>335.93</v>
      </c>
      <c r="AG2533" s="3" t="str">
        <f>"2000006138291693"</f>
        <v>2000006138291693</v>
      </c>
      <c r="AH2533" s="1" t="s">
        <v>58</v>
      </c>
      <c r="AI2533" s="1" t="s">
        <v>59</v>
      </c>
      <c r="AJ2533" s="1" t="s">
        <v>59</v>
      </c>
      <c r="AK2533" s="1" t="s">
        <v>60</v>
      </c>
      <c r="AL2533" s="1" t="s">
        <v>60</v>
      </c>
      <c r="AW2533" s="1" t="s">
        <v>197</v>
      </c>
      <c r="AY2533" s="1">
        <v>7.0</v>
      </c>
      <c r="AZ2533" s="1">
        <v>47.99</v>
      </c>
      <c r="BB2533" s="1">
        <v>335.93</v>
      </c>
    </row>
    <row r="2534">
      <c r="A2534" s="1" t="s">
        <v>2106</v>
      </c>
      <c r="C2534" s="1" t="s">
        <v>56</v>
      </c>
      <c r="D2534" s="1" t="s">
        <v>3774</v>
      </c>
      <c r="Y2534" s="2">
        <v>45510.0</v>
      </c>
      <c r="AE2534" s="1">
        <v>129.99</v>
      </c>
      <c r="AG2534" s="3" t="str">
        <f>"2000006138285127"</f>
        <v>2000006138285127</v>
      </c>
      <c r="AH2534" s="1" t="s">
        <v>58</v>
      </c>
      <c r="AI2534" s="1" t="s">
        <v>59</v>
      </c>
      <c r="AJ2534" s="1" t="s">
        <v>59</v>
      </c>
      <c r="AK2534" s="1" t="s">
        <v>60</v>
      </c>
      <c r="AL2534" s="1" t="s">
        <v>60</v>
      </c>
      <c r="AW2534" s="1" t="s">
        <v>763</v>
      </c>
      <c r="AY2534" s="1">
        <v>1.0</v>
      </c>
      <c r="AZ2534" s="1">
        <v>129.99</v>
      </c>
      <c r="BB2534" s="1">
        <v>129.99</v>
      </c>
    </row>
    <row r="2535">
      <c r="A2535" s="1" t="s">
        <v>2106</v>
      </c>
      <c r="C2535" s="1" t="s">
        <v>56</v>
      </c>
      <c r="D2535" s="1" t="s">
        <v>3774</v>
      </c>
      <c r="Y2535" s="2">
        <v>45510.0</v>
      </c>
      <c r="AE2535" s="1">
        <v>259.98</v>
      </c>
      <c r="AG2535" s="3" t="str">
        <f>"2000006138285125"</f>
        <v>2000006138285125</v>
      </c>
      <c r="AH2535" s="1" t="s">
        <v>58</v>
      </c>
      <c r="AI2535" s="1" t="s">
        <v>59</v>
      </c>
      <c r="AJ2535" s="1" t="s">
        <v>59</v>
      </c>
      <c r="AK2535" s="1" t="s">
        <v>60</v>
      </c>
      <c r="AL2535" s="1" t="s">
        <v>60</v>
      </c>
      <c r="AW2535" s="1" t="s">
        <v>763</v>
      </c>
      <c r="AY2535" s="1">
        <v>2.0</v>
      </c>
      <c r="AZ2535" s="1">
        <v>129.99</v>
      </c>
      <c r="BB2535" s="1">
        <v>259.98</v>
      </c>
    </row>
    <row r="2536">
      <c r="A2536" s="1" t="s">
        <v>227</v>
      </c>
      <c r="C2536" s="1" t="s">
        <v>56</v>
      </c>
      <c r="D2536" s="1" t="s">
        <v>3775</v>
      </c>
      <c r="Y2536" s="2">
        <v>45510.0</v>
      </c>
      <c r="AE2536" s="1">
        <v>99.99</v>
      </c>
      <c r="AG2536" s="3" t="str">
        <f>"2000008968548136"</f>
        <v>2000008968548136</v>
      </c>
      <c r="AH2536" s="1" t="s">
        <v>58</v>
      </c>
      <c r="AI2536" s="1" t="s">
        <v>59</v>
      </c>
      <c r="AJ2536" s="1" t="s">
        <v>59</v>
      </c>
      <c r="AK2536" s="1" t="s">
        <v>60</v>
      </c>
      <c r="AL2536" s="1" t="s">
        <v>60</v>
      </c>
      <c r="AW2536" s="1" t="s">
        <v>229</v>
      </c>
      <c r="AY2536" s="1">
        <v>1.0</v>
      </c>
      <c r="AZ2536" s="1">
        <v>99.99</v>
      </c>
      <c r="BB2536" s="1">
        <v>99.99</v>
      </c>
    </row>
    <row r="2537">
      <c r="A2537" s="1" t="s">
        <v>3713</v>
      </c>
      <c r="C2537" s="1" t="s">
        <v>56</v>
      </c>
      <c r="D2537" s="1" t="s">
        <v>3776</v>
      </c>
      <c r="Y2537" s="2">
        <v>45510.0</v>
      </c>
      <c r="AE2537" s="1">
        <v>169.99</v>
      </c>
      <c r="AG2537" s="3" t="str">
        <f>"2000006138262613"</f>
        <v>2000006138262613</v>
      </c>
      <c r="AH2537" s="1" t="s">
        <v>58</v>
      </c>
      <c r="AI2537" s="1" t="s">
        <v>59</v>
      </c>
      <c r="AJ2537" s="1" t="s">
        <v>59</v>
      </c>
      <c r="AK2537" s="1" t="s">
        <v>60</v>
      </c>
      <c r="AL2537" s="1" t="s">
        <v>60</v>
      </c>
      <c r="AW2537" s="1" t="s">
        <v>3715</v>
      </c>
      <c r="AY2537" s="1">
        <v>1.0</v>
      </c>
      <c r="AZ2537" s="1">
        <v>169.99</v>
      </c>
      <c r="BB2537" s="1">
        <v>169.99</v>
      </c>
    </row>
    <row r="2538">
      <c r="A2538" s="1" t="s">
        <v>243</v>
      </c>
      <c r="C2538" s="1" t="s">
        <v>56</v>
      </c>
      <c r="D2538" s="1" t="s">
        <v>3777</v>
      </c>
      <c r="Y2538" s="2">
        <v>45510.0</v>
      </c>
      <c r="AE2538" s="1">
        <v>239.98</v>
      </c>
      <c r="AG2538" s="3" t="str">
        <f>"2000006138261995"</f>
        <v>2000006138261995</v>
      </c>
      <c r="AH2538" s="1" t="s">
        <v>58</v>
      </c>
      <c r="AI2538" s="1" t="s">
        <v>59</v>
      </c>
      <c r="AJ2538" s="1" t="s">
        <v>59</v>
      </c>
      <c r="AK2538" s="1" t="s">
        <v>60</v>
      </c>
      <c r="AL2538" s="1" t="s">
        <v>60</v>
      </c>
      <c r="AW2538" s="1" t="s">
        <v>2864</v>
      </c>
      <c r="AY2538" s="1">
        <v>2.0</v>
      </c>
      <c r="AZ2538" s="1">
        <v>119.99</v>
      </c>
      <c r="BB2538" s="1">
        <v>239.98</v>
      </c>
    </row>
    <row r="2539">
      <c r="A2539" s="1" t="s">
        <v>3778</v>
      </c>
      <c r="C2539" s="1" t="s">
        <v>235</v>
      </c>
      <c r="D2539" s="1" t="s">
        <v>3779</v>
      </c>
      <c r="Y2539" s="2">
        <v>45510.0</v>
      </c>
      <c r="AE2539" s="1">
        <v>89.99</v>
      </c>
      <c r="AG2539" s="3" t="str">
        <f>"2000006138254699"</f>
        <v>2000006138254699</v>
      </c>
      <c r="AH2539" s="1" t="s">
        <v>58</v>
      </c>
      <c r="AI2539" s="1" t="s">
        <v>59</v>
      </c>
      <c r="AJ2539" s="1" t="s">
        <v>59</v>
      </c>
      <c r="AK2539" s="1" t="s">
        <v>60</v>
      </c>
      <c r="AL2539" s="1" t="s">
        <v>60</v>
      </c>
      <c r="AW2539" s="1" t="s">
        <v>3780</v>
      </c>
      <c r="AY2539" s="1">
        <v>1.0</v>
      </c>
      <c r="AZ2539" s="1">
        <v>89.99</v>
      </c>
      <c r="BB2539" s="1">
        <v>89.99</v>
      </c>
    </row>
    <row r="2540">
      <c r="A2540" s="1" t="s">
        <v>1474</v>
      </c>
      <c r="C2540" s="1" t="s">
        <v>56</v>
      </c>
      <c r="D2540" s="1" t="s">
        <v>3781</v>
      </c>
      <c r="Y2540" s="2">
        <v>45510.0</v>
      </c>
      <c r="AE2540" s="1">
        <v>84.99</v>
      </c>
      <c r="AG2540" s="3" t="str">
        <f>"2000006138240281"</f>
        <v>2000006138240281</v>
      </c>
      <c r="AH2540" s="1" t="s">
        <v>58</v>
      </c>
      <c r="AI2540" s="1" t="s">
        <v>59</v>
      </c>
      <c r="AJ2540" s="1" t="s">
        <v>59</v>
      </c>
      <c r="AK2540" s="1" t="s">
        <v>60</v>
      </c>
      <c r="AL2540" s="1" t="s">
        <v>60</v>
      </c>
      <c r="AW2540" s="1" t="s">
        <v>1476</v>
      </c>
      <c r="AY2540" s="1">
        <v>1.0</v>
      </c>
      <c r="AZ2540" s="1">
        <v>84.99</v>
      </c>
      <c r="BB2540" s="1">
        <v>84.99</v>
      </c>
    </row>
    <row r="2541">
      <c r="A2541" s="1" t="s">
        <v>1769</v>
      </c>
      <c r="C2541" s="1" t="s">
        <v>56</v>
      </c>
      <c r="D2541" s="1" t="s">
        <v>3782</v>
      </c>
      <c r="Y2541" s="2">
        <v>45510.0</v>
      </c>
      <c r="AE2541" s="1">
        <v>99.99</v>
      </c>
      <c r="AG2541" s="3" t="str">
        <f>"2000006138231233"</f>
        <v>2000006138231233</v>
      </c>
      <c r="AH2541" s="1" t="s">
        <v>58</v>
      </c>
      <c r="AI2541" s="1" t="s">
        <v>59</v>
      </c>
      <c r="AJ2541" s="1" t="s">
        <v>59</v>
      </c>
      <c r="AK2541" s="1" t="s">
        <v>60</v>
      </c>
      <c r="AL2541" s="1" t="s">
        <v>60</v>
      </c>
      <c r="AW2541" s="1" t="s">
        <v>1770</v>
      </c>
      <c r="AY2541" s="1">
        <v>1.0</v>
      </c>
      <c r="AZ2541" s="1">
        <v>99.99</v>
      </c>
      <c r="BB2541" s="1">
        <v>99.99</v>
      </c>
    </row>
    <row r="2542">
      <c r="A2542" s="1" t="s">
        <v>2147</v>
      </c>
      <c r="C2542" s="1" t="s">
        <v>56</v>
      </c>
      <c r="D2542" s="1" t="s">
        <v>3783</v>
      </c>
      <c r="Y2542" s="2">
        <v>45510.0</v>
      </c>
      <c r="AE2542" s="1">
        <v>89.99</v>
      </c>
      <c r="AG2542" s="3" t="str">
        <f>"2000006138226757"</f>
        <v>2000006138226757</v>
      </c>
      <c r="AH2542" s="1" t="s">
        <v>58</v>
      </c>
      <c r="AI2542" s="1" t="s">
        <v>59</v>
      </c>
      <c r="AJ2542" s="1" t="s">
        <v>59</v>
      </c>
      <c r="AK2542" s="1" t="s">
        <v>60</v>
      </c>
      <c r="AL2542" s="1" t="s">
        <v>60</v>
      </c>
      <c r="AW2542" s="1" t="s">
        <v>2149</v>
      </c>
      <c r="AY2542" s="1">
        <v>1.0</v>
      </c>
      <c r="AZ2542" s="1">
        <v>89.99</v>
      </c>
      <c r="BB2542" s="1">
        <v>89.99</v>
      </c>
    </row>
    <row r="2543">
      <c r="A2543" s="1" t="s">
        <v>872</v>
      </c>
      <c r="C2543" s="1" t="s">
        <v>56</v>
      </c>
      <c r="D2543" s="1" t="s">
        <v>3784</v>
      </c>
      <c r="Y2543" s="2">
        <v>45510.0</v>
      </c>
      <c r="AE2543" s="1">
        <v>249.99</v>
      </c>
      <c r="AG2543" s="3" t="str">
        <f>"2000008968436344"</f>
        <v>2000008968436344</v>
      </c>
      <c r="AH2543" s="1" t="s">
        <v>58</v>
      </c>
      <c r="AI2543" s="1" t="s">
        <v>59</v>
      </c>
      <c r="AJ2543" s="1" t="s">
        <v>59</v>
      </c>
      <c r="AK2543" s="1" t="s">
        <v>60</v>
      </c>
      <c r="AL2543" s="1" t="s">
        <v>60</v>
      </c>
      <c r="AW2543" s="1" t="s">
        <v>874</v>
      </c>
      <c r="AY2543" s="1">
        <v>1.0</v>
      </c>
      <c r="AZ2543" s="1">
        <v>249.99</v>
      </c>
      <c r="BB2543" s="1">
        <v>249.99</v>
      </c>
    </row>
    <row r="2544">
      <c r="A2544" s="1" t="s">
        <v>3785</v>
      </c>
      <c r="C2544" s="1" t="s">
        <v>56</v>
      </c>
      <c r="D2544" s="1" t="s">
        <v>3786</v>
      </c>
      <c r="Y2544" s="2">
        <v>45510.0</v>
      </c>
      <c r="AE2544" s="1">
        <v>119.99</v>
      </c>
      <c r="AG2544" s="3" t="str">
        <f>"2000006138185213"</f>
        <v>2000006138185213</v>
      </c>
      <c r="AH2544" s="1" t="s">
        <v>58</v>
      </c>
      <c r="AI2544" s="1" t="s">
        <v>59</v>
      </c>
      <c r="AJ2544" s="1" t="s">
        <v>59</v>
      </c>
      <c r="AK2544" s="1" t="s">
        <v>60</v>
      </c>
      <c r="AL2544" s="1" t="s">
        <v>60</v>
      </c>
      <c r="AW2544" s="1" t="s">
        <v>2817</v>
      </c>
      <c r="AY2544" s="1">
        <v>1.0</v>
      </c>
      <c r="AZ2544" s="1">
        <v>119.99</v>
      </c>
      <c r="BB2544" s="1">
        <v>119.99</v>
      </c>
    </row>
    <row r="2545">
      <c r="A2545" s="1" t="s">
        <v>505</v>
      </c>
      <c r="C2545" s="1" t="s">
        <v>56</v>
      </c>
      <c r="D2545" s="1" t="s">
        <v>3787</v>
      </c>
      <c r="Y2545" s="2">
        <v>45510.0</v>
      </c>
      <c r="AE2545" s="1">
        <v>589.98</v>
      </c>
      <c r="AG2545" s="3" t="str">
        <f>"2000006138169043"</f>
        <v>2000006138169043</v>
      </c>
      <c r="AH2545" s="1" t="s">
        <v>58</v>
      </c>
      <c r="AI2545" s="1" t="s">
        <v>59</v>
      </c>
      <c r="AJ2545" s="1" t="s">
        <v>59</v>
      </c>
      <c r="AK2545" s="1" t="s">
        <v>60</v>
      </c>
      <c r="AL2545" s="1" t="s">
        <v>60</v>
      </c>
      <c r="AW2545" s="1" t="s">
        <v>507</v>
      </c>
      <c r="AY2545" s="1">
        <v>2.0</v>
      </c>
      <c r="AZ2545" s="1">
        <v>294.99</v>
      </c>
      <c r="BB2545" s="1">
        <v>589.98</v>
      </c>
    </row>
    <row r="2546">
      <c r="A2546" s="1" t="s">
        <v>265</v>
      </c>
      <c r="C2546" s="1" t="s">
        <v>56</v>
      </c>
      <c r="D2546" s="1" t="s">
        <v>3788</v>
      </c>
      <c r="Y2546" s="2">
        <v>45510.0</v>
      </c>
      <c r="AE2546" s="1">
        <v>114.99</v>
      </c>
      <c r="AG2546" s="3" t="str">
        <f>"2000008968362222"</f>
        <v>2000008968362222</v>
      </c>
      <c r="AH2546" s="1" t="s">
        <v>58</v>
      </c>
      <c r="AI2546" s="1" t="s">
        <v>59</v>
      </c>
      <c r="AJ2546" s="1" t="s">
        <v>59</v>
      </c>
      <c r="AK2546" s="1" t="s">
        <v>60</v>
      </c>
      <c r="AL2546" s="1" t="s">
        <v>60</v>
      </c>
      <c r="AW2546" s="1" t="s">
        <v>1997</v>
      </c>
      <c r="AY2546" s="1">
        <v>1.0</v>
      </c>
      <c r="AZ2546" s="1">
        <v>114.99</v>
      </c>
      <c r="BB2546" s="1">
        <v>114.99</v>
      </c>
    </row>
    <row r="2547">
      <c r="A2547" s="1" t="s">
        <v>1103</v>
      </c>
      <c r="C2547" s="1" t="s">
        <v>56</v>
      </c>
      <c r="D2547" s="1" t="s">
        <v>3789</v>
      </c>
      <c r="Y2547" s="2">
        <v>45510.0</v>
      </c>
      <c r="AE2547" s="1">
        <v>59.99</v>
      </c>
      <c r="AG2547" s="3" t="str">
        <f>"2000006138147089"</f>
        <v>2000006138147089</v>
      </c>
      <c r="AH2547" s="1" t="s">
        <v>58</v>
      </c>
      <c r="AI2547" s="1" t="s">
        <v>59</v>
      </c>
      <c r="AJ2547" s="1" t="s">
        <v>59</v>
      </c>
      <c r="AK2547" s="1" t="s">
        <v>60</v>
      </c>
      <c r="AL2547" s="1" t="s">
        <v>60</v>
      </c>
      <c r="AW2547" s="1" t="s">
        <v>1105</v>
      </c>
      <c r="AY2547" s="1">
        <v>1.0</v>
      </c>
      <c r="AZ2547" s="1">
        <v>59.99</v>
      </c>
      <c r="BB2547" s="1">
        <v>59.99</v>
      </c>
    </row>
    <row r="2548">
      <c r="A2548" s="1" t="s">
        <v>2985</v>
      </c>
      <c r="C2548" s="1" t="s">
        <v>56</v>
      </c>
      <c r="D2548" s="1" t="s">
        <v>3790</v>
      </c>
      <c r="Y2548" s="2">
        <v>45510.0</v>
      </c>
      <c r="AE2548" s="1">
        <v>69.99</v>
      </c>
      <c r="AG2548" s="3" t="str">
        <f>"2000006138145829"</f>
        <v>2000006138145829</v>
      </c>
      <c r="AH2548" s="1" t="s">
        <v>58</v>
      </c>
      <c r="AI2548" s="1" t="s">
        <v>59</v>
      </c>
      <c r="AJ2548" s="1" t="s">
        <v>59</v>
      </c>
      <c r="AK2548" s="1" t="s">
        <v>60</v>
      </c>
      <c r="AL2548" s="1" t="s">
        <v>60</v>
      </c>
      <c r="AW2548" s="1" t="s">
        <v>888</v>
      </c>
      <c r="AY2548" s="1">
        <v>1.0</v>
      </c>
      <c r="AZ2548" s="1">
        <v>69.99</v>
      </c>
      <c r="BB2548" s="1">
        <v>69.99</v>
      </c>
    </row>
    <row r="2549">
      <c r="A2549" s="1" t="s">
        <v>371</v>
      </c>
      <c r="C2549" s="1" t="s">
        <v>56</v>
      </c>
      <c r="D2549" s="1" t="s">
        <v>3791</v>
      </c>
      <c r="Y2549" s="2">
        <v>45510.0</v>
      </c>
      <c r="AE2549" s="1">
        <v>37.49</v>
      </c>
      <c r="AG2549" s="3" t="str">
        <f>"2000006138114407"</f>
        <v>2000006138114407</v>
      </c>
      <c r="AH2549" s="1" t="s">
        <v>58</v>
      </c>
      <c r="AI2549" s="1" t="s">
        <v>59</v>
      </c>
      <c r="AJ2549" s="1" t="s">
        <v>59</v>
      </c>
      <c r="AK2549" s="1" t="s">
        <v>60</v>
      </c>
      <c r="AL2549" s="1" t="s">
        <v>60</v>
      </c>
      <c r="AW2549" s="1" t="s">
        <v>373</v>
      </c>
      <c r="AY2549" s="1">
        <v>1.0</v>
      </c>
      <c r="AZ2549" s="1">
        <v>37.49</v>
      </c>
      <c r="BB2549" s="1">
        <v>37.49</v>
      </c>
    </row>
    <row r="2550">
      <c r="A2550" s="1" t="s">
        <v>514</v>
      </c>
      <c r="C2550" s="1" t="s">
        <v>235</v>
      </c>
      <c r="D2550" s="1" t="s">
        <v>3792</v>
      </c>
      <c r="Y2550" s="2">
        <v>45510.0</v>
      </c>
      <c r="AE2550" s="1">
        <v>59.99</v>
      </c>
      <c r="AG2550" s="3" t="str">
        <f>"2000006138136407"</f>
        <v>2000006138136407</v>
      </c>
      <c r="AH2550" s="1" t="s">
        <v>58</v>
      </c>
      <c r="AI2550" s="1" t="s">
        <v>59</v>
      </c>
      <c r="AJ2550" s="1" t="s">
        <v>59</v>
      </c>
      <c r="AK2550" s="1" t="s">
        <v>60</v>
      </c>
      <c r="AL2550" s="1" t="s">
        <v>60</v>
      </c>
      <c r="AW2550" s="1" t="s">
        <v>516</v>
      </c>
      <c r="AY2550" s="1">
        <v>1.0</v>
      </c>
      <c r="AZ2550" s="1">
        <v>59.99</v>
      </c>
      <c r="BB2550" s="1">
        <v>59.99</v>
      </c>
    </row>
    <row r="2551">
      <c r="A2551" s="1" t="s">
        <v>1648</v>
      </c>
      <c r="C2551" s="1" t="s">
        <v>56</v>
      </c>
      <c r="D2551" s="1" t="s">
        <v>3793</v>
      </c>
      <c r="Y2551" s="2">
        <v>45510.0</v>
      </c>
      <c r="AE2551" s="1">
        <v>99.99</v>
      </c>
      <c r="AG2551" s="3" t="str">
        <f>"2000006138134415"</f>
        <v>2000006138134415</v>
      </c>
      <c r="AH2551" s="1" t="s">
        <v>58</v>
      </c>
      <c r="AI2551" s="1" t="s">
        <v>59</v>
      </c>
      <c r="AJ2551" s="1" t="s">
        <v>59</v>
      </c>
      <c r="AK2551" s="1" t="s">
        <v>60</v>
      </c>
      <c r="AL2551" s="1" t="s">
        <v>60</v>
      </c>
      <c r="AW2551" s="1" t="s">
        <v>1650</v>
      </c>
      <c r="AY2551" s="1">
        <v>1.0</v>
      </c>
      <c r="AZ2551" s="1">
        <v>99.99</v>
      </c>
      <c r="BB2551" s="1">
        <v>99.99</v>
      </c>
    </row>
    <row r="2552">
      <c r="A2552" s="1" t="s">
        <v>496</v>
      </c>
      <c r="C2552" s="1" t="s">
        <v>56</v>
      </c>
      <c r="D2552" s="1" t="s">
        <v>3794</v>
      </c>
      <c r="Y2552" s="2">
        <v>45510.0</v>
      </c>
      <c r="AE2552" s="1">
        <v>54.99</v>
      </c>
      <c r="AG2552" s="3" t="str">
        <f>"2000006138112777"</f>
        <v>2000006138112777</v>
      </c>
      <c r="AH2552" s="1" t="s">
        <v>58</v>
      </c>
      <c r="AI2552" s="1" t="s">
        <v>59</v>
      </c>
      <c r="AJ2552" s="1" t="s">
        <v>59</v>
      </c>
      <c r="AK2552" s="1" t="s">
        <v>60</v>
      </c>
      <c r="AL2552" s="1" t="s">
        <v>60</v>
      </c>
      <c r="AW2552" s="1" t="s">
        <v>497</v>
      </c>
      <c r="AY2552" s="1">
        <v>1.0</v>
      </c>
      <c r="AZ2552" s="1">
        <v>54.99</v>
      </c>
      <c r="BB2552" s="1">
        <v>54.99</v>
      </c>
    </row>
    <row r="2553">
      <c r="A2553" s="1" t="s">
        <v>3795</v>
      </c>
      <c r="C2553" s="1" t="s">
        <v>56</v>
      </c>
      <c r="D2553" s="1" t="s">
        <v>3796</v>
      </c>
      <c r="Y2553" s="2">
        <v>45510.0</v>
      </c>
      <c r="AE2553" s="1">
        <v>89.99</v>
      </c>
      <c r="AG2553" s="3" t="str">
        <f>"2000008968246502"</f>
        <v>2000008968246502</v>
      </c>
      <c r="AH2553" s="1" t="s">
        <v>58</v>
      </c>
      <c r="AI2553" s="1" t="s">
        <v>59</v>
      </c>
      <c r="AJ2553" s="1" t="s">
        <v>59</v>
      </c>
      <c r="AK2553" s="1" t="s">
        <v>60</v>
      </c>
      <c r="AL2553" s="1" t="s">
        <v>60</v>
      </c>
      <c r="AW2553" s="1" t="s">
        <v>464</v>
      </c>
      <c r="AY2553" s="1">
        <v>1.0</v>
      </c>
      <c r="AZ2553" s="1">
        <v>89.99</v>
      </c>
      <c r="BB2553" s="1">
        <v>89.99</v>
      </c>
    </row>
    <row r="2554">
      <c r="A2554" s="1" t="s">
        <v>3797</v>
      </c>
      <c r="C2554" s="1" t="s">
        <v>56</v>
      </c>
      <c r="D2554" s="1" t="s">
        <v>3798</v>
      </c>
      <c r="Y2554" s="2">
        <v>45510.0</v>
      </c>
      <c r="AE2554" s="1">
        <v>119.99</v>
      </c>
      <c r="AG2554" s="3" t="str">
        <f>"2000008968173058"</f>
        <v>2000008968173058</v>
      </c>
      <c r="AH2554" s="1" t="s">
        <v>58</v>
      </c>
      <c r="AI2554" s="1" t="s">
        <v>59</v>
      </c>
      <c r="AJ2554" s="1" t="s">
        <v>59</v>
      </c>
      <c r="AK2554" s="1" t="s">
        <v>60</v>
      </c>
      <c r="AL2554" s="1" t="s">
        <v>60</v>
      </c>
      <c r="AW2554" s="1" t="s">
        <v>3799</v>
      </c>
      <c r="AY2554" s="1">
        <v>1.0</v>
      </c>
      <c r="AZ2554" s="1">
        <v>119.99</v>
      </c>
      <c r="BB2554" s="1">
        <v>119.99</v>
      </c>
    </row>
    <row r="2555">
      <c r="A2555" s="1" t="s">
        <v>960</v>
      </c>
      <c r="C2555" s="1" t="s">
        <v>56</v>
      </c>
      <c r="D2555" s="1" t="s">
        <v>3800</v>
      </c>
      <c r="Y2555" s="2">
        <v>45510.0</v>
      </c>
      <c r="AE2555" s="1">
        <v>129.99</v>
      </c>
      <c r="AG2555" s="3" t="str">
        <f>"2000006138049299"</f>
        <v>2000006138049299</v>
      </c>
      <c r="AH2555" s="1" t="s">
        <v>58</v>
      </c>
      <c r="AI2555" s="1" t="s">
        <v>59</v>
      </c>
      <c r="AJ2555" s="1" t="s">
        <v>59</v>
      </c>
      <c r="AK2555" s="1" t="s">
        <v>60</v>
      </c>
      <c r="AL2555" s="1" t="s">
        <v>60</v>
      </c>
      <c r="AW2555" s="1" t="s">
        <v>763</v>
      </c>
      <c r="AY2555" s="1">
        <v>1.0</v>
      </c>
      <c r="AZ2555" s="1">
        <v>129.99</v>
      </c>
      <c r="BB2555" s="1">
        <v>129.99</v>
      </c>
    </row>
    <row r="2556">
      <c r="A2556" s="1" t="s">
        <v>68</v>
      </c>
      <c r="C2556" s="1" t="s">
        <v>56</v>
      </c>
      <c r="D2556" s="1" t="s">
        <v>3801</v>
      </c>
      <c r="Y2556" s="2">
        <v>45510.0</v>
      </c>
      <c r="AE2556" s="1">
        <v>49.99</v>
      </c>
      <c r="AG2556" s="3" t="str">
        <f>"2000008968136458"</f>
        <v>2000008968136458</v>
      </c>
      <c r="AH2556" s="1" t="s">
        <v>58</v>
      </c>
      <c r="AI2556" s="1" t="s">
        <v>59</v>
      </c>
      <c r="AJ2556" s="1" t="s">
        <v>59</v>
      </c>
      <c r="AK2556" s="1" t="s">
        <v>60</v>
      </c>
      <c r="AL2556" s="1" t="s">
        <v>60</v>
      </c>
      <c r="AW2556" s="1" t="s">
        <v>70</v>
      </c>
      <c r="AY2556" s="1">
        <v>1.0</v>
      </c>
      <c r="AZ2556" s="1">
        <v>49.99</v>
      </c>
      <c r="BB2556" s="1">
        <v>49.99</v>
      </c>
    </row>
    <row r="2557">
      <c r="A2557" s="1" t="s">
        <v>900</v>
      </c>
      <c r="C2557" s="1" t="s">
        <v>56</v>
      </c>
      <c r="D2557" s="1" t="s">
        <v>3802</v>
      </c>
      <c r="Y2557" s="2">
        <v>45510.0</v>
      </c>
      <c r="AE2557" s="1">
        <v>89.99</v>
      </c>
      <c r="AG2557" s="3" t="str">
        <f>"2000006138009065"</f>
        <v>2000006138009065</v>
      </c>
      <c r="AH2557" s="1" t="s">
        <v>58</v>
      </c>
      <c r="AI2557" s="1" t="s">
        <v>59</v>
      </c>
      <c r="AJ2557" s="1" t="s">
        <v>59</v>
      </c>
      <c r="AK2557" s="1" t="s">
        <v>60</v>
      </c>
      <c r="AL2557" s="1" t="s">
        <v>60</v>
      </c>
      <c r="AW2557" s="1" t="s">
        <v>902</v>
      </c>
      <c r="AY2557" s="1">
        <v>1.0</v>
      </c>
      <c r="AZ2557" s="1">
        <v>89.99</v>
      </c>
      <c r="BB2557" s="1">
        <v>89.99</v>
      </c>
    </row>
    <row r="2558">
      <c r="A2558" s="1" t="s">
        <v>357</v>
      </c>
      <c r="C2558" s="1" t="s">
        <v>56</v>
      </c>
      <c r="D2558" s="1" t="s">
        <v>3803</v>
      </c>
      <c r="Y2558" s="2">
        <v>45510.0</v>
      </c>
      <c r="AE2558" s="1">
        <v>179.98</v>
      </c>
      <c r="AG2558" s="3" t="str">
        <f>"2000006137977267"</f>
        <v>2000006137977267</v>
      </c>
      <c r="AH2558" s="1" t="s">
        <v>58</v>
      </c>
      <c r="AI2558" s="1" t="s">
        <v>59</v>
      </c>
      <c r="AJ2558" s="1" t="s">
        <v>59</v>
      </c>
      <c r="AK2558" s="1" t="s">
        <v>60</v>
      </c>
      <c r="AL2558" s="1" t="s">
        <v>60</v>
      </c>
      <c r="AW2558" s="1" t="s">
        <v>359</v>
      </c>
      <c r="AY2558" s="1">
        <v>2.0</v>
      </c>
      <c r="AZ2558" s="1">
        <v>89.99</v>
      </c>
      <c r="BB2558" s="1">
        <v>179.98</v>
      </c>
    </row>
    <row r="2559">
      <c r="A2559" s="1" t="s">
        <v>2347</v>
      </c>
      <c r="C2559" s="1" t="s">
        <v>235</v>
      </c>
      <c r="D2559" s="1" t="s">
        <v>2348</v>
      </c>
      <c r="Y2559" s="2">
        <v>45510.0</v>
      </c>
      <c r="AE2559" s="1">
        <v>129.99</v>
      </c>
      <c r="AG2559" s="3" t="str">
        <f>"2000008968049414"</f>
        <v>2000008968049414</v>
      </c>
      <c r="AH2559" s="1" t="s">
        <v>58</v>
      </c>
      <c r="AI2559" s="1" t="s">
        <v>59</v>
      </c>
      <c r="AJ2559" s="1" t="s">
        <v>59</v>
      </c>
      <c r="AK2559" s="1" t="s">
        <v>60</v>
      </c>
      <c r="AL2559" s="1" t="s">
        <v>60</v>
      </c>
      <c r="AW2559" s="1" t="s">
        <v>1332</v>
      </c>
      <c r="AY2559" s="1">
        <v>1.0</v>
      </c>
      <c r="AZ2559" s="1">
        <v>129.99</v>
      </c>
      <c r="BB2559" s="1">
        <v>129.99</v>
      </c>
    </row>
    <row r="2560">
      <c r="A2560" s="1" t="s">
        <v>131</v>
      </c>
      <c r="C2560" s="1" t="s">
        <v>56</v>
      </c>
      <c r="D2560" s="1" t="s">
        <v>3804</v>
      </c>
      <c r="Y2560" s="2">
        <v>45510.0</v>
      </c>
      <c r="AE2560" s="1">
        <v>54.99</v>
      </c>
      <c r="AG2560" s="3" t="str">
        <f>"2000006137900419"</f>
        <v>2000006137900419</v>
      </c>
      <c r="AH2560" s="1" t="s">
        <v>58</v>
      </c>
      <c r="AI2560" s="1" t="s">
        <v>59</v>
      </c>
      <c r="AJ2560" s="1" t="s">
        <v>59</v>
      </c>
      <c r="AK2560" s="1" t="s">
        <v>60</v>
      </c>
      <c r="AL2560" s="1" t="s">
        <v>60</v>
      </c>
      <c r="AW2560" s="1" t="s">
        <v>133</v>
      </c>
      <c r="AY2560" s="1">
        <v>1.0</v>
      </c>
      <c r="AZ2560" s="1">
        <v>54.99</v>
      </c>
      <c r="BB2560" s="1">
        <v>54.99</v>
      </c>
    </row>
    <row r="2561">
      <c r="A2561" s="1" t="s">
        <v>390</v>
      </c>
      <c r="C2561" s="1" t="s">
        <v>56</v>
      </c>
      <c r="D2561" s="1" t="s">
        <v>1355</v>
      </c>
      <c r="Y2561" s="2">
        <v>45510.0</v>
      </c>
      <c r="AE2561" s="1">
        <v>79.99</v>
      </c>
      <c r="AG2561" s="3" t="str">
        <f>"2000006137854161"</f>
        <v>2000006137854161</v>
      </c>
      <c r="AH2561" s="1" t="s">
        <v>58</v>
      </c>
      <c r="AI2561" s="1" t="s">
        <v>59</v>
      </c>
      <c r="AJ2561" s="1" t="s">
        <v>59</v>
      </c>
      <c r="AK2561" s="1" t="s">
        <v>60</v>
      </c>
      <c r="AL2561" s="1" t="s">
        <v>60</v>
      </c>
      <c r="AW2561" s="1" t="s">
        <v>392</v>
      </c>
      <c r="AY2561" s="1">
        <v>1.0</v>
      </c>
      <c r="AZ2561" s="1">
        <v>79.99</v>
      </c>
      <c r="BB2561" s="1">
        <v>79.99</v>
      </c>
    </row>
    <row r="2562">
      <c r="A2562" s="1" t="s">
        <v>2942</v>
      </c>
      <c r="C2562" s="1" t="s">
        <v>56</v>
      </c>
      <c r="D2562" s="1" t="s">
        <v>3805</v>
      </c>
      <c r="Y2562" s="2">
        <v>45510.0</v>
      </c>
      <c r="AE2562" s="1">
        <v>49.99</v>
      </c>
      <c r="AG2562" s="3" t="str">
        <f>"2000006137861339"</f>
        <v>2000006137861339</v>
      </c>
      <c r="AH2562" s="1" t="s">
        <v>58</v>
      </c>
      <c r="AI2562" s="1" t="s">
        <v>59</v>
      </c>
      <c r="AJ2562" s="1" t="s">
        <v>59</v>
      </c>
      <c r="AK2562" s="1" t="s">
        <v>60</v>
      </c>
      <c r="AL2562" s="1" t="s">
        <v>60</v>
      </c>
      <c r="AW2562" s="1" t="s">
        <v>2944</v>
      </c>
      <c r="AY2562" s="1">
        <v>1.0</v>
      </c>
      <c r="AZ2562" s="1">
        <v>49.99</v>
      </c>
      <c r="BB2562" s="1">
        <v>49.99</v>
      </c>
    </row>
    <row r="2563">
      <c r="A2563" s="1" t="s">
        <v>2036</v>
      </c>
      <c r="C2563" s="1" t="s">
        <v>56</v>
      </c>
      <c r="D2563" s="1" t="s">
        <v>3806</v>
      </c>
      <c r="Y2563" s="2">
        <v>45510.0</v>
      </c>
      <c r="AE2563" s="1">
        <v>219.98</v>
      </c>
      <c r="AG2563" s="3" t="str">
        <f>"2000006137858365"</f>
        <v>2000006137858365</v>
      </c>
      <c r="AH2563" s="1" t="s">
        <v>58</v>
      </c>
      <c r="AI2563" s="1" t="s">
        <v>59</v>
      </c>
      <c r="AJ2563" s="1" t="s">
        <v>59</v>
      </c>
      <c r="AK2563" s="1" t="s">
        <v>60</v>
      </c>
      <c r="AL2563" s="1" t="s">
        <v>60</v>
      </c>
      <c r="AW2563" s="1" t="s">
        <v>3265</v>
      </c>
      <c r="AY2563" s="1">
        <v>2.0</v>
      </c>
      <c r="AZ2563" s="1">
        <v>109.99</v>
      </c>
      <c r="BB2563" s="1">
        <v>219.98</v>
      </c>
    </row>
    <row r="2564">
      <c r="A2564" s="1" t="s">
        <v>1648</v>
      </c>
      <c r="C2564" s="1" t="s">
        <v>56</v>
      </c>
      <c r="D2564" s="1" t="s">
        <v>3807</v>
      </c>
      <c r="Y2564" s="2">
        <v>45510.0</v>
      </c>
      <c r="AE2564" s="1">
        <v>99.99</v>
      </c>
      <c r="AG2564" s="3" t="str">
        <f>"2000008967759430"</f>
        <v>2000008967759430</v>
      </c>
      <c r="AH2564" s="1" t="s">
        <v>58</v>
      </c>
      <c r="AI2564" s="1" t="s">
        <v>59</v>
      </c>
      <c r="AJ2564" s="1" t="s">
        <v>59</v>
      </c>
      <c r="AK2564" s="1" t="s">
        <v>60</v>
      </c>
      <c r="AL2564" s="1" t="s">
        <v>60</v>
      </c>
      <c r="AW2564" s="1" t="s">
        <v>1650</v>
      </c>
      <c r="AY2564" s="1">
        <v>1.0</v>
      </c>
      <c r="AZ2564" s="1">
        <v>99.99</v>
      </c>
      <c r="BB2564" s="1">
        <v>99.99</v>
      </c>
    </row>
    <row r="2565">
      <c r="A2565" s="1" t="s">
        <v>2737</v>
      </c>
      <c r="C2565" s="1" t="s">
        <v>56</v>
      </c>
      <c r="D2565" s="1" t="s">
        <v>3808</v>
      </c>
      <c r="Y2565" s="2">
        <v>45510.0</v>
      </c>
      <c r="AE2565" s="1">
        <v>59.99</v>
      </c>
      <c r="AG2565" s="3" t="str">
        <f>"2000006134174187"</f>
        <v>2000006134174187</v>
      </c>
      <c r="AH2565" s="1" t="s">
        <v>58</v>
      </c>
      <c r="AI2565" s="1" t="s">
        <v>59</v>
      </c>
      <c r="AJ2565" s="1" t="s">
        <v>59</v>
      </c>
      <c r="AK2565" s="1" t="s">
        <v>60</v>
      </c>
      <c r="AL2565" s="1" t="s">
        <v>60</v>
      </c>
      <c r="AW2565" s="1" t="s">
        <v>2739</v>
      </c>
      <c r="AY2565" s="1">
        <v>1.0</v>
      </c>
      <c r="AZ2565" s="1">
        <v>59.99</v>
      </c>
      <c r="BB2565" s="1">
        <v>59.99</v>
      </c>
    </row>
    <row r="2566">
      <c r="A2566" s="1" t="s">
        <v>256</v>
      </c>
      <c r="C2566" s="1" t="s">
        <v>56</v>
      </c>
      <c r="D2566" s="1" t="s">
        <v>3809</v>
      </c>
      <c r="Y2566" s="2">
        <v>45510.0</v>
      </c>
      <c r="AE2566" s="1">
        <v>299.98</v>
      </c>
      <c r="AG2566" s="3" t="str">
        <f>"2000006137700245"</f>
        <v>2000006137700245</v>
      </c>
      <c r="AH2566" s="1" t="s">
        <v>58</v>
      </c>
      <c r="AI2566" s="1" t="s">
        <v>59</v>
      </c>
      <c r="AJ2566" s="1" t="s">
        <v>59</v>
      </c>
      <c r="AK2566" s="1" t="s">
        <v>60</v>
      </c>
      <c r="AL2566" s="1" t="s">
        <v>60</v>
      </c>
      <c r="AW2566" s="1" t="s">
        <v>3764</v>
      </c>
      <c r="AY2566" s="1">
        <v>2.0</v>
      </c>
      <c r="AZ2566" s="1">
        <v>149.99</v>
      </c>
      <c r="BB2566" s="1">
        <v>299.98</v>
      </c>
    </row>
    <row r="2567">
      <c r="A2567" s="1" t="s">
        <v>68</v>
      </c>
      <c r="C2567" s="1" t="s">
        <v>56</v>
      </c>
      <c r="D2567" s="1" t="s">
        <v>3810</v>
      </c>
      <c r="Y2567" s="2">
        <v>45510.0</v>
      </c>
      <c r="AE2567" s="1">
        <v>49.99</v>
      </c>
      <c r="AG2567" s="3" t="str">
        <f>"2000006137560231"</f>
        <v>2000006137560231</v>
      </c>
      <c r="AH2567" s="1" t="s">
        <v>58</v>
      </c>
      <c r="AI2567" s="1" t="s">
        <v>59</v>
      </c>
      <c r="AJ2567" s="1" t="s">
        <v>59</v>
      </c>
      <c r="AK2567" s="1" t="s">
        <v>60</v>
      </c>
      <c r="AL2567" s="1" t="s">
        <v>60</v>
      </c>
      <c r="AW2567" s="1" t="s">
        <v>70</v>
      </c>
      <c r="AY2567" s="1">
        <v>1.0</v>
      </c>
      <c r="AZ2567" s="1">
        <v>49.99</v>
      </c>
      <c r="BB2567" s="1">
        <v>49.99</v>
      </c>
    </row>
    <row r="2568">
      <c r="A2568" s="1" t="s">
        <v>768</v>
      </c>
      <c r="C2568" s="1" t="s">
        <v>56</v>
      </c>
      <c r="D2568" s="1" t="s">
        <v>3811</v>
      </c>
      <c r="Y2568" s="2">
        <v>45510.0</v>
      </c>
      <c r="AE2568" s="1">
        <v>159.99</v>
      </c>
      <c r="AG2568" s="3" t="str">
        <f>"2000006137666909"</f>
        <v>2000006137666909</v>
      </c>
      <c r="AH2568" s="1" t="s">
        <v>58</v>
      </c>
      <c r="AI2568" s="1" t="s">
        <v>59</v>
      </c>
      <c r="AJ2568" s="1" t="s">
        <v>59</v>
      </c>
      <c r="AK2568" s="1" t="s">
        <v>60</v>
      </c>
      <c r="AL2568" s="1" t="s">
        <v>60</v>
      </c>
      <c r="AW2568" s="1" t="s">
        <v>770</v>
      </c>
      <c r="AY2568" s="1">
        <v>1.0</v>
      </c>
      <c r="AZ2568" s="1">
        <v>159.99</v>
      </c>
      <c r="BB2568" s="1">
        <v>159.99</v>
      </c>
    </row>
    <row r="2569">
      <c r="A2569" s="1" t="s">
        <v>803</v>
      </c>
      <c r="C2569" s="1" t="s">
        <v>56</v>
      </c>
      <c r="D2569" s="1" t="s">
        <v>3812</v>
      </c>
      <c r="Y2569" s="2">
        <v>45510.0</v>
      </c>
      <c r="AE2569" s="1">
        <v>64.99</v>
      </c>
      <c r="AG2569" s="3" t="str">
        <f>"2000006137683997"</f>
        <v>2000006137683997</v>
      </c>
      <c r="AH2569" s="1" t="s">
        <v>58</v>
      </c>
      <c r="AI2569" s="1" t="s">
        <v>59</v>
      </c>
      <c r="AJ2569" s="1" t="s">
        <v>59</v>
      </c>
      <c r="AK2569" s="1" t="s">
        <v>60</v>
      </c>
      <c r="AL2569" s="1" t="s">
        <v>60</v>
      </c>
      <c r="AW2569" s="1" t="s">
        <v>805</v>
      </c>
      <c r="AY2569" s="1">
        <v>1.0</v>
      </c>
      <c r="AZ2569" s="1">
        <v>64.99</v>
      </c>
      <c r="BB2569" s="1">
        <v>64.99</v>
      </c>
    </row>
    <row r="2570">
      <c r="A2570" s="1" t="s">
        <v>737</v>
      </c>
      <c r="C2570" s="1" t="s">
        <v>56</v>
      </c>
      <c r="D2570" s="1" t="s">
        <v>3813</v>
      </c>
      <c r="Y2570" s="2">
        <v>45510.0</v>
      </c>
      <c r="AE2570" s="1">
        <v>359.97</v>
      </c>
      <c r="AG2570" s="3" t="str">
        <f>"2000006137682659"</f>
        <v>2000006137682659</v>
      </c>
      <c r="AH2570" s="1" t="s">
        <v>58</v>
      </c>
      <c r="AI2570" s="1" t="s">
        <v>59</v>
      </c>
      <c r="AJ2570" s="1" t="s">
        <v>59</v>
      </c>
      <c r="AK2570" s="1" t="s">
        <v>60</v>
      </c>
      <c r="AL2570" s="1" t="s">
        <v>60</v>
      </c>
      <c r="AW2570" s="1" t="s">
        <v>739</v>
      </c>
      <c r="AY2570" s="1">
        <v>3.0</v>
      </c>
      <c r="AZ2570" s="1">
        <v>119.99</v>
      </c>
      <c r="BB2570" s="1">
        <v>359.969999999999</v>
      </c>
    </row>
    <row r="2571">
      <c r="A2571" s="1" t="s">
        <v>307</v>
      </c>
      <c r="C2571" s="1" t="s">
        <v>56</v>
      </c>
      <c r="D2571" s="1" t="s">
        <v>3814</v>
      </c>
      <c r="Y2571" s="2">
        <v>45510.0</v>
      </c>
      <c r="AE2571" s="1">
        <v>64.99</v>
      </c>
      <c r="AG2571" s="3" t="str">
        <f>"2000006137674089"</f>
        <v>2000006137674089</v>
      </c>
      <c r="AH2571" s="1" t="s">
        <v>58</v>
      </c>
      <c r="AI2571" s="1" t="s">
        <v>59</v>
      </c>
      <c r="AJ2571" s="1" t="s">
        <v>59</v>
      </c>
      <c r="AK2571" s="1" t="s">
        <v>60</v>
      </c>
      <c r="AL2571" s="1" t="s">
        <v>60</v>
      </c>
      <c r="AW2571" s="1" t="s">
        <v>309</v>
      </c>
      <c r="AY2571" s="1">
        <v>1.0</v>
      </c>
      <c r="AZ2571" s="1">
        <v>64.99</v>
      </c>
      <c r="BB2571" s="1">
        <v>64.99</v>
      </c>
    </row>
    <row r="2572">
      <c r="A2572" s="1" t="s">
        <v>2784</v>
      </c>
      <c r="C2572" s="1" t="s">
        <v>235</v>
      </c>
      <c r="D2572" s="1" t="s">
        <v>3679</v>
      </c>
      <c r="Y2572" s="2">
        <v>45510.0</v>
      </c>
      <c r="AE2572" s="1">
        <v>39.99</v>
      </c>
      <c r="AG2572" s="3" t="str">
        <f>"2000006137667481"</f>
        <v>2000006137667481</v>
      </c>
      <c r="AH2572" s="1" t="s">
        <v>58</v>
      </c>
      <c r="AI2572" s="1" t="s">
        <v>59</v>
      </c>
      <c r="AJ2572" s="1" t="s">
        <v>59</v>
      </c>
      <c r="AK2572" s="1" t="s">
        <v>60</v>
      </c>
      <c r="AL2572" s="1" t="s">
        <v>60</v>
      </c>
      <c r="AW2572" s="1" t="s">
        <v>1529</v>
      </c>
      <c r="AY2572" s="1">
        <v>1.0</v>
      </c>
      <c r="AZ2572" s="1">
        <v>39.99</v>
      </c>
      <c r="BB2572" s="1">
        <v>39.99</v>
      </c>
    </row>
    <row r="2573">
      <c r="A2573" s="1" t="s">
        <v>377</v>
      </c>
      <c r="C2573" s="1" t="s">
        <v>56</v>
      </c>
      <c r="D2573" s="1" t="s">
        <v>3815</v>
      </c>
      <c r="Y2573" s="2">
        <v>45510.0</v>
      </c>
      <c r="AE2573" s="1">
        <v>64.99</v>
      </c>
      <c r="AG2573" s="3" t="str">
        <f>"2000008967473118"</f>
        <v>2000008967473118</v>
      </c>
      <c r="AH2573" s="1" t="s">
        <v>58</v>
      </c>
      <c r="AI2573" s="1" t="s">
        <v>59</v>
      </c>
      <c r="AJ2573" s="1" t="s">
        <v>59</v>
      </c>
      <c r="AK2573" s="1" t="s">
        <v>60</v>
      </c>
      <c r="AL2573" s="1" t="s">
        <v>60</v>
      </c>
      <c r="AW2573" s="1" t="s">
        <v>79</v>
      </c>
      <c r="AY2573" s="1">
        <v>1.0</v>
      </c>
      <c r="AZ2573" s="1">
        <v>64.99</v>
      </c>
      <c r="BB2573" s="1">
        <v>64.99</v>
      </c>
    </row>
    <row r="2574">
      <c r="A2574" s="1" t="s">
        <v>768</v>
      </c>
      <c r="C2574" s="1" t="s">
        <v>56</v>
      </c>
      <c r="D2574" s="1" t="s">
        <v>3816</v>
      </c>
      <c r="Y2574" s="2">
        <v>45510.0</v>
      </c>
      <c r="AE2574" s="1">
        <v>159.99</v>
      </c>
      <c r="AG2574" s="3" t="str">
        <f>"2000006137655967"</f>
        <v>2000006137655967</v>
      </c>
      <c r="AH2574" s="1" t="s">
        <v>58</v>
      </c>
      <c r="AI2574" s="1" t="s">
        <v>59</v>
      </c>
      <c r="AJ2574" s="1" t="s">
        <v>59</v>
      </c>
      <c r="AK2574" s="1" t="s">
        <v>60</v>
      </c>
      <c r="AL2574" s="1" t="s">
        <v>60</v>
      </c>
      <c r="AW2574" s="1" t="s">
        <v>770</v>
      </c>
      <c r="AY2574" s="1">
        <v>1.0</v>
      </c>
      <c r="AZ2574" s="1">
        <v>159.99</v>
      </c>
      <c r="BB2574" s="1">
        <v>159.99</v>
      </c>
    </row>
    <row r="2575">
      <c r="A2575" s="1" t="s">
        <v>1724</v>
      </c>
      <c r="C2575" s="1" t="s">
        <v>56</v>
      </c>
      <c r="D2575" s="1" t="s">
        <v>3817</v>
      </c>
      <c r="Y2575" s="2">
        <v>45510.0</v>
      </c>
      <c r="AE2575" s="1">
        <v>129.99</v>
      </c>
      <c r="AG2575" s="3" t="str">
        <f>"2000006137580539"</f>
        <v>2000006137580539</v>
      </c>
      <c r="AH2575" s="1" t="s">
        <v>58</v>
      </c>
      <c r="AI2575" s="1" t="s">
        <v>59</v>
      </c>
      <c r="AJ2575" s="1" t="s">
        <v>59</v>
      </c>
      <c r="AK2575" s="1" t="s">
        <v>60</v>
      </c>
      <c r="AL2575" s="1" t="s">
        <v>60</v>
      </c>
      <c r="AW2575" s="1" t="s">
        <v>1726</v>
      </c>
      <c r="AY2575" s="1">
        <v>1.0</v>
      </c>
      <c r="AZ2575" s="1">
        <v>129.99</v>
      </c>
      <c r="BB2575" s="1">
        <v>129.99</v>
      </c>
    </row>
    <row r="2576">
      <c r="A2576" s="1" t="s">
        <v>933</v>
      </c>
      <c r="C2576" s="1" t="s">
        <v>56</v>
      </c>
      <c r="D2576" s="1" t="s">
        <v>3818</v>
      </c>
      <c r="Y2576" s="2">
        <v>45510.0</v>
      </c>
      <c r="AE2576" s="1">
        <v>79.99</v>
      </c>
      <c r="AG2576" s="3" t="str">
        <f>"2000006137525513"</f>
        <v>2000006137525513</v>
      </c>
      <c r="AH2576" s="1" t="s">
        <v>58</v>
      </c>
      <c r="AI2576" s="1" t="s">
        <v>59</v>
      </c>
      <c r="AJ2576" s="1" t="s">
        <v>59</v>
      </c>
      <c r="AK2576" s="1" t="s">
        <v>60</v>
      </c>
      <c r="AL2576" s="1" t="s">
        <v>60</v>
      </c>
      <c r="AW2576" s="1" t="s">
        <v>935</v>
      </c>
      <c r="AY2576" s="1">
        <v>1.0</v>
      </c>
      <c r="AZ2576" s="1">
        <v>79.99</v>
      </c>
      <c r="BB2576" s="1">
        <v>79.99</v>
      </c>
    </row>
    <row r="2577">
      <c r="A2577" s="1" t="s">
        <v>3819</v>
      </c>
      <c r="C2577" s="1" t="s">
        <v>56</v>
      </c>
      <c r="D2577" s="1" t="s">
        <v>3820</v>
      </c>
      <c r="Y2577" s="2">
        <v>45510.0</v>
      </c>
      <c r="AE2577" s="1">
        <v>249.99</v>
      </c>
      <c r="AG2577" s="3" t="str">
        <f>"2000006137516509"</f>
        <v>2000006137516509</v>
      </c>
      <c r="AH2577" s="1" t="s">
        <v>58</v>
      </c>
      <c r="AI2577" s="1" t="s">
        <v>59</v>
      </c>
      <c r="AJ2577" s="1" t="s">
        <v>59</v>
      </c>
      <c r="AK2577" s="1" t="s">
        <v>60</v>
      </c>
      <c r="AL2577" s="1" t="s">
        <v>60</v>
      </c>
      <c r="AW2577" s="1" t="s">
        <v>644</v>
      </c>
      <c r="AY2577" s="1">
        <v>1.0</v>
      </c>
      <c r="AZ2577" s="1">
        <v>249.99</v>
      </c>
      <c r="BB2577" s="1">
        <v>249.99</v>
      </c>
    </row>
    <row r="2578">
      <c r="A2578" s="1" t="s">
        <v>3765</v>
      </c>
      <c r="C2578" s="1" t="s">
        <v>56</v>
      </c>
      <c r="D2578" s="1" t="s">
        <v>3821</v>
      </c>
      <c r="Y2578" s="2">
        <v>45510.0</v>
      </c>
      <c r="AE2578" s="1">
        <v>219.99</v>
      </c>
      <c r="AG2578" s="3" t="str">
        <f>"2000006137542467"</f>
        <v>2000006137542467</v>
      </c>
      <c r="AH2578" s="1" t="s">
        <v>58</v>
      </c>
      <c r="AI2578" s="1" t="s">
        <v>59</v>
      </c>
      <c r="AJ2578" s="1" t="s">
        <v>59</v>
      </c>
      <c r="AK2578" s="1" t="s">
        <v>60</v>
      </c>
      <c r="AL2578" s="1" t="s">
        <v>60</v>
      </c>
      <c r="AW2578" s="1" t="s">
        <v>3822</v>
      </c>
      <c r="AY2578" s="1">
        <v>1.0</v>
      </c>
      <c r="AZ2578" s="1">
        <v>219.99</v>
      </c>
      <c r="BB2578" s="1">
        <v>219.99</v>
      </c>
    </row>
    <row r="2579">
      <c r="A2579" s="1" t="s">
        <v>125</v>
      </c>
      <c r="C2579" s="1" t="s">
        <v>56</v>
      </c>
      <c r="D2579" s="1" t="s">
        <v>3823</v>
      </c>
      <c r="Y2579" s="2">
        <v>45510.0</v>
      </c>
      <c r="AE2579" s="1">
        <v>299.94</v>
      </c>
      <c r="AG2579" s="3" t="str">
        <f>"2000006137524809"</f>
        <v>2000006137524809</v>
      </c>
      <c r="AH2579" s="1" t="s">
        <v>58</v>
      </c>
      <c r="AI2579" s="1" t="s">
        <v>59</v>
      </c>
      <c r="AJ2579" s="1" t="s">
        <v>59</v>
      </c>
      <c r="AK2579" s="1" t="s">
        <v>60</v>
      </c>
      <c r="AL2579" s="1" t="s">
        <v>60</v>
      </c>
      <c r="AW2579" s="1" t="s">
        <v>127</v>
      </c>
      <c r="AY2579" s="1">
        <v>6.0</v>
      </c>
      <c r="AZ2579" s="1">
        <v>49.99</v>
      </c>
      <c r="BB2579" s="1">
        <v>299.94</v>
      </c>
    </row>
    <row r="2580">
      <c r="A2580" s="1" t="s">
        <v>178</v>
      </c>
      <c r="C2580" s="1" t="s">
        <v>56</v>
      </c>
      <c r="D2580" s="1" t="s">
        <v>3824</v>
      </c>
      <c r="Y2580" s="2">
        <v>45510.0</v>
      </c>
      <c r="AE2580" s="1">
        <v>134.99</v>
      </c>
      <c r="AG2580" s="3" t="str">
        <f>"2000006137523137"</f>
        <v>2000006137523137</v>
      </c>
      <c r="AH2580" s="1" t="s">
        <v>58</v>
      </c>
      <c r="AI2580" s="1" t="s">
        <v>59</v>
      </c>
      <c r="AJ2580" s="1" t="s">
        <v>59</v>
      </c>
      <c r="AK2580" s="1" t="s">
        <v>60</v>
      </c>
      <c r="AL2580" s="1" t="s">
        <v>60</v>
      </c>
      <c r="AW2580" s="1" t="s">
        <v>180</v>
      </c>
      <c r="AY2580" s="1">
        <v>1.0</v>
      </c>
      <c r="AZ2580" s="1">
        <v>134.99</v>
      </c>
      <c r="BB2580" s="1">
        <v>134.99</v>
      </c>
    </row>
    <row r="2581">
      <c r="A2581" s="1" t="s">
        <v>655</v>
      </c>
      <c r="C2581" s="1" t="s">
        <v>56</v>
      </c>
      <c r="D2581" s="1" t="s">
        <v>3825</v>
      </c>
      <c r="Y2581" s="2">
        <v>45510.0</v>
      </c>
      <c r="AE2581" s="1">
        <v>74.99</v>
      </c>
      <c r="AG2581" s="3" t="str">
        <f>"2000006137492739"</f>
        <v>2000006137492739</v>
      </c>
      <c r="AH2581" s="1" t="s">
        <v>58</v>
      </c>
      <c r="AI2581" s="1" t="s">
        <v>59</v>
      </c>
      <c r="AJ2581" s="1" t="s">
        <v>59</v>
      </c>
      <c r="AK2581" s="1" t="s">
        <v>60</v>
      </c>
      <c r="AL2581" s="1" t="s">
        <v>60</v>
      </c>
      <c r="AW2581" s="1" t="s">
        <v>657</v>
      </c>
      <c r="AY2581" s="1">
        <v>1.0</v>
      </c>
      <c r="AZ2581" s="1">
        <v>74.99</v>
      </c>
      <c r="BB2581" s="1">
        <v>74.99</v>
      </c>
    </row>
    <row r="2582">
      <c r="A2582" s="1" t="s">
        <v>3826</v>
      </c>
      <c r="C2582" s="1" t="s">
        <v>56</v>
      </c>
      <c r="D2582" s="1" t="s">
        <v>3827</v>
      </c>
      <c r="Y2582" s="2">
        <v>45510.0</v>
      </c>
      <c r="AE2582" s="1">
        <v>129.99</v>
      </c>
      <c r="AG2582" s="3" t="str">
        <f>"2000006137480897"</f>
        <v>2000006137480897</v>
      </c>
      <c r="AH2582" s="1" t="s">
        <v>58</v>
      </c>
      <c r="AI2582" s="1" t="s">
        <v>59</v>
      </c>
      <c r="AJ2582" s="1" t="s">
        <v>59</v>
      </c>
      <c r="AK2582" s="1" t="s">
        <v>60</v>
      </c>
      <c r="AL2582" s="1" t="s">
        <v>60</v>
      </c>
      <c r="AW2582" s="1" t="s">
        <v>3828</v>
      </c>
      <c r="AY2582" s="1">
        <v>1.0</v>
      </c>
      <c r="AZ2582" s="1">
        <v>129.99</v>
      </c>
      <c r="BB2582" s="1">
        <v>129.99</v>
      </c>
    </row>
    <row r="2583">
      <c r="A2583" s="1" t="s">
        <v>3829</v>
      </c>
      <c r="C2583" s="1" t="s">
        <v>56</v>
      </c>
      <c r="D2583" s="1" t="s">
        <v>3830</v>
      </c>
      <c r="Y2583" s="2">
        <v>45510.0</v>
      </c>
      <c r="AE2583" s="1">
        <v>99.99</v>
      </c>
      <c r="AG2583" s="3" t="str">
        <f>"2000006137408409"</f>
        <v>2000006137408409</v>
      </c>
      <c r="AH2583" s="1" t="s">
        <v>58</v>
      </c>
      <c r="AI2583" s="1" t="s">
        <v>59</v>
      </c>
      <c r="AJ2583" s="1" t="s">
        <v>59</v>
      </c>
      <c r="AK2583" s="1" t="s">
        <v>60</v>
      </c>
      <c r="AL2583" s="1" t="s">
        <v>60</v>
      </c>
      <c r="AW2583" s="1" t="s">
        <v>3831</v>
      </c>
      <c r="AY2583" s="1">
        <v>1.0</v>
      </c>
      <c r="AZ2583" s="1">
        <v>99.99</v>
      </c>
      <c r="BB2583" s="1">
        <v>99.99</v>
      </c>
    </row>
    <row r="2584">
      <c r="A2584" s="1" t="s">
        <v>508</v>
      </c>
      <c r="C2584" s="1" t="s">
        <v>56</v>
      </c>
      <c r="D2584" s="1" t="s">
        <v>3832</v>
      </c>
      <c r="Y2584" s="2">
        <v>45510.0</v>
      </c>
      <c r="AE2584" s="1">
        <v>184.99</v>
      </c>
      <c r="AG2584" s="3" t="str">
        <f>"2000006137350897"</f>
        <v>2000006137350897</v>
      </c>
      <c r="AH2584" s="1" t="s">
        <v>58</v>
      </c>
      <c r="AI2584" s="1" t="s">
        <v>59</v>
      </c>
      <c r="AJ2584" s="1" t="s">
        <v>59</v>
      </c>
      <c r="AK2584" s="1" t="s">
        <v>60</v>
      </c>
      <c r="AL2584" s="1" t="s">
        <v>60</v>
      </c>
      <c r="AW2584" s="1" t="s">
        <v>1535</v>
      </c>
      <c r="AY2584" s="1">
        <v>1.0</v>
      </c>
      <c r="AZ2584" s="1">
        <v>184.99</v>
      </c>
      <c r="BB2584" s="1">
        <v>184.99</v>
      </c>
    </row>
    <row r="2585">
      <c r="A2585" s="1" t="s">
        <v>3833</v>
      </c>
      <c r="C2585" s="1" t="s">
        <v>56</v>
      </c>
      <c r="D2585" s="1" t="s">
        <v>3834</v>
      </c>
      <c r="Y2585" s="2">
        <v>45510.0</v>
      </c>
      <c r="AE2585" s="1">
        <v>79.99</v>
      </c>
      <c r="AG2585" s="3" t="str">
        <f>"2000006137267101"</f>
        <v>2000006137267101</v>
      </c>
      <c r="AH2585" s="1" t="s">
        <v>58</v>
      </c>
      <c r="AI2585" s="1" t="s">
        <v>59</v>
      </c>
      <c r="AJ2585" s="1" t="s">
        <v>59</v>
      </c>
      <c r="AK2585" s="1" t="s">
        <v>60</v>
      </c>
      <c r="AL2585" s="1" t="s">
        <v>60</v>
      </c>
      <c r="AW2585" s="1" t="s">
        <v>1283</v>
      </c>
      <c r="AY2585" s="1">
        <v>1.0</v>
      </c>
      <c r="AZ2585" s="1">
        <v>79.99</v>
      </c>
      <c r="BB2585" s="1">
        <v>79.99</v>
      </c>
    </row>
    <row r="2586">
      <c r="A2586" s="1" t="s">
        <v>2791</v>
      </c>
      <c r="C2586" s="1" t="s">
        <v>56</v>
      </c>
      <c r="D2586" s="1" t="s">
        <v>3835</v>
      </c>
      <c r="Y2586" s="2">
        <v>45510.0</v>
      </c>
      <c r="AE2586" s="1">
        <v>119.99</v>
      </c>
      <c r="AG2586" s="3" t="str">
        <f>"2000006132984885"</f>
        <v>2000006132984885</v>
      </c>
      <c r="AH2586" s="1" t="s">
        <v>58</v>
      </c>
      <c r="AI2586" s="1" t="s">
        <v>59</v>
      </c>
      <c r="AJ2586" s="1" t="s">
        <v>59</v>
      </c>
      <c r="AK2586" s="1" t="s">
        <v>60</v>
      </c>
      <c r="AL2586" s="1" t="s">
        <v>60</v>
      </c>
      <c r="AW2586" s="1" t="s">
        <v>2793</v>
      </c>
      <c r="AY2586" s="1">
        <v>1.0</v>
      </c>
      <c r="AZ2586" s="1">
        <v>119.99</v>
      </c>
      <c r="BB2586" s="1">
        <v>119.99</v>
      </c>
    </row>
    <row r="2587">
      <c r="A2587" s="1" t="s">
        <v>390</v>
      </c>
      <c r="C2587" s="1" t="s">
        <v>56</v>
      </c>
      <c r="D2587" s="1" t="s">
        <v>3836</v>
      </c>
      <c r="Y2587" s="2">
        <v>45510.0</v>
      </c>
      <c r="AE2587" s="1">
        <v>79.99</v>
      </c>
      <c r="AG2587" s="3" t="str">
        <f>"2000006137360089"</f>
        <v>2000006137360089</v>
      </c>
      <c r="AH2587" s="1" t="s">
        <v>58</v>
      </c>
      <c r="AI2587" s="1" t="s">
        <v>59</v>
      </c>
      <c r="AJ2587" s="1" t="s">
        <v>59</v>
      </c>
      <c r="AK2587" s="1" t="s">
        <v>60</v>
      </c>
      <c r="AL2587" s="1" t="s">
        <v>60</v>
      </c>
      <c r="AW2587" s="1" t="s">
        <v>392</v>
      </c>
      <c r="AY2587" s="1">
        <v>1.0</v>
      </c>
      <c r="AZ2587" s="1">
        <v>79.99</v>
      </c>
      <c r="BB2587" s="1">
        <v>79.99</v>
      </c>
    </row>
    <row r="2588">
      <c r="A2588" s="1" t="s">
        <v>802</v>
      </c>
      <c r="C2588" s="1" t="s">
        <v>56</v>
      </c>
      <c r="D2588" s="1" t="s">
        <v>3837</v>
      </c>
      <c r="Y2588" s="2">
        <v>45510.0</v>
      </c>
      <c r="AE2588" s="1">
        <v>49.99</v>
      </c>
      <c r="AG2588" s="3" t="str">
        <f>"2000008966874826"</f>
        <v>2000008966874826</v>
      </c>
      <c r="AH2588" s="1" t="s">
        <v>58</v>
      </c>
      <c r="AI2588" s="1" t="s">
        <v>59</v>
      </c>
      <c r="AJ2588" s="1" t="s">
        <v>59</v>
      </c>
      <c r="AK2588" s="1" t="s">
        <v>60</v>
      </c>
      <c r="AL2588" s="1" t="s">
        <v>60</v>
      </c>
      <c r="AW2588" s="1" t="s">
        <v>70</v>
      </c>
      <c r="AY2588" s="1">
        <v>1.0</v>
      </c>
      <c r="AZ2588" s="1">
        <v>49.99</v>
      </c>
      <c r="BB2588" s="1">
        <v>49.99</v>
      </c>
    </row>
    <row r="2589">
      <c r="A2589" s="1" t="s">
        <v>859</v>
      </c>
      <c r="C2589" s="1" t="s">
        <v>56</v>
      </c>
      <c r="D2589" s="1" t="s">
        <v>3838</v>
      </c>
      <c r="Y2589" s="2">
        <v>45510.0</v>
      </c>
      <c r="AE2589" s="1">
        <v>294.99</v>
      </c>
      <c r="AG2589" s="3" t="str">
        <f>"2000006137324777"</f>
        <v>2000006137324777</v>
      </c>
      <c r="AH2589" s="1" t="s">
        <v>58</v>
      </c>
      <c r="AI2589" s="1" t="s">
        <v>59</v>
      </c>
      <c r="AJ2589" s="1" t="s">
        <v>59</v>
      </c>
      <c r="AK2589" s="1" t="s">
        <v>60</v>
      </c>
      <c r="AL2589" s="1" t="s">
        <v>60</v>
      </c>
      <c r="AW2589" s="1" t="s">
        <v>861</v>
      </c>
      <c r="AY2589" s="1">
        <v>1.0</v>
      </c>
      <c r="AZ2589" s="1">
        <v>294.99</v>
      </c>
      <c r="BB2589" s="1">
        <v>294.99</v>
      </c>
    </row>
    <row r="2590">
      <c r="A2590" s="1" t="s">
        <v>1245</v>
      </c>
      <c r="C2590" s="1" t="s">
        <v>56</v>
      </c>
      <c r="D2590" s="1" t="s">
        <v>3839</v>
      </c>
      <c r="Y2590" s="2">
        <v>45510.0</v>
      </c>
      <c r="AE2590" s="1">
        <v>219.99</v>
      </c>
      <c r="AG2590" s="3" t="str">
        <f>"2000006137290415"</f>
        <v>2000006137290415</v>
      </c>
      <c r="AH2590" s="1" t="s">
        <v>58</v>
      </c>
      <c r="AI2590" s="1" t="s">
        <v>59</v>
      </c>
      <c r="AJ2590" s="1" t="s">
        <v>59</v>
      </c>
      <c r="AK2590" s="1" t="s">
        <v>60</v>
      </c>
      <c r="AL2590" s="1" t="s">
        <v>60</v>
      </c>
      <c r="AW2590" s="1" t="s">
        <v>1247</v>
      </c>
      <c r="AY2590" s="1">
        <v>1.0</v>
      </c>
      <c r="AZ2590" s="1">
        <v>219.99</v>
      </c>
      <c r="BB2590" s="1">
        <v>219.99</v>
      </c>
    </row>
    <row r="2591">
      <c r="A2591" s="1" t="s">
        <v>354</v>
      </c>
      <c r="C2591" s="1" t="s">
        <v>56</v>
      </c>
      <c r="D2591" s="1" t="s">
        <v>3840</v>
      </c>
      <c r="Y2591" s="2">
        <v>45510.0</v>
      </c>
      <c r="AE2591" s="1">
        <v>649.99</v>
      </c>
      <c r="AG2591" s="3" t="str">
        <f>"2000008966778808"</f>
        <v>2000008966778808</v>
      </c>
      <c r="AH2591" s="1" t="s">
        <v>58</v>
      </c>
      <c r="AI2591" s="1" t="s">
        <v>59</v>
      </c>
      <c r="AJ2591" s="1" t="s">
        <v>59</v>
      </c>
      <c r="AK2591" s="1" t="s">
        <v>60</v>
      </c>
      <c r="AL2591" s="1" t="s">
        <v>60</v>
      </c>
      <c r="AW2591" s="1" t="s">
        <v>356</v>
      </c>
      <c r="AY2591" s="1">
        <v>1.0</v>
      </c>
      <c r="AZ2591" s="1">
        <v>649.99</v>
      </c>
      <c r="BB2591" s="1">
        <v>649.99</v>
      </c>
    </row>
    <row r="2592">
      <c r="A2592" s="1" t="s">
        <v>335</v>
      </c>
      <c r="C2592" s="1" t="s">
        <v>56</v>
      </c>
      <c r="D2592" s="1" t="s">
        <v>3841</v>
      </c>
      <c r="Y2592" s="2">
        <v>45510.0</v>
      </c>
      <c r="AE2592" s="1">
        <v>64.99</v>
      </c>
      <c r="AG2592" s="3" t="str">
        <f>"2000006137270701"</f>
        <v>2000006137270701</v>
      </c>
      <c r="AH2592" s="1" t="s">
        <v>58</v>
      </c>
      <c r="AI2592" s="1" t="s">
        <v>59</v>
      </c>
      <c r="AJ2592" s="1" t="s">
        <v>59</v>
      </c>
      <c r="AK2592" s="1" t="s">
        <v>60</v>
      </c>
      <c r="AL2592" s="1" t="s">
        <v>60</v>
      </c>
      <c r="AW2592" s="1" t="s">
        <v>209</v>
      </c>
      <c r="AY2592" s="1">
        <v>1.0</v>
      </c>
      <c r="AZ2592" s="1">
        <v>64.99</v>
      </c>
      <c r="BB2592" s="1">
        <v>64.99</v>
      </c>
    </row>
    <row r="2593">
      <c r="A2593" s="1" t="s">
        <v>539</v>
      </c>
      <c r="C2593" s="1" t="s">
        <v>56</v>
      </c>
      <c r="D2593" s="1" t="s">
        <v>3842</v>
      </c>
      <c r="Y2593" s="2">
        <v>45510.0</v>
      </c>
      <c r="AE2593" s="1">
        <v>73.99</v>
      </c>
      <c r="AG2593" s="3" t="str">
        <f>"2000006137209379"</f>
        <v>2000006137209379</v>
      </c>
      <c r="AH2593" s="1" t="s">
        <v>58</v>
      </c>
      <c r="AI2593" s="1" t="s">
        <v>59</v>
      </c>
      <c r="AJ2593" s="1" t="s">
        <v>59</v>
      </c>
      <c r="AK2593" s="1" t="s">
        <v>60</v>
      </c>
      <c r="AL2593" s="1" t="s">
        <v>60</v>
      </c>
      <c r="AW2593" s="1" t="s">
        <v>541</v>
      </c>
      <c r="AY2593" s="1">
        <v>1.0</v>
      </c>
      <c r="AZ2593" s="1">
        <v>73.99</v>
      </c>
      <c r="BB2593" s="1">
        <v>73.99</v>
      </c>
    </row>
    <row r="2594">
      <c r="A2594" s="1" t="s">
        <v>1447</v>
      </c>
      <c r="C2594" s="1" t="s">
        <v>56</v>
      </c>
      <c r="D2594" s="1" t="s">
        <v>3843</v>
      </c>
      <c r="Y2594" s="2">
        <v>45510.0</v>
      </c>
      <c r="AE2594" s="1">
        <v>74.99</v>
      </c>
      <c r="AG2594" s="3" t="str">
        <f t="shared" ref="AG2594:AG2595" si="97">"2000006136473541"</f>
        <v>2000006136473541</v>
      </c>
      <c r="AH2594" s="1" t="s">
        <v>58</v>
      </c>
      <c r="AI2594" s="1" t="s">
        <v>59</v>
      </c>
      <c r="AJ2594" s="1" t="s">
        <v>59</v>
      </c>
      <c r="AK2594" s="1" t="s">
        <v>60</v>
      </c>
      <c r="AL2594" s="1" t="s">
        <v>60</v>
      </c>
      <c r="AW2594" s="1" t="s">
        <v>1449</v>
      </c>
      <c r="AY2594" s="1">
        <v>1.0</v>
      </c>
      <c r="AZ2594" s="1">
        <v>74.99</v>
      </c>
      <c r="BB2594" s="1">
        <v>74.99</v>
      </c>
    </row>
    <row r="2595">
      <c r="A2595" s="1" t="s">
        <v>1716</v>
      </c>
      <c r="C2595" s="1" t="s">
        <v>56</v>
      </c>
      <c r="D2595" s="1" t="s">
        <v>3843</v>
      </c>
      <c r="Y2595" s="2">
        <v>45510.0</v>
      </c>
      <c r="AE2595" s="1">
        <v>64.99</v>
      </c>
      <c r="AG2595" s="3" t="str">
        <f t="shared" si="97"/>
        <v>2000006136473541</v>
      </c>
      <c r="AH2595" s="1" t="s">
        <v>58</v>
      </c>
      <c r="AI2595" s="1" t="s">
        <v>59</v>
      </c>
      <c r="AJ2595" s="1" t="s">
        <v>59</v>
      </c>
      <c r="AK2595" s="1" t="s">
        <v>60</v>
      </c>
      <c r="AL2595" s="1" t="s">
        <v>60</v>
      </c>
      <c r="AW2595" s="1" t="s">
        <v>1718</v>
      </c>
      <c r="AY2595" s="1">
        <v>1.0</v>
      </c>
      <c r="AZ2595" s="1">
        <v>64.99</v>
      </c>
      <c r="BB2595" s="1">
        <v>64.99</v>
      </c>
    </row>
    <row r="2596">
      <c r="A2596" s="1" t="s">
        <v>3500</v>
      </c>
      <c r="C2596" s="1" t="s">
        <v>56</v>
      </c>
      <c r="D2596" s="1" t="s">
        <v>3844</v>
      </c>
      <c r="Y2596" s="2">
        <v>45510.0</v>
      </c>
      <c r="AE2596" s="1">
        <v>69.99</v>
      </c>
      <c r="AG2596" s="3" t="str">
        <f>"2000006137202497"</f>
        <v>2000006137202497</v>
      </c>
      <c r="AH2596" s="1" t="s">
        <v>58</v>
      </c>
      <c r="AI2596" s="1" t="s">
        <v>59</v>
      </c>
      <c r="AJ2596" s="1" t="s">
        <v>59</v>
      </c>
      <c r="AK2596" s="1" t="s">
        <v>60</v>
      </c>
      <c r="AL2596" s="1" t="s">
        <v>60</v>
      </c>
      <c r="AW2596" s="1" t="s">
        <v>3502</v>
      </c>
      <c r="AY2596" s="1">
        <v>1.0</v>
      </c>
      <c r="AZ2596" s="1">
        <v>69.99</v>
      </c>
      <c r="BB2596" s="1">
        <v>69.99</v>
      </c>
    </row>
    <row r="2597">
      <c r="A2597" s="1" t="s">
        <v>1217</v>
      </c>
      <c r="C2597" s="1" t="s">
        <v>56</v>
      </c>
      <c r="D2597" s="1" t="s">
        <v>3845</v>
      </c>
      <c r="Y2597" s="2">
        <v>45510.0</v>
      </c>
      <c r="AE2597" s="1">
        <v>37.49</v>
      </c>
      <c r="AG2597" s="3" t="str">
        <f>"2000006137176709"</f>
        <v>2000006137176709</v>
      </c>
      <c r="AH2597" s="1" t="s">
        <v>58</v>
      </c>
      <c r="AI2597" s="1" t="s">
        <v>59</v>
      </c>
      <c r="AJ2597" s="1" t="s">
        <v>59</v>
      </c>
      <c r="AK2597" s="1" t="s">
        <v>60</v>
      </c>
      <c r="AL2597" s="1" t="s">
        <v>60</v>
      </c>
      <c r="AW2597" s="1" t="s">
        <v>373</v>
      </c>
      <c r="AY2597" s="1">
        <v>1.0</v>
      </c>
      <c r="AZ2597" s="1">
        <v>37.49</v>
      </c>
      <c r="BB2597" s="1">
        <v>37.49</v>
      </c>
    </row>
    <row r="2598">
      <c r="A2598" s="1" t="s">
        <v>3181</v>
      </c>
      <c r="C2598" s="1" t="s">
        <v>56</v>
      </c>
      <c r="D2598" s="1" t="s">
        <v>3846</v>
      </c>
      <c r="Y2598" s="2">
        <v>45510.0</v>
      </c>
      <c r="AE2598" s="1">
        <v>54.99</v>
      </c>
      <c r="AG2598" s="3" t="str">
        <f>"2000006137164901"</f>
        <v>2000006137164901</v>
      </c>
      <c r="AH2598" s="1" t="s">
        <v>58</v>
      </c>
      <c r="AI2598" s="1" t="s">
        <v>59</v>
      </c>
      <c r="AJ2598" s="1" t="s">
        <v>59</v>
      </c>
      <c r="AK2598" s="1" t="s">
        <v>60</v>
      </c>
      <c r="AL2598" s="1" t="s">
        <v>60</v>
      </c>
      <c r="AW2598" s="1" t="s">
        <v>898</v>
      </c>
      <c r="AY2598" s="1">
        <v>1.0</v>
      </c>
      <c r="AZ2598" s="1">
        <v>54.99</v>
      </c>
      <c r="BB2598" s="1">
        <v>54.99</v>
      </c>
    </row>
    <row r="2599">
      <c r="A2599" s="1" t="s">
        <v>636</v>
      </c>
      <c r="C2599" s="1" t="s">
        <v>56</v>
      </c>
      <c r="D2599" s="1" t="s">
        <v>3847</v>
      </c>
      <c r="Y2599" s="2">
        <v>45510.0</v>
      </c>
      <c r="AE2599" s="1">
        <v>109.99</v>
      </c>
      <c r="AG2599" s="3" t="str">
        <f>"2000006137170039"</f>
        <v>2000006137170039</v>
      </c>
      <c r="AH2599" s="1" t="s">
        <v>58</v>
      </c>
      <c r="AI2599" s="1" t="s">
        <v>59</v>
      </c>
      <c r="AJ2599" s="1" t="s">
        <v>59</v>
      </c>
      <c r="AK2599" s="1" t="s">
        <v>60</v>
      </c>
      <c r="AL2599" s="1" t="s">
        <v>60</v>
      </c>
      <c r="AW2599" s="1" t="s">
        <v>638</v>
      </c>
      <c r="AY2599" s="1">
        <v>1.0</v>
      </c>
      <c r="AZ2599" s="1">
        <v>109.99</v>
      </c>
      <c r="BB2599" s="1">
        <v>109.99</v>
      </c>
    </row>
    <row r="2600">
      <c r="A2600" s="1" t="s">
        <v>1336</v>
      </c>
      <c r="C2600" s="1" t="s">
        <v>56</v>
      </c>
      <c r="D2600" s="1" t="s">
        <v>3848</v>
      </c>
      <c r="Y2600" s="2">
        <v>45510.0</v>
      </c>
      <c r="AE2600" s="1">
        <v>49.99</v>
      </c>
      <c r="AG2600" s="3" t="str">
        <f>"2000006137126209"</f>
        <v>2000006137126209</v>
      </c>
      <c r="AH2600" s="1" t="s">
        <v>58</v>
      </c>
      <c r="AI2600" s="1" t="s">
        <v>59</v>
      </c>
      <c r="AJ2600" s="1" t="s">
        <v>59</v>
      </c>
      <c r="AK2600" s="1" t="s">
        <v>60</v>
      </c>
      <c r="AL2600" s="1" t="s">
        <v>60</v>
      </c>
      <c r="AW2600" s="1" t="s">
        <v>1338</v>
      </c>
      <c r="AY2600" s="1">
        <v>1.0</v>
      </c>
      <c r="AZ2600" s="1">
        <v>49.99</v>
      </c>
      <c r="BB2600" s="1">
        <v>49.99</v>
      </c>
    </row>
    <row r="2601">
      <c r="A2601" s="1" t="s">
        <v>3181</v>
      </c>
      <c r="C2601" s="1" t="s">
        <v>235</v>
      </c>
      <c r="D2601" s="1" t="s">
        <v>3846</v>
      </c>
      <c r="Y2601" s="2">
        <v>45510.0</v>
      </c>
      <c r="AE2601" s="1">
        <v>54.99</v>
      </c>
      <c r="AG2601" s="3" t="str">
        <f>"2000006137165059"</f>
        <v>2000006137165059</v>
      </c>
      <c r="AH2601" s="1" t="s">
        <v>58</v>
      </c>
      <c r="AI2601" s="1" t="s">
        <v>59</v>
      </c>
      <c r="AJ2601" s="1" t="s">
        <v>59</v>
      </c>
      <c r="AK2601" s="1" t="s">
        <v>60</v>
      </c>
      <c r="AL2601" s="1" t="s">
        <v>60</v>
      </c>
      <c r="AW2601" s="1" t="s">
        <v>898</v>
      </c>
      <c r="AY2601" s="1">
        <v>1.0</v>
      </c>
      <c r="AZ2601" s="1">
        <v>54.99</v>
      </c>
      <c r="BB2601" s="1">
        <v>54.99</v>
      </c>
    </row>
    <row r="2602">
      <c r="A2602" s="1" t="s">
        <v>1546</v>
      </c>
      <c r="C2602" s="1" t="s">
        <v>56</v>
      </c>
      <c r="D2602" s="1" t="s">
        <v>3849</v>
      </c>
      <c r="Y2602" s="2">
        <v>45510.0</v>
      </c>
      <c r="AE2602" s="1">
        <v>99.99</v>
      </c>
      <c r="AG2602" s="3" t="str">
        <f>"2000008966427300"</f>
        <v>2000008966427300</v>
      </c>
      <c r="AH2602" s="1" t="s">
        <v>58</v>
      </c>
      <c r="AI2602" s="1" t="s">
        <v>59</v>
      </c>
      <c r="AJ2602" s="1" t="s">
        <v>59</v>
      </c>
      <c r="AK2602" s="1" t="s">
        <v>60</v>
      </c>
      <c r="AL2602" s="1" t="s">
        <v>60</v>
      </c>
      <c r="AW2602" s="1" t="s">
        <v>1548</v>
      </c>
      <c r="AY2602" s="1">
        <v>1.0</v>
      </c>
      <c r="AZ2602" s="1">
        <v>99.99</v>
      </c>
      <c r="BB2602" s="1">
        <v>99.99</v>
      </c>
    </row>
  </sheetData>
  <hyperlinks>
    <hyperlink r:id="rId1" ref="D1089"/>
    <hyperlink r:id="rId2" ref="D1134"/>
    <hyperlink r:id="rId3" ref="D1899"/>
    <hyperlink r:id="rId4" ref="D1900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48.75"/>
    <col customWidth="1" min="2" max="2" width="37.63"/>
    <col customWidth="1" min="3" max="6" width="6.88"/>
    <col customWidth="1" min="7" max="26" width="7.0"/>
  </cols>
  <sheetData>
    <row r="1" ht="12.75" customHeight="1">
      <c r="A1" s="1" t="s">
        <v>3850</v>
      </c>
      <c r="B1" s="1" t="s">
        <v>0</v>
      </c>
    </row>
    <row r="2" ht="12.75" customHeight="1">
      <c r="A2" s="6" t="s">
        <v>3851</v>
      </c>
      <c r="B2" s="6" t="s">
        <v>3852</v>
      </c>
    </row>
    <row r="3" ht="12.75" customHeight="1">
      <c r="A3" s="6" t="s">
        <v>3853</v>
      </c>
      <c r="B3" s="6" t="s">
        <v>3854</v>
      </c>
    </row>
    <row r="4" ht="12.75" customHeight="1">
      <c r="A4" s="6" t="s">
        <v>3855</v>
      </c>
      <c r="B4" s="6" t="s">
        <v>3856</v>
      </c>
    </row>
    <row r="5" ht="12.75" customHeight="1">
      <c r="A5" s="6" t="s">
        <v>3857</v>
      </c>
      <c r="B5" s="6" t="s">
        <v>3858</v>
      </c>
    </row>
    <row r="6" ht="12.75" customHeight="1">
      <c r="A6" s="6" t="s">
        <v>3859</v>
      </c>
      <c r="B6" s="6" t="s">
        <v>3860</v>
      </c>
    </row>
    <row r="7" ht="12.75" customHeight="1">
      <c r="A7" s="6" t="s">
        <v>3861</v>
      </c>
      <c r="B7" s="6" t="s">
        <v>3862</v>
      </c>
    </row>
    <row r="8" ht="12.75" customHeight="1">
      <c r="A8" s="6" t="s">
        <v>3863</v>
      </c>
      <c r="B8" s="6" t="s">
        <v>3864</v>
      </c>
    </row>
    <row r="9" ht="12.75" customHeight="1">
      <c r="A9" s="6" t="s">
        <v>3865</v>
      </c>
      <c r="B9" s="6" t="s">
        <v>3866</v>
      </c>
    </row>
    <row r="10" ht="12.75" customHeight="1">
      <c r="A10" s="6" t="s">
        <v>3867</v>
      </c>
      <c r="B10" s="6" t="s">
        <v>3868</v>
      </c>
    </row>
    <row r="11" ht="12.75" customHeight="1">
      <c r="A11" s="6" t="s">
        <v>3869</v>
      </c>
      <c r="B11" s="6" t="s">
        <v>3870</v>
      </c>
    </row>
    <row r="12" ht="12.75" customHeight="1">
      <c r="A12" s="6" t="s">
        <v>3871</v>
      </c>
      <c r="B12" s="6" t="s">
        <v>3872</v>
      </c>
    </row>
    <row r="13" ht="12.75" customHeight="1">
      <c r="A13" s="6" t="s">
        <v>3873</v>
      </c>
      <c r="B13" s="6" t="s">
        <v>3874</v>
      </c>
    </row>
    <row r="14" ht="12.75" customHeight="1">
      <c r="A14" s="6" t="s">
        <v>3875</v>
      </c>
      <c r="B14" s="6" t="s">
        <v>3876</v>
      </c>
    </row>
    <row r="15" ht="12.75" customHeight="1">
      <c r="A15" s="6" t="s">
        <v>3877</v>
      </c>
      <c r="B15" s="6" t="s">
        <v>3878</v>
      </c>
    </row>
    <row r="16" ht="12.75" customHeight="1">
      <c r="A16" s="6" t="s">
        <v>3879</v>
      </c>
      <c r="B16" s="6" t="s">
        <v>3880</v>
      </c>
    </row>
    <row r="17" ht="12.75" customHeight="1">
      <c r="A17" s="6" t="s">
        <v>3881</v>
      </c>
      <c r="B17" s="6" t="s">
        <v>3882</v>
      </c>
    </row>
    <row r="18" ht="12.75" customHeight="1">
      <c r="A18" s="6" t="s">
        <v>3883</v>
      </c>
      <c r="B18" s="6" t="s">
        <v>3884</v>
      </c>
    </row>
    <row r="19" ht="12.75" customHeight="1">
      <c r="A19" s="6" t="s">
        <v>3885</v>
      </c>
      <c r="B19" s="6" t="s">
        <v>3886</v>
      </c>
    </row>
    <row r="20" ht="12.75" customHeight="1">
      <c r="A20" s="6" t="s">
        <v>3887</v>
      </c>
      <c r="B20" s="6" t="s">
        <v>3888</v>
      </c>
    </row>
    <row r="21" ht="12.75" customHeight="1">
      <c r="A21" s="6" t="s">
        <v>3889</v>
      </c>
      <c r="B21" s="6" t="s">
        <v>3890</v>
      </c>
    </row>
    <row r="22" ht="12.75" customHeight="1">
      <c r="A22" s="6" t="s">
        <v>3891</v>
      </c>
      <c r="B22" s="6" t="s">
        <v>3892</v>
      </c>
    </row>
    <row r="23" ht="12.75" customHeight="1">
      <c r="A23" s="6" t="s">
        <v>3893</v>
      </c>
      <c r="B23" s="6" t="s">
        <v>3894</v>
      </c>
    </row>
    <row r="24" ht="12.75" customHeight="1">
      <c r="A24" s="6" t="s">
        <v>3895</v>
      </c>
      <c r="B24" s="6" t="s">
        <v>3896</v>
      </c>
    </row>
    <row r="25" ht="12.75" customHeight="1">
      <c r="A25" s="6" t="s">
        <v>3897</v>
      </c>
      <c r="B25" s="6" t="s">
        <v>3898</v>
      </c>
    </row>
    <row r="26" ht="12.75" customHeight="1">
      <c r="A26" s="6" t="s">
        <v>3899</v>
      </c>
      <c r="B26" s="6" t="s">
        <v>3900</v>
      </c>
    </row>
    <row r="27" ht="12.75" customHeight="1">
      <c r="A27" s="6" t="s">
        <v>3901</v>
      </c>
      <c r="B27" s="6" t="s">
        <v>3902</v>
      </c>
    </row>
    <row r="28" ht="12.75" customHeight="1">
      <c r="A28" s="6" t="s">
        <v>3903</v>
      </c>
      <c r="B28" s="6" t="s">
        <v>3904</v>
      </c>
    </row>
    <row r="29" ht="12.75" customHeight="1">
      <c r="A29" s="6" t="s">
        <v>3905</v>
      </c>
      <c r="B29" s="6" t="s">
        <v>3906</v>
      </c>
    </row>
    <row r="30" ht="12.75" customHeight="1">
      <c r="A30" s="6" t="s">
        <v>3907</v>
      </c>
      <c r="B30" s="6" t="s">
        <v>3908</v>
      </c>
    </row>
    <row r="31" ht="12.75" customHeight="1">
      <c r="A31" s="6" t="s">
        <v>3909</v>
      </c>
      <c r="B31" s="6" t="s">
        <v>3910</v>
      </c>
    </row>
    <row r="32" ht="12.75" customHeight="1">
      <c r="A32" s="6" t="s">
        <v>3911</v>
      </c>
      <c r="B32" s="6" t="s">
        <v>3912</v>
      </c>
    </row>
    <row r="33" ht="12.75" customHeight="1">
      <c r="A33" s="6" t="s">
        <v>3913</v>
      </c>
      <c r="B33" s="6" t="s">
        <v>3914</v>
      </c>
    </row>
    <row r="34" ht="12.75" customHeight="1">
      <c r="A34" s="6" t="s">
        <v>3915</v>
      </c>
      <c r="B34" s="6" t="s">
        <v>3916</v>
      </c>
    </row>
    <row r="35" ht="12.75" customHeight="1">
      <c r="A35" s="6" t="s">
        <v>3917</v>
      </c>
      <c r="B35" s="6" t="s">
        <v>3918</v>
      </c>
    </row>
    <row r="36" ht="12.75" customHeight="1">
      <c r="A36" s="6" t="s">
        <v>3919</v>
      </c>
      <c r="B36" s="6" t="s">
        <v>3920</v>
      </c>
    </row>
    <row r="37" ht="12.75" customHeight="1">
      <c r="A37" s="6" t="s">
        <v>3921</v>
      </c>
      <c r="B37" s="6" t="s">
        <v>3922</v>
      </c>
    </row>
    <row r="38" ht="12.75" customHeight="1">
      <c r="A38" s="6" t="s">
        <v>3923</v>
      </c>
      <c r="B38" s="6" t="s">
        <v>3924</v>
      </c>
    </row>
    <row r="39" ht="12.75" customHeight="1">
      <c r="A39" s="6" t="s">
        <v>3925</v>
      </c>
      <c r="B39" s="6" t="s">
        <v>3926</v>
      </c>
    </row>
    <row r="40" ht="12.75" customHeight="1">
      <c r="A40" s="6" t="s">
        <v>3927</v>
      </c>
      <c r="B40" s="6" t="s">
        <v>3928</v>
      </c>
    </row>
    <row r="41" ht="12.75" customHeight="1">
      <c r="A41" s="6" t="s">
        <v>3929</v>
      </c>
      <c r="B41" s="6" t="s">
        <v>3930</v>
      </c>
    </row>
    <row r="42" ht="12.75" customHeight="1">
      <c r="A42" s="6" t="s">
        <v>3931</v>
      </c>
      <c r="B42" s="6" t="s">
        <v>3932</v>
      </c>
    </row>
    <row r="43" ht="12.75" customHeight="1">
      <c r="A43" s="6" t="s">
        <v>3933</v>
      </c>
      <c r="B43" s="6" t="s">
        <v>3934</v>
      </c>
    </row>
    <row r="44" ht="12.75" customHeight="1">
      <c r="A44" s="6" t="s">
        <v>3935</v>
      </c>
      <c r="B44" s="6" t="s">
        <v>3936</v>
      </c>
    </row>
    <row r="45" ht="12.75" customHeight="1">
      <c r="A45" s="6" t="s">
        <v>3937</v>
      </c>
      <c r="B45" s="6" t="s">
        <v>3938</v>
      </c>
    </row>
    <row r="46" ht="12.75" customHeight="1">
      <c r="A46" s="6" t="s">
        <v>3939</v>
      </c>
      <c r="B46" s="6" t="s">
        <v>3940</v>
      </c>
    </row>
    <row r="47" ht="12.75" customHeight="1">
      <c r="A47" s="6" t="s">
        <v>3941</v>
      </c>
      <c r="B47" s="6" t="s">
        <v>3942</v>
      </c>
    </row>
    <row r="48" ht="12.75" customHeight="1">
      <c r="A48" s="6" t="s">
        <v>3943</v>
      </c>
      <c r="B48" s="6" t="s">
        <v>3944</v>
      </c>
    </row>
    <row r="49" ht="12.75" customHeight="1">
      <c r="A49" s="6" t="s">
        <v>3945</v>
      </c>
      <c r="B49" s="6" t="s">
        <v>3946</v>
      </c>
    </row>
    <row r="50" ht="12.75" customHeight="1">
      <c r="A50" s="6" t="s">
        <v>3947</v>
      </c>
      <c r="B50" s="6" t="s">
        <v>3948</v>
      </c>
    </row>
    <row r="51" ht="12.75" customHeight="1">
      <c r="A51" s="6" t="s">
        <v>3949</v>
      </c>
      <c r="B51" s="6" t="s">
        <v>3950</v>
      </c>
    </row>
    <row r="52" ht="12.75" customHeight="1">
      <c r="A52" s="6" t="s">
        <v>3951</v>
      </c>
      <c r="B52" s="6" t="s">
        <v>3952</v>
      </c>
    </row>
    <row r="53" ht="12.75" customHeight="1">
      <c r="A53" s="6" t="s">
        <v>3953</v>
      </c>
      <c r="B53" s="6" t="s">
        <v>3954</v>
      </c>
    </row>
    <row r="54" ht="12.75" customHeight="1">
      <c r="A54" s="6" t="s">
        <v>3955</v>
      </c>
      <c r="B54" s="6" t="s">
        <v>3956</v>
      </c>
    </row>
    <row r="55" ht="12.75" customHeight="1">
      <c r="A55" s="6" t="s">
        <v>3957</v>
      </c>
      <c r="B55" s="6" t="s">
        <v>3958</v>
      </c>
    </row>
    <row r="56" ht="12.75" customHeight="1">
      <c r="A56" s="6" t="s">
        <v>3959</v>
      </c>
      <c r="B56" s="6" t="s">
        <v>3960</v>
      </c>
    </row>
    <row r="57" ht="12.75" customHeight="1">
      <c r="A57" s="6" t="s">
        <v>3961</v>
      </c>
      <c r="B57" s="6" t="s">
        <v>3962</v>
      </c>
    </row>
    <row r="58" ht="12.75" customHeight="1">
      <c r="A58" s="6" t="s">
        <v>3963</v>
      </c>
      <c r="B58" s="6" t="s">
        <v>3964</v>
      </c>
    </row>
    <row r="59" ht="12.75" customHeight="1">
      <c r="A59" s="6" t="s">
        <v>3965</v>
      </c>
      <c r="B59" s="6" t="s">
        <v>3966</v>
      </c>
    </row>
    <row r="60" ht="12.75" customHeight="1">
      <c r="A60" s="6" t="s">
        <v>3967</v>
      </c>
      <c r="B60" s="6" t="s">
        <v>3968</v>
      </c>
    </row>
    <row r="61" ht="12.75" customHeight="1">
      <c r="A61" s="6" t="s">
        <v>3969</v>
      </c>
      <c r="B61" s="6" t="s">
        <v>3970</v>
      </c>
    </row>
    <row r="62" ht="12.75" customHeight="1">
      <c r="A62" s="6" t="s">
        <v>3971</v>
      </c>
      <c r="B62" s="6" t="s">
        <v>3972</v>
      </c>
    </row>
    <row r="63" ht="12.75" customHeight="1">
      <c r="A63" s="6" t="s">
        <v>3973</v>
      </c>
      <c r="B63" s="6" t="s">
        <v>3974</v>
      </c>
    </row>
    <row r="64" ht="12.75" customHeight="1">
      <c r="A64" s="6" t="s">
        <v>3975</v>
      </c>
      <c r="B64" s="6" t="s">
        <v>3976</v>
      </c>
    </row>
    <row r="65" ht="12.75" customHeight="1">
      <c r="A65" s="6" t="s">
        <v>3977</v>
      </c>
      <c r="B65" s="6" t="s">
        <v>3978</v>
      </c>
    </row>
    <row r="66" ht="12.75" customHeight="1">
      <c r="A66" s="6" t="s">
        <v>3979</v>
      </c>
      <c r="B66" s="6" t="s">
        <v>1072</v>
      </c>
    </row>
    <row r="67" ht="12.75" customHeight="1">
      <c r="A67" s="6" t="s">
        <v>3980</v>
      </c>
      <c r="B67" s="6" t="s">
        <v>862</v>
      </c>
    </row>
    <row r="68" ht="12.75" customHeight="1">
      <c r="A68" s="6" t="s">
        <v>3981</v>
      </c>
      <c r="B68" s="6" t="s">
        <v>717</v>
      </c>
    </row>
    <row r="69" ht="12.75" customHeight="1">
      <c r="A69" s="6" t="s">
        <v>3982</v>
      </c>
      <c r="B69" s="6" t="s">
        <v>3983</v>
      </c>
    </row>
    <row r="70" ht="12.75" customHeight="1">
      <c r="A70" s="6" t="s">
        <v>3984</v>
      </c>
      <c r="B70" s="6" t="s">
        <v>3985</v>
      </c>
    </row>
    <row r="71" ht="12.75" customHeight="1">
      <c r="A71" s="6" t="s">
        <v>3986</v>
      </c>
      <c r="B71" s="6" t="s">
        <v>1354</v>
      </c>
    </row>
    <row r="72" ht="12.75" customHeight="1">
      <c r="A72" s="6" t="s">
        <v>3987</v>
      </c>
    </row>
    <row r="73" ht="12.75" customHeight="1">
      <c r="A73" s="6" t="s">
        <v>3988</v>
      </c>
      <c r="B73" s="6" t="s">
        <v>3989</v>
      </c>
    </row>
    <row r="74" ht="12.75" customHeight="1">
      <c r="A74" s="6" t="s">
        <v>3990</v>
      </c>
      <c r="B74" s="6" t="s">
        <v>2649</v>
      </c>
    </row>
    <row r="75" ht="12.75" customHeight="1">
      <c r="A75" s="6" t="s">
        <v>3991</v>
      </c>
      <c r="B75" s="6" t="s">
        <v>1978</v>
      </c>
    </row>
    <row r="76" ht="12.75" customHeight="1">
      <c r="A76" s="6" t="s">
        <v>3992</v>
      </c>
      <c r="B76" s="6" t="s">
        <v>2377</v>
      </c>
    </row>
    <row r="77" ht="12.75" customHeight="1">
      <c r="A77" s="6" t="s">
        <v>3993</v>
      </c>
      <c r="B77" s="6" t="s">
        <v>1181</v>
      </c>
    </row>
    <row r="78" ht="12.75" customHeight="1">
      <c r="A78" s="6" t="s">
        <v>3994</v>
      </c>
      <c r="B78" s="6" t="s">
        <v>172</v>
      </c>
    </row>
    <row r="79" ht="12.75" customHeight="1">
      <c r="A79" s="6" t="s">
        <v>3995</v>
      </c>
      <c r="B79" s="6" t="s">
        <v>3996</v>
      </c>
    </row>
    <row r="80" ht="12.75" customHeight="1">
      <c r="A80" s="6" t="s">
        <v>3997</v>
      </c>
      <c r="B80" s="6" t="s">
        <v>3998</v>
      </c>
    </row>
    <row r="81" ht="12.75" customHeight="1">
      <c r="A81" s="6" t="s">
        <v>3999</v>
      </c>
      <c r="B81" s="6" t="s">
        <v>4000</v>
      </c>
    </row>
    <row r="82" ht="12.75" customHeight="1">
      <c r="A82" s="6" t="s">
        <v>4001</v>
      </c>
      <c r="B82" s="6" t="s">
        <v>4002</v>
      </c>
    </row>
    <row r="83" ht="12.75" customHeight="1">
      <c r="A83" s="6" t="s">
        <v>4003</v>
      </c>
      <c r="B83" s="6" t="s">
        <v>4004</v>
      </c>
    </row>
    <row r="84" ht="12.75" customHeight="1">
      <c r="A84" s="6" t="s">
        <v>4005</v>
      </c>
      <c r="B84" s="6" t="s">
        <v>4006</v>
      </c>
    </row>
    <row r="85" ht="12.75" customHeight="1">
      <c r="A85" s="6" t="s">
        <v>4007</v>
      </c>
      <c r="B85" s="6" t="s">
        <v>4008</v>
      </c>
    </row>
    <row r="86" ht="12.75" customHeight="1">
      <c r="A86" s="6" t="s">
        <v>4009</v>
      </c>
      <c r="B86" s="6" t="s">
        <v>4010</v>
      </c>
    </row>
    <row r="87" ht="12.75" customHeight="1">
      <c r="A87" s="6" t="s">
        <v>4011</v>
      </c>
      <c r="B87" s="6" t="s">
        <v>4012</v>
      </c>
    </row>
    <row r="88" ht="12.75" customHeight="1">
      <c r="A88" s="6" t="s">
        <v>4013</v>
      </c>
      <c r="B88" s="6" t="s">
        <v>4014</v>
      </c>
    </row>
    <row r="89" ht="12.75" customHeight="1">
      <c r="A89" s="6" t="s">
        <v>4015</v>
      </c>
      <c r="B89" s="6" t="s">
        <v>4016</v>
      </c>
    </row>
    <row r="90" ht="12.75" customHeight="1">
      <c r="A90" s="6" t="s">
        <v>4017</v>
      </c>
      <c r="B90" s="6" t="s">
        <v>4018</v>
      </c>
    </row>
    <row r="91" ht="12.75" customHeight="1">
      <c r="A91" s="6" t="s">
        <v>4019</v>
      </c>
      <c r="B91" s="6" t="s">
        <v>4020</v>
      </c>
    </row>
    <row r="92" ht="12.75" customHeight="1">
      <c r="A92" s="6" t="s">
        <v>4021</v>
      </c>
      <c r="B92" s="6" t="s">
        <v>4022</v>
      </c>
    </row>
    <row r="93" ht="12.75" customHeight="1">
      <c r="A93" s="6" t="s">
        <v>4023</v>
      </c>
      <c r="B93" s="6" t="s">
        <v>4024</v>
      </c>
    </row>
    <row r="94" ht="12.75" customHeight="1">
      <c r="A94" s="6" t="s">
        <v>4025</v>
      </c>
      <c r="B94" s="6" t="s">
        <v>662</v>
      </c>
    </row>
    <row r="95" ht="12.75" customHeight="1">
      <c r="A95" s="6" t="s">
        <v>4026</v>
      </c>
      <c r="B95" s="6" t="s">
        <v>2239</v>
      </c>
    </row>
    <row r="96" ht="12.75" customHeight="1">
      <c r="A96" s="6" t="s">
        <v>4027</v>
      </c>
      <c r="B96" s="6" t="s">
        <v>4028</v>
      </c>
    </row>
    <row r="97" ht="12.75" customHeight="1">
      <c r="A97" s="6" t="s">
        <v>4029</v>
      </c>
      <c r="B97" s="6" t="s">
        <v>4030</v>
      </c>
    </row>
    <row r="98" ht="12.75" customHeight="1">
      <c r="A98" s="6" t="s">
        <v>4031</v>
      </c>
      <c r="B98" s="6" t="s">
        <v>4032</v>
      </c>
    </row>
    <row r="99" ht="12.75" customHeight="1">
      <c r="A99" s="6" t="s">
        <v>4033</v>
      </c>
      <c r="B99" s="6" t="s">
        <v>4034</v>
      </c>
    </row>
    <row r="100" ht="12.75" customHeight="1">
      <c r="A100" s="6" t="s">
        <v>4035</v>
      </c>
      <c r="B100" s="6" t="s">
        <v>4036</v>
      </c>
    </row>
    <row r="101" ht="12.75" customHeight="1">
      <c r="A101" s="6" t="s">
        <v>4037</v>
      </c>
      <c r="B101" s="6" t="s">
        <v>4038</v>
      </c>
    </row>
    <row r="102" ht="12.75" customHeight="1">
      <c r="A102" s="6" t="s">
        <v>4039</v>
      </c>
      <c r="B102" s="6" t="s">
        <v>4040</v>
      </c>
    </row>
    <row r="103" ht="12.75" customHeight="1">
      <c r="A103" s="6" t="s">
        <v>4041</v>
      </c>
      <c r="B103" s="6" t="s">
        <v>4042</v>
      </c>
    </row>
    <row r="104" ht="12.75" customHeight="1">
      <c r="A104" s="6" t="s">
        <v>4043</v>
      </c>
      <c r="B104" s="6" t="s">
        <v>4044</v>
      </c>
    </row>
    <row r="105" ht="12.75" customHeight="1">
      <c r="A105" s="6" t="s">
        <v>4045</v>
      </c>
      <c r="B105" s="6" t="s">
        <v>4046</v>
      </c>
    </row>
    <row r="106" ht="12.75" customHeight="1">
      <c r="A106" s="6" t="s">
        <v>4047</v>
      </c>
      <c r="B106" s="6" t="s">
        <v>4048</v>
      </c>
    </row>
    <row r="107" ht="12.75" customHeight="1">
      <c r="A107" s="6" t="s">
        <v>4049</v>
      </c>
      <c r="B107" s="6" t="s">
        <v>4050</v>
      </c>
    </row>
    <row r="108" ht="12.75" customHeight="1">
      <c r="A108" s="6" t="s">
        <v>4051</v>
      </c>
      <c r="B108" s="6" t="s">
        <v>4052</v>
      </c>
    </row>
    <row r="109" ht="12.75" customHeight="1">
      <c r="A109" s="6" t="s">
        <v>4053</v>
      </c>
      <c r="B109" s="6" t="s">
        <v>4054</v>
      </c>
    </row>
    <row r="110" ht="12.75" customHeight="1">
      <c r="A110" s="6" t="s">
        <v>4055</v>
      </c>
      <c r="B110" s="6" t="s">
        <v>4056</v>
      </c>
    </row>
    <row r="111" ht="12.75" customHeight="1">
      <c r="A111" s="6" t="s">
        <v>4057</v>
      </c>
      <c r="B111" s="6" t="s">
        <v>4058</v>
      </c>
    </row>
    <row r="112" ht="12.75" customHeight="1">
      <c r="A112" s="6" t="s">
        <v>4059</v>
      </c>
      <c r="B112" s="6" t="s">
        <v>4060</v>
      </c>
    </row>
    <row r="113" ht="12.75" customHeight="1">
      <c r="A113" s="6" t="s">
        <v>4061</v>
      </c>
      <c r="B113" s="6" t="s">
        <v>4062</v>
      </c>
    </row>
    <row r="114" ht="12.75" customHeight="1">
      <c r="A114" s="6" t="s">
        <v>4063</v>
      </c>
      <c r="B114" s="6" t="s">
        <v>4064</v>
      </c>
    </row>
    <row r="115" ht="12.75" customHeight="1">
      <c r="A115" s="6" t="s">
        <v>4065</v>
      </c>
      <c r="B115" s="6" t="s">
        <v>4066</v>
      </c>
    </row>
    <row r="116" ht="12.75" customHeight="1">
      <c r="A116" s="6" t="s">
        <v>4067</v>
      </c>
      <c r="B116" s="6" t="s">
        <v>4068</v>
      </c>
    </row>
    <row r="117" ht="12.75" customHeight="1">
      <c r="A117" s="6" t="s">
        <v>4069</v>
      </c>
      <c r="B117" s="6" t="s">
        <v>4070</v>
      </c>
    </row>
    <row r="118" ht="12.75" customHeight="1">
      <c r="A118" s="6" t="s">
        <v>4071</v>
      </c>
      <c r="B118" s="6" t="s">
        <v>4072</v>
      </c>
    </row>
    <row r="119" ht="12.75" customHeight="1">
      <c r="A119" s="6" t="s">
        <v>4073</v>
      </c>
      <c r="B119" s="6" t="s">
        <v>4074</v>
      </c>
    </row>
    <row r="120" ht="12.75" customHeight="1">
      <c r="A120" s="6" t="s">
        <v>4075</v>
      </c>
      <c r="B120" s="6" t="s">
        <v>4076</v>
      </c>
    </row>
    <row r="121" ht="12.75" customHeight="1">
      <c r="A121" s="6" t="s">
        <v>4077</v>
      </c>
      <c r="B121" s="6" t="s">
        <v>4078</v>
      </c>
    </row>
    <row r="122" ht="12.75" customHeight="1">
      <c r="A122" s="6" t="s">
        <v>4079</v>
      </c>
      <c r="B122" s="6" t="s">
        <v>4080</v>
      </c>
    </row>
    <row r="123" ht="12.75" customHeight="1">
      <c r="A123" s="6" t="s">
        <v>4081</v>
      </c>
      <c r="B123" s="6" t="s">
        <v>4082</v>
      </c>
    </row>
    <row r="124" ht="12.75" customHeight="1">
      <c r="A124" s="6" t="s">
        <v>4083</v>
      </c>
      <c r="B124" s="6" t="s">
        <v>4084</v>
      </c>
    </row>
    <row r="125" ht="12.75" customHeight="1">
      <c r="A125" s="6" t="s">
        <v>4085</v>
      </c>
      <c r="B125" s="6" t="s">
        <v>4086</v>
      </c>
    </row>
    <row r="126" ht="12.75" customHeight="1">
      <c r="A126" s="6" t="s">
        <v>4087</v>
      </c>
      <c r="B126" s="6" t="s">
        <v>4088</v>
      </c>
    </row>
    <row r="127" ht="12.75" customHeight="1">
      <c r="A127" s="6" t="s">
        <v>4089</v>
      </c>
      <c r="B127" s="6" t="s">
        <v>4090</v>
      </c>
    </row>
    <row r="128" ht="12.75" customHeight="1">
      <c r="A128" s="6" t="s">
        <v>4091</v>
      </c>
      <c r="B128" s="6" t="s">
        <v>4092</v>
      </c>
    </row>
    <row r="129" ht="12.75" customHeight="1">
      <c r="A129" s="6" t="s">
        <v>4093</v>
      </c>
      <c r="B129" s="6" t="s">
        <v>4094</v>
      </c>
    </row>
    <row r="130" ht="12.75" customHeight="1">
      <c r="A130" s="6" t="s">
        <v>4095</v>
      </c>
      <c r="B130" s="6" t="s">
        <v>4096</v>
      </c>
    </row>
    <row r="131" ht="12.75" customHeight="1">
      <c r="A131" s="6" t="s">
        <v>4097</v>
      </c>
      <c r="B131" s="6" t="s">
        <v>4098</v>
      </c>
    </row>
    <row r="132" ht="12.75" customHeight="1">
      <c r="A132" s="6" t="s">
        <v>4099</v>
      </c>
      <c r="B132" s="6" t="s">
        <v>4100</v>
      </c>
    </row>
    <row r="133" ht="12.75" customHeight="1">
      <c r="A133" s="6" t="s">
        <v>4101</v>
      </c>
      <c r="B133" s="6" t="s">
        <v>4102</v>
      </c>
    </row>
    <row r="134" ht="12.75" customHeight="1">
      <c r="A134" s="6" t="s">
        <v>4103</v>
      </c>
      <c r="B134" s="6" t="s">
        <v>4104</v>
      </c>
    </row>
    <row r="135" ht="12.75" customHeight="1">
      <c r="A135" s="6" t="s">
        <v>4105</v>
      </c>
      <c r="B135" s="6" t="s">
        <v>4106</v>
      </c>
    </row>
    <row r="136" ht="12.75" customHeight="1">
      <c r="A136" s="6" t="s">
        <v>4107</v>
      </c>
      <c r="B136" s="6" t="s">
        <v>4108</v>
      </c>
    </row>
    <row r="137" ht="12.75" customHeight="1">
      <c r="A137" s="6" t="s">
        <v>4109</v>
      </c>
      <c r="B137" s="6" t="s">
        <v>4110</v>
      </c>
    </row>
    <row r="138" ht="12.75" customHeight="1">
      <c r="A138" s="6" t="s">
        <v>4111</v>
      </c>
      <c r="B138" s="6" t="s">
        <v>4112</v>
      </c>
    </row>
    <row r="139" ht="12.75" customHeight="1">
      <c r="A139" s="6" t="s">
        <v>4113</v>
      </c>
      <c r="B139" s="6" t="s">
        <v>4114</v>
      </c>
    </row>
    <row r="140" ht="12.75" customHeight="1">
      <c r="A140" s="6" t="s">
        <v>4115</v>
      </c>
      <c r="B140" s="6" t="s">
        <v>4116</v>
      </c>
    </row>
    <row r="141" ht="12.75" customHeight="1">
      <c r="A141" s="6" t="s">
        <v>4117</v>
      </c>
      <c r="B141" s="6" t="s">
        <v>4118</v>
      </c>
    </row>
    <row r="142" ht="12.75" customHeight="1">
      <c r="A142" s="6" t="s">
        <v>4119</v>
      </c>
      <c r="B142" s="6" t="s">
        <v>4120</v>
      </c>
    </row>
    <row r="143" ht="12.75" customHeight="1">
      <c r="A143" s="6" t="s">
        <v>4121</v>
      </c>
      <c r="B143" s="6" t="s">
        <v>4122</v>
      </c>
    </row>
    <row r="144" ht="12.75" customHeight="1">
      <c r="A144" s="6" t="s">
        <v>4123</v>
      </c>
      <c r="B144" s="6" t="s">
        <v>4124</v>
      </c>
    </row>
    <row r="145" ht="12.75" customHeight="1">
      <c r="A145" s="6" t="s">
        <v>4125</v>
      </c>
      <c r="B145" s="6" t="s">
        <v>4126</v>
      </c>
    </row>
    <row r="146" ht="12.75" customHeight="1">
      <c r="A146" s="6" t="s">
        <v>4127</v>
      </c>
      <c r="B146" s="6" t="s">
        <v>4128</v>
      </c>
    </row>
    <row r="147" ht="12.75" customHeight="1">
      <c r="A147" s="6" t="s">
        <v>4129</v>
      </c>
      <c r="B147" s="6" t="s">
        <v>4130</v>
      </c>
    </row>
    <row r="148" ht="12.75" customHeight="1">
      <c r="A148" s="6" t="s">
        <v>4131</v>
      </c>
      <c r="B148" s="6" t="s">
        <v>655</v>
      </c>
    </row>
    <row r="149" ht="12.75" customHeight="1">
      <c r="A149" s="6" t="s">
        <v>4132</v>
      </c>
      <c r="B149" s="6" t="s">
        <v>4133</v>
      </c>
    </row>
    <row r="150" ht="12.75" customHeight="1">
      <c r="A150" s="6" t="s">
        <v>4134</v>
      </c>
      <c r="B150" s="6" t="s">
        <v>4135</v>
      </c>
    </row>
    <row r="151" ht="12.75" customHeight="1">
      <c r="A151" s="6" t="s">
        <v>4136</v>
      </c>
      <c r="B151" s="6" t="s">
        <v>4137</v>
      </c>
    </row>
    <row r="152" ht="12.75" customHeight="1">
      <c r="A152" s="6" t="s">
        <v>4138</v>
      </c>
      <c r="B152" s="6" t="s">
        <v>4139</v>
      </c>
    </row>
    <row r="153" ht="12.75" customHeight="1">
      <c r="A153" s="6" t="s">
        <v>4140</v>
      </c>
      <c r="B153" s="6" t="s">
        <v>3140</v>
      </c>
    </row>
    <row r="154" ht="12.75" customHeight="1">
      <c r="A154" s="6" t="s">
        <v>4141</v>
      </c>
      <c r="B154" s="6" t="s">
        <v>4142</v>
      </c>
    </row>
    <row r="155" ht="12.75" customHeight="1">
      <c r="A155" s="6" t="s">
        <v>4143</v>
      </c>
      <c r="B155" s="6" t="s">
        <v>4144</v>
      </c>
    </row>
    <row r="156" ht="12.75" customHeight="1">
      <c r="A156" s="6" t="s">
        <v>4145</v>
      </c>
      <c r="B156" s="6" t="s">
        <v>417</v>
      </c>
    </row>
    <row r="157" ht="12.75" customHeight="1">
      <c r="A157" s="6" t="s">
        <v>4146</v>
      </c>
      <c r="B157" s="6" t="s">
        <v>4147</v>
      </c>
    </row>
    <row r="158" ht="12.75" customHeight="1">
      <c r="A158" s="6" t="s">
        <v>4148</v>
      </c>
      <c r="B158" s="6" t="s">
        <v>549</v>
      </c>
    </row>
    <row r="159" ht="12.75" customHeight="1">
      <c r="A159" s="6" t="s">
        <v>4149</v>
      </c>
      <c r="B159" s="6" t="s">
        <v>2001</v>
      </c>
    </row>
    <row r="160" ht="12.75" customHeight="1">
      <c r="A160" s="6" t="s">
        <v>4150</v>
      </c>
      <c r="B160" s="6" t="s">
        <v>4151</v>
      </c>
    </row>
    <row r="161" ht="12.75" customHeight="1">
      <c r="A161" s="6" t="s">
        <v>4152</v>
      </c>
      <c r="B161" s="6" t="s">
        <v>2913</v>
      </c>
    </row>
    <row r="162" ht="12.75" customHeight="1">
      <c r="A162" s="6" t="s">
        <v>4153</v>
      </c>
      <c r="B162" s="6" t="s">
        <v>4154</v>
      </c>
    </row>
    <row r="163" ht="12.75" customHeight="1">
      <c r="A163" s="6" t="s">
        <v>4155</v>
      </c>
      <c r="B163" s="6" t="s">
        <v>4156</v>
      </c>
    </row>
    <row r="164" ht="12.75" customHeight="1">
      <c r="A164" s="6" t="s">
        <v>4157</v>
      </c>
      <c r="B164" s="6" t="s">
        <v>4158</v>
      </c>
    </row>
    <row r="165" ht="12.75" customHeight="1">
      <c r="A165" s="6" t="s">
        <v>4159</v>
      </c>
      <c r="B165" s="6" t="s">
        <v>4160</v>
      </c>
    </row>
    <row r="166" ht="12.75" customHeight="1">
      <c r="A166" s="6" t="s">
        <v>4161</v>
      </c>
      <c r="B166" s="6" t="s">
        <v>3202</v>
      </c>
    </row>
    <row r="167" ht="12.75" customHeight="1">
      <c r="A167" s="6" t="s">
        <v>4162</v>
      </c>
      <c r="B167" s="6" t="s">
        <v>4163</v>
      </c>
    </row>
    <row r="168" ht="12.75" customHeight="1">
      <c r="A168" s="6" t="s">
        <v>4164</v>
      </c>
      <c r="B168" s="6" t="s">
        <v>533</v>
      </c>
    </row>
    <row r="169" ht="12.75" customHeight="1">
      <c r="A169" s="6" t="s">
        <v>4165</v>
      </c>
      <c r="B169" s="6" t="s">
        <v>2370</v>
      </c>
    </row>
    <row r="170" ht="12.75" customHeight="1">
      <c r="A170" s="6" t="s">
        <v>4166</v>
      </c>
      <c r="B170" s="6" t="s">
        <v>4167</v>
      </c>
    </row>
    <row r="171" ht="12.75" customHeight="1">
      <c r="A171" s="6" t="s">
        <v>4168</v>
      </c>
      <c r="B171" s="6" t="s">
        <v>4169</v>
      </c>
    </row>
    <row r="172" ht="12.75" customHeight="1">
      <c r="A172" s="6" t="s">
        <v>4170</v>
      </c>
      <c r="B172" s="6" t="s">
        <v>1266</v>
      </c>
    </row>
    <row r="173" ht="12.75" customHeight="1">
      <c r="A173" s="6" t="s">
        <v>4171</v>
      </c>
      <c r="B173" s="6" t="s">
        <v>1382</v>
      </c>
    </row>
    <row r="174" ht="12.75" customHeight="1">
      <c r="A174" s="6" t="s">
        <v>4172</v>
      </c>
      <c r="B174" s="6" t="s">
        <v>1412</v>
      </c>
    </row>
    <row r="175" ht="12.75" customHeight="1">
      <c r="A175" s="6" t="s">
        <v>4173</v>
      </c>
      <c r="B175" s="6" t="s">
        <v>1002</v>
      </c>
    </row>
    <row r="176" ht="12.75" customHeight="1">
      <c r="A176" s="6" t="s">
        <v>4174</v>
      </c>
      <c r="B176" s="6" t="s">
        <v>4175</v>
      </c>
    </row>
    <row r="177" ht="12.75" customHeight="1">
      <c r="A177" s="6" t="s">
        <v>4176</v>
      </c>
      <c r="B177" s="6" t="s">
        <v>4177</v>
      </c>
    </row>
    <row r="178" ht="12.75" customHeight="1">
      <c r="A178" s="6" t="s">
        <v>4178</v>
      </c>
      <c r="B178" s="6" t="s">
        <v>2202</v>
      </c>
    </row>
    <row r="179" ht="12.75" customHeight="1">
      <c r="A179" s="6" t="s">
        <v>4179</v>
      </c>
      <c r="B179" s="6" t="s">
        <v>4180</v>
      </c>
    </row>
    <row r="180" ht="12.75" customHeight="1">
      <c r="A180" s="6" t="s">
        <v>4181</v>
      </c>
      <c r="B180" s="6" t="s">
        <v>4182</v>
      </c>
    </row>
    <row r="181" ht="12.75" customHeight="1">
      <c r="A181" s="6" t="s">
        <v>4183</v>
      </c>
      <c r="B181" s="6" t="s">
        <v>4184</v>
      </c>
    </row>
    <row r="182" ht="12.75" customHeight="1">
      <c r="A182" s="6" t="s">
        <v>4185</v>
      </c>
      <c r="B182" s="6" t="s">
        <v>4186</v>
      </c>
    </row>
    <row r="183" ht="12.75" customHeight="1">
      <c r="A183" s="6" t="s">
        <v>4187</v>
      </c>
      <c r="B183" s="6" t="s">
        <v>4188</v>
      </c>
    </row>
    <row r="184" ht="12.75" customHeight="1">
      <c r="A184" s="6" t="s">
        <v>4189</v>
      </c>
      <c r="B184" s="6" t="s">
        <v>4190</v>
      </c>
    </row>
    <row r="185" ht="12.75" customHeight="1">
      <c r="A185" s="6" t="s">
        <v>4191</v>
      </c>
      <c r="B185" s="6" t="s">
        <v>4192</v>
      </c>
    </row>
    <row r="186" ht="12.75" customHeight="1">
      <c r="A186" s="6" t="s">
        <v>4193</v>
      </c>
      <c r="B186" s="6" t="s">
        <v>4194</v>
      </c>
    </row>
    <row r="187" ht="12.75" customHeight="1">
      <c r="A187" s="6" t="s">
        <v>4195</v>
      </c>
      <c r="B187" s="6" t="s">
        <v>4196</v>
      </c>
    </row>
    <row r="188" ht="12.75" customHeight="1">
      <c r="A188" s="6" t="s">
        <v>4197</v>
      </c>
      <c r="B188" s="6" t="s">
        <v>446</v>
      </c>
    </row>
    <row r="189" ht="12.75" customHeight="1">
      <c r="A189" s="6" t="s">
        <v>4198</v>
      </c>
      <c r="B189" s="6" t="s">
        <v>1775</v>
      </c>
    </row>
    <row r="190" ht="12.75" customHeight="1">
      <c r="A190" s="6" t="s">
        <v>4199</v>
      </c>
      <c r="B190" s="6" t="s">
        <v>4200</v>
      </c>
    </row>
    <row r="191" ht="12.75" customHeight="1">
      <c r="A191" s="6" t="s">
        <v>4201</v>
      </c>
      <c r="B191" s="6" t="s">
        <v>4202</v>
      </c>
    </row>
    <row r="192" ht="12.75" customHeight="1">
      <c r="A192" s="6" t="s">
        <v>4203</v>
      </c>
      <c r="B192" s="6" t="s">
        <v>305</v>
      </c>
    </row>
    <row r="193" ht="12.75" customHeight="1">
      <c r="A193" s="6" t="s">
        <v>4204</v>
      </c>
      <c r="B193" s="6" t="s">
        <v>1195</v>
      </c>
    </row>
    <row r="194" ht="12.75" customHeight="1">
      <c r="A194" s="6" t="s">
        <v>4205</v>
      </c>
      <c r="B194" s="6" t="s">
        <v>4206</v>
      </c>
    </row>
    <row r="195" ht="12.75" customHeight="1">
      <c r="A195" s="6" t="s">
        <v>4207</v>
      </c>
      <c r="B195" s="6" t="s">
        <v>4208</v>
      </c>
    </row>
    <row r="196" ht="12.75" customHeight="1">
      <c r="A196" s="6" t="s">
        <v>4209</v>
      </c>
      <c r="B196" s="6" t="s">
        <v>4210</v>
      </c>
    </row>
    <row r="197" ht="12.75" customHeight="1">
      <c r="A197" s="6" t="s">
        <v>4211</v>
      </c>
      <c r="B197" s="6" t="s">
        <v>4212</v>
      </c>
    </row>
    <row r="198" ht="12.75" customHeight="1">
      <c r="A198" s="6" t="s">
        <v>4213</v>
      </c>
      <c r="B198" s="6" t="s">
        <v>4214</v>
      </c>
    </row>
    <row r="199" ht="12.75" customHeight="1">
      <c r="A199" s="6" t="s">
        <v>4215</v>
      </c>
    </row>
    <row r="200" ht="12.75" customHeight="1">
      <c r="A200" s="6" t="s">
        <v>4216</v>
      </c>
      <c r="B200" s="6" t="s">
        <v>4217</v>
      </c>
    </row>
    <row r="201" ht="12.75" customHeight="1">
      <c r="A201" s="6" t="s">
        <v>4218</v>
      </c>
      <c r="B201" s="6" t="s">
        <v>2337</v>
      </c>
    </row>
    <row r="202" ht="12.75" customHeight="1">
      <c r="A202" s="6" t="s">
        <v>4219</v>
      </c>
      <c r="B202" s="6" t="s">
        <v>195</v>
      </c>
    </row>
    <row r="203" ht="12.75" customHeight="1">
      <c r="A203" s="6" t="s">
        <v>4220</v>
      </c>
      <c r="B203" s="6" t="s">
        <v>4221</v>
      </c>
    </row>
    <row r="204" ht="12.75" customHeight="1">
      <c r="A204" s="6" t="s">
        <v>4222</v>
      </c>
      <c r="B204" s="6" t="s">
        <v>4223</v>
      </c>
    </row>
    <row r="205" ht="12.75" customHeight="1">
      <c r="A205" s="6" t="s">
        <v>4224</v>
      </c>
      <c r="B205" s="6" t="s">
        <v>4225</v>
      </c>
    </row>
    <row r="206" ht="12.75" customHeight="1">
      <c r="A206" s="6" t="s">
        <v>4226</v>
      </c>
      <c r="B206" s="6" t="s">
        <v>2582</v>
      </c>
    </row>
    <row r="207" ht="12.75" customHeight="1">
      <c r="A207" s="6" t="s">
        <v>4227</v>
      </c>
      <c r="B207" s="6" t="s">
        <v>169</v>
      </c>
    </row>
    <row r="208" ht="12.75" customHeight="1">
      <c r="A208" s="6" t="s">
        <v>4228</v>
      </c>
      <c r="B208" s="6" t="s">
        <v>4229</v>
      </c>
    </row>
    <row r="209" ht="12.75" customHeight="1">
      <c r="A209" s="6" t="s">
        <v>4230</v>
      </c>
      <c r="B209" s="6" t="s">
        <v>915</v>
      </c>
    </row>
    <row r="210" ht="12.75" customHeight="1">
      <c r="A210" s="6" t="s">
        <v>4231</v>
      </c>
      <c r="B210" s="6" t="s">
        <v>4232</v>
      </c>
    </row>
    <row r="211" ht="12.75" customHeight="1">
      <c r="A211" s="6" t="s">
        <v>4233</v>
      </c>
      <c r="B211" s="6" t="s">
        <v>4234</v>
      </c>
    </row>
    <row r="212" ht="12.75" customHeight="1">
      <c r="A212" s="6" t="s">
        <v>4235</v>
      </c>
      <c r="B212" s="6" t="s">
        <v>4236</v>
      </c>
    </row>
    <row r="213" ht="12.75" customHeight="1">
      <c r="A213" s="6" t="s">
        <v>4237</v>
      </c>
      <c r="B213" s="6" t="s">
        <v>1060</v>
      </c>
    </row>
    <row r="214" ht="12.75" customHeight="1">
      <c r="A214" s="6" t="s">
        <v>4238</v>
      </c>
      <c r="B214" s="6" t="s">
        <v>1038</v>
      </c>
    </row>
    <row r="215" ht="12.75" customHeight="1">
      <c r="A215" s="6" t="s">
        <v>4239</v>
      </c>
      <c r="B215" s="6" t="s">
        <v>2853</v>
      </c>
    </row>
    <row r="216" ht="12.75" customHeight="1">
      <c r="A216" s="6" t="s">
        <v>4240</v>
      </c>
      <c r="B216" s="6" t="s">
        <v>4241</v>
      </c>
    </row>
    <row r="217" ht="12.75" customHeight="1">
      <c r="A217" s="6" t="s">
        <v>4242</v>
      </c>
      <c r="B217" s="6" t="s">
        <v>371</v>
      </c>
    </row>
    <row r="218" ht="12.75" customHeight="1">
      <c r="A218" s="6" t="s">
        <v>4243</v>
      </c>
      <c r="B218" s="6" t="s">
        <v>1217</v>
      </c>
    </row>
    <row r="219" ht="12.75" customHeight="1">
      <c r="A219" s="6" t="s">
        <v>4244</v>
      </c>
      <c r="B219" s="6" t="s">
        <v>1894</v>
      </c>
    </row>
    <row r="220" ht="12.75" customHeight="1">
      <c r="A220" s="6" t="s">
        <v>4245</v>
      </c>
      <c r="B220" s="6" t="s">
        <v>2040</v>
      </c>
    </row>
    <row r="221" ht="12.75" customHeight="1">
      <c r="A221" s="6" t="s">
        <v>4246</v>
      </c>
      <c r="B221" s="6" t="s">
        <v>302</v>
      </c>
    </row>
    <row r="222" ht="12.75" customHeight="1">
      <c r="A222" s="6" t="s">
        <v>4247</v>
      </c>
      <c r="B222" s="6" t="s">
        <v>4248</v>
      </c>
    </row>
    <row r="223" ht="12.75" customHeight="1">
      <c r="A223" s="6" t="s">
        <v>4249</v>
      </c>
      <c r="B223" s="6" t="s">
        <v>4250</v>
      </c>
    </row>
    <row r="224" ht="12.75" customHeight="1">
      <c r="A224" s="6" t="s">
        <v>4251</v>
      </c>
      <c r="B224" s="6" t="s">
        <v>4252</v>
      </c>
    </row>
    <row r="225" ht="12.75" customHeight="1">
      <c r="A225" s="6" t="s">
        <v>4253</v>
      </c>
      <c r="B225" s="6" t="s">
        <v>4254</v>
      </c>
    </row>
    <row r="226" ht="12.75" customHeight="1">
      <c r="A226" s="6" t="s">
        <v>4255</v>
      </c>
      <c r="B226" s="6" t="s">
        <v>4256</v>
      </c>
    </row>
    <row r="227" ht="12.75" customHeight="1">
      <c r="A227" s="6" t="s">
        <v>4257</v>
      </c>
      <c r="B227" s="6" t="s">
        <v>4258</v>
      </c>
    </row>
    <row r="228" ht="12.75" customHeight="1">
      <c r="A228" s="6" t="s">
        <v>4259</v>
      </c>
      <c r="B228" s="6" t="s">
        <v>921</v>
      </c>
    </row>
    <row r="229" ht="12.75" customHeight="1">
      <c r="A229" s="6" t="s">
        <v>4260</v>
      </c>
      <c r="B229" s="6" t="s">
        <v>1324</v>
      </c>
    </row>
    <row r="230" ht="12.75" customHeight="1">
      <c r="A230" s="6" t="s">
        <v>4261</v>
      </c>
      <c r="B230" s="6" t="s">
        <v>4262</v>
      </c>
    </row>
    <row r="231" ht="12.75" customHeight="1">
      <c r="A231" s="6" t="s">
        <v>4263</v>
      </c>
      <c r="B231" s="6" t="s">
        <v>4264</v>
      </c>
    </row>
    <row r="232" ht="12.75" customHeight="1">
      <c r="A232" s="6" t="s">
        <v>4265</v>
      </c>
      <c r="B232" s="6" t="s">
        <v>4266</v>
      </c>
    </row>
    <row r="233" ht="12.75" customHeight="1">
      <c r="A233" s="6" t="s">
        <v>4267</v>
      </c>
      <c r="B233" s="6" t="s">
        <v>514</v>
      </c>
    </row>
    <row r="234" ht="12.75" customHeight="1">
      <c r="A234" s="6" t="s">
        <v>4268</v>
      </c>
      <c r="B234" s="6" t="s">
        <v>1730</v>
      </c>
    </row>
    <row r="235" ht="12.75" customHeight="1">
      <c r="A235" s="6" t="s">
        <v>4269</v>
      </c>
      <c r="B235" s="6" t="s">
        <v>3719</v>
      </c>
    </row>
    <row r="236" ht="12.75" customHeight="1">
      <c r="A236" s="6" t="s">
        <v>4270</v>
      </c>
      <c r="B236" s="6" t="s">
        <v>4271</v>
      </c>
    </row>
    <row r="237" ht="12.75" customHeight="1">
      <c r="A237" s="6" t="s">
        <v>4272</v>
      </c>
      <c r="B237" s="6" t="s">
        <v>671</v>
      </c>
    </row>
    <row r="238" ht="12.75" customHeight="1">
      <c r="A238" s="6" t="s">
        <v>4273</v>
      </c>
      <c r="B238" s="6" t="s">
        <v>4274</v>
      </c>
    </row>
    <row r="239" ht="12.75" customHeight="1">
      <c r="A239" s="6" t="s">
        <v>4275</v>
      </c>
      <c r="B239" s="6" t="s">
        <v>4276</v>
      </c>
    </row>
    <row r="240" ht="12.75" customHeight="1">
      <c r="A240" s="6" t="s">
        <v>4277</v>
      </c>
      <c r="B240" s="6" t="s">
        <v>4278</v>
      </c>
    </row>
    <row r="241" ht="12.75" customHeight="1">
      <c r="A241" s="6" t="s">
        <v>4279</v>
      </c>
      <c r="B241" s="6" t="s">
        <v>4280</v>
      </c>
    </row>
    <row r="242" ht="12.75" customHeight="1">
      <c r="A242" s="6" t="s">
        <v>4281</v>
      </c>
      <c r="B242" s="6" t="s">
        <v>2856</v>
      </c>
    </row>
    <row r="243" ht="12.75" customHeight="1">
      <c r="A243" s="6" t="s">
        <v>4282</v>
      </c>
      <c r="B243" s="6" t="s">
        <v>4283</v>
      </c>
    </row>
    <row r="244" ht="12.75" customHeight="1">
      <c r="A244" s="6" t="s">
        <v>4284</v>
      </c>
      <c r="B244" s="6" t="s">
        <v>4285</v>
      </c>
    </row>
    <row r="245" ht="12.75" customHeight="1">
      <c r="A245" s="6" t="s">
        <v>4286</v>
      </c>
      <c r="B245" s="6" t="s">
        <v>4287</v>
      </c>
    </row>
    <row r="246" ht="12.75" customHeight="1">
      <c r="A246" s="6" t="s">
        <v>4288</v>
      </c>
      <c r="B246" s="6" t="s">
        <v>4289</v>
      </c>
    </row>
    <row r="247" ht="12.75" customHeight="1">
      <c r="A247" s="6" t="s">
        <v>4290</v>
      </c>
      <c r="B247" s="6" t="s">
        <v>4291</v>
      </c>
    </row>
    <row r="248" ht="12.75" customHeight="1">
      <c r="A248" s="6" t="s">
        <v>4292</v>
      </c>
      <c r="B248" s="6" t="s">
        <v>1514</v>
      </c>
    </row>
    <row r="249" ht="12.75" customHeight="1">
      <c r="A249" s="6" t="s">
        <v>4293</v>
      </c>
      <c r="B249" s="6" t="s">
        <v>4294</v>
      </c>
    </row>
    <row r="250" ht="12.75" customHeight="1">
      <c r="A250" s="6" t="s">
        <v>4295</v>
      </c>
      <c r="B250" s="6" t="s">
        <v>4296</v>
      </c>
    </row>
    <row r="251" ht="12.75" customHeight="1">
      <c r="A251" s="6" t="s">
        <v>4297</v>
      </c>
      <c r="B251" s="6" t="s">
        <v>2162</v>
      </c>
    </row>
    <row r="252" ht="12.75" customHeight="1">
      <c r="A252" s="6" t="s">
        <v>4298</v>
      </c>
      <c r="B252" s="6" t="s">
        <v>4299</v>
      </c>
    </row>
    <row r="253" ht="12.75" customHeight="1">
      <c r="A253" s="6" t="s">
        <v>4300</v>
      </c>
      <c r="B253" s="6" t="s">
        <v>4301</v>
      </c>
    </row>
    <row r="254" ht="12.75" customHeight="1">
      <c r="A254" s="6" t="s">
        <v>4302</v>
      </c>
      <c r="B254" s="6" t="s">
        <v>4303</v>
      </c>
    </row>
    <row r="255" ht="12.75" customHeight="1">
      <c r="A255" s="6" t="s">
        <v>4304</v>
      </c>
      <c r="B255" s="6" t="s">
        <v>4305</v>
      </c>
    </row>
    <row r="256" ht="12.75" customHeight="1">
      <c r="A256" s="6" t="s">
        <v>4306</v>
      </c>
      <c r="B256" s="6" t="s">
        <v>3332</v>
      </c>
    </row>
    <row r="257" ht="12.75" customHeight="1">
      <c r="A257" s="6" t="s">
        <v>4307</v>
      </c>
      <c r="B257" s="6" t="s">
        <v>4308</v>
      </c>
    </row>
    <row r="258" ht="12.75" customHeight="1">
      <c r="A258" s="6" t="s">
        <v>4309</v>
      </c>
      <c r="B258" s="6" t="s">
        <v>4310</v>
      </c>
    </row>
    <row r="259" ht="12.75" customHeight="1">
      <c r="A259" s="6" t="s">
        <v>4311</v>
      </c>
      <c r="B259" s="6" t="s">
        <v>4312</v>
      </c>
    </row>
    <row r="260" ht="12.75" customHeight="1">
      <c r="A260" s="6" t="s">
        <v>4313</v>
      </c>
      <c r="B260" s="6" t="s">
        <v>4314</v>
      </c>
    </row>
    <row r="261" ht="12.75" customHeight="1">
      <c r="A261" s="6" t="s">
        <v>4315</v>
      </c>
      <c r="B261" s="6" t="s">
        <v>4316</v>
      </c>
    </row>
    <row r="262" ht="12.75" customHeight="1">
      <c r="A262" s="6" t="s">
        <v>4317</v>
      </c>
      <c r="B262" s="6" t="s">
        <v>4318</v>
      </c>
    </row>
    <row r="263" ht="12.75" customHeight="1">
      <c r="A263" s="6" t="s">
        <v>4319</v>
      </c>
      <c r="B263" s="6" t="s">
        <v>4320</v>
      </c>
    </row>
    <row r="264" ht="12.75" customHeight="1">
      <c r="A264" s="6" t="s">
        <v>4321</v>
      </c>
      <c r="B264" s="6" t="s">
        <v>4322</v>
      </c>
    </row>
    <row r="265" ht="12.75" customHeight="1">
      <c r="A265" s="6" t="s">
        <v>4323</v>
      </c>
      <c r="B265" s="6" t="s">
        <v>4324</v>
      </c>
    </row>
    <row r="266" ht="12.75" customHeight="1">
      <c r="A266" s="6" t="s">
        <v>4325</v>
      </c>
      <c r="B266" s="6" t="s">
        <v>4326</v>
      </c>
    </row>
    <row r="267" ht="12.75" customHeight="1">
      <c r="A267" s="6" t="s">
        <v>4327</v>
      </c>
      <c r="B267" s="6" t="s">
        <v>4328</v>
      </c>
    </row>
    <row r="268" ht="12.75" customHeight="1">
      <c r="A268" s="6" t="s">
        <v>4329</v>
      </c>
      <c r="B268" s="6" t="s">
        <v>575</v>
      </c>
    </row>
    <row r="269" ht="12.75" customHeight="1">
      <c r="A269" s="6" t="s">
        <v>4330</v>
      </c>
      <c r="B269" s="6" t="s">
        <v>246</v>
      </c>
    </row>
    <row r="270" ht="12.75" customHeight="1">
      <c r="A270" s="6" t="s">
        <v>4331</v>
      </c>
      <c r="B270" s="6" t="s">
        <v>1106</v>
      </c>
    </row>
    <row r="271" ht="12.75" customHeight="1">
      <c r="A271" s="6" t="s">
        <v>4332</v>
      </c>
      <c r="B271" s="6" t="s">
        <v>4333</v>
      </c>
    </row>
    <row r="272" ht="12.75" customHeight="1">
      <c r="A272" s="6" t="s">
        <v>4334</v>
      </c>
      <c r="B272" s="6" t="s">
        <v>4335</v>
      </c>
    </row>
    <row r="273" ht="12.75" customHeight="1">
      <c r="A273" s="6" t="s">
        <v>4336</v>
      </c>
      <c r="B273" s="6" t="s">
        <v>2333</v>
      </c>
    </row>
    <row r="274" ht="12.75" customHeight="1">
      <c r="A274" s="6" t="s">
        <v>4337</v>
      </c>
      <c r="B274" s="6" t="s">
        <v>4338</v>
      </c>
    </row>
    <row r="275" ht="12.75" customHeight="1">
      <c r="A275" s="6" t="s">
        <v>4339</v>
      </c>
      <c r="B275" s="6" t="s">
        <v>2266</v>
      </c>
    </row>
    <row r="276" ht="12.75" customHeight="1">
      <c r="A276" s="6" t="s">
        <v>4340</v>
      </c>
      <c r="B276" s="6" t="s">
        <v>4341</v>
      </c>
    </row>
    <row r="277" ht="12.75" customHeight="1">
      <c r="A277" s="6" t="s">
        <v>4342</v>
      </c>
      <c r="B277" s="6" t="s">
        <v>4343</v>
      </c>
    </row>
    <row r="278" ht="12.75" customHeight="1">
      <c r="A278" s="6" t="s">
        <v>4344</v>
      </c>
      <c r="B278" s="6" t="s">
        <v>4345</v>
      </c>
    </row>
    <row r="279" ht="12.75" customHeight="1">
      <c r="A279" s="6" t="s">
        <v>4346</v>
      </c>
      <c r="B279" s="6" t="s">
        <v>4347</v>
      </c>
    </row>
    <row r="280" ht="12.75" customHeight="1">
      <c r="A280" s="6" t="s">
        <v>4348</v>
      </c>
      <c r="B280" s="6" t="s">
        <v>1487</v>
      </c>
    </row>
    <row r="281" ht="12.75" customHeight="1">
      <c r="A281" s="6" t="s">
        <v>4349</v>
      </c>
      <c r="B281" s="6" t="s">
        <v>4350</v>
      </c>
    </row>
    <row r="282" ht="12.75" customHeight="1">
      <c r="A282" s="6" t="s">
        <v>4351</v>
      </c>
      <c r="B282" s="6" t="s">
        <v>815</v>
      </c>
    </row>
    <row r="283" ht="12.75" customHeight="1">
      <c r="A283" s="6" t="s">
        <v>4352</v>
      </c>
      <c r="B283" s="6" t="s">
        <v>4353</v>
      </c>
    </row>
    <row r="284" ht="12.75" customHeight="1">
      <c r="A284" s="6" t="s">
        <v>4354</v>
      </c>
      <c r="B284" s="6" t="s">
        <v>4355</v>
      </c>
    </row>
    <row r="285" ht="12.75" customHeight="1">
      <c r="A285" s="6" t="s">
        <v>4356</v>
      </c>
      <c r="B285" s="6" t="s">
        <v>1313</v>
      </c>
    </row>
    <row r="286" ht="12.75" customHeight="1">
      <c r="A286" s="6" t="s">
        <v>4357</v>
      </c>
      <c r="B286" s="6" t="s">
        <v>95</v>
      </c>
    </row>
    <row r="287" ht="12.75" customHeight="1">
      <c r="A287" s="6" t="s">
        <v>4358</v>
      </c>
      <c r="B287" s="6" t="s">
        <v>4359</v>
      </c>
    </row>
    <row r="288" ht="12.75" customHeight="1">
      <c r="A288" s="6" t="s">
        <v>4360</v>
      </c>
      <c r="B288" s="6" t="s">
        <v>1818</v>
      </c>
    </row>
    <row r="289" ht="12.75" customHeight="1">
      <c r="A289" s="6" t="s">
        <v>4361</v>
      </c>
      <c r="B289" s="6" t="s">
        <v>1566</v>
      </c>
    </row>
    <row r="290" ht="12.75" customHeight="1">
      <c r="A290" s="6" t="s">
        <v>4362</v>
      </c>
      <c r="B290" s="6" t="s">
        <v>1429</v>
      </c>
    </row>
    <row r="291" ht="12.75" customHeight="1">
      <c r="A291" s="6" t="s">
        <v>4363</v>
      </c>
      <c r="B291" s="6" t="s">
        <v>3289</v>
      </c>
    </row>
    <row r="292" ht="12.75" customHeight="1">
      <c r="A292" s="6" t="s">
        <v>4364</v>
      </c>
      <c r="B292" s="6" t="s">
        <v>807</v>
      </c>
    </row>
    <row r="293" ht="12.75" customHeight="1">
      <c r="A293" s="6" t="s">
        <v>4365</v>
      </c>
      <c r="B293" s="6" t="s">
        <v>4366</v>
      </c>
    </row>
    <row r="294" ht="12.75" customHeight="1">
      <c r="A294" s="6" t="s">
        <v>4367</v>
      </c>
      <c r="B294" s="6" t="s">
        <v>4368</v>
      </c>
    </row>
    <row r="295" ht="12.75" customHeight="1">
      <c r="A295" s="6" t="s">
        <v>4369</v>
      </c>
      <c r="B295" s="6" t="s">
        <v>4370</v>
      </c>
    </row>
    <row r="296" ht="12.75" customHeight="1">
      <c r="A296" s="6" t="s">
        <v>4371</v>
      </c>
      <c r="B296" s="6" t="s">
        <v>4372</v>
      </c>
    </row>
    <row r="297" ht="12.75" customHeight="1">
      <c r="A297" s="6" t="s">
        <v>4373</v>
      </c>
      <c r="B297" s="6" t="s">
        <v>4374</v>
      </c>
    </row>
    <row r="298" ht="12.75" customHeight="1">
      <c r="A298" s="6" t="s">
        <v>4375</v>
      </c>
      <c r="B298" s="6" t="s">
        <v>4376</v>
      </c>
    </row>
    <row r="299" ht="12.75" customHeight="1">
      <c r="A299" s="6" t="s">
        <v>4377</v>
      </c>
      <c r="B299" s="6" t="s">
        <v>4378</v>
      </c>
    </row>
    <row r="300" ht="12.75" customHeight="1">
      <c r="A300" s="6" t="s">
        <v>4379</v>
      </c>
      <c r="B300" s="6" t="s">
        <v>4380</v>
      </c>
    </row>
    <row r="301" ht="12.75" customHeight="1">
      <c r="A301" s="6" t="s">
        <v>4381</v>
      </c>
      <c r="B301" s="6" t="s">
        <v>4382</v>
      </c>
    </row>
    <row r="302" ht="12.75" customHeight="1">
      <c r="A302" s="6" t="s">
        <v>4383</v>
      </c>
      <c r="B302" s="6" t="s">
        <v>4384</v>
      </c>
    </row>
    <row r="303" ht="12.75" customHeight="1">
      <c r="A303" s="6" t="s">
        <v>4385</v>
      </c>
      <c r="B303" s="6" t="s">
        <v>4386</v>
      </c>
    </row>
    <row r="304" ht="12.75" customHeight="1">
      <c r="A304" s="6" t="s">
        <v>4387</v>
      </c>
      <c r="B304" s="6" t="s">
        <v>4388</v>
      </c>
    </row>
    <row r="305" ht="12.75" customHeight="1">
      <c r="A305" s="6" t="s">
        <v>4389</v>
      </c>
      <c r="B305" s="6" t="s">
        <v>4390</v>
      </c>
    </row>
    <row r="306" ht="12.75" customHeight="1">
      <c r="A306" s="6" t="s">
        <v>4391</v>
      </c>
      <c r="B306" s="6" t="s">
        <v>4392</v>
      </c>
    </row>
    <row r="307" ht="12.75" customHeight="1">
      <c r="A307" s="6" t="s">
        <v>4393</v>
      </c>
      <c r="B307" s="6" t="s">
        <v>4394</v>
      </c>
    </row>
    <row r="308" ht="12.75" customHeight="1">
      <c r="A308" s="6" t="s">
        <v>4395</v>
      </c>
      <c r="B308" s="6" t="s">
        <v>4396</v>
      </c>
    </row>
    <row r="309" ht="12.75" customHeight="1">
      <c r="A309" s="6" t="s">
        <v>4397</v>
      </c>
      <c r="B309" s="6" t="s">
        <v>4398</v>
      </c>
    </row>
    <row r="310" ht="12.75" customHeight="1">
      <c r="A310" s="6" t="s">
        <v>4399</v>
      </c>
      <c r="B310" s="6" t="s">
        <v>4400</v>
      </c>
    </row>
    <row r="311" ht="12.75" customHeight="1">
      <c r="A311" s="6" t="s">
        <v>4401</v>
      </c>
      <c r="B311" s="6" t="s">
        <v>4402</v>
      </c>
    </row>
    <row r="312" ht="12.75" customHeight="1">
      <c r="A312" s="6" t="s">
        <v>4403</v>
      </c>
      <c r="B312" s="6" t="s">
        <v>4404</v>
      </c>
    </row>
    <row r="313" ht="12.75" customHeight="1">
      <c r="A313" s="6" t="s">
        <v>4405</v>
      </c>
      <c r="B313" s="6" t="s">
        <v>4406</v>
      </c>
    </row>
    <row r="314" ht="12.75" customHeight="1">
      <c r="A314" s="6" t="s">
        <v>4407</v>
      </c>
      <c r="B314" s="6" t="s">
        <v>4408</v>
      </c>
    </row>
    <row r="315" ht="12.75" customHeight="1">
      <c r="A315" s="6" t="s">
        <v>4409</v>
      </c>
      <c r="B315" s="6" t="s">
        <v>4410</v>
      </c>
    </row>
    <row r="316" ht="12.75" customHeight="1">
      <c r="A316" s="6" t="s">
        <v>4411</v>
      </c>
      <c r="B316" s="6" t="s">
        <v>4412</v>
      </c>
    </row>
    <row r="317" ht="12.75" customHeight="1">
      <c r="A317" s="6" t="s">
        <v>4413</v>
      </c>
      <c r="B317" s="6" t="s">
        <v>4414</v>
      </c>
    </row>
    <row r="318" ht="12.75" customHeight="1">
      <c r="A318" s="6" t="s">
        <v>4415</v>
      </c>
      <c r="B318" s="6" t="s">
        <v>4416</v>
      </c>
    </row>
    <row r="319" ht="12.75" customHeight="1">
      <c r="A319" s="6" t="s">
        <v>4417</v>
      </c>
      <c r="B319" s="6" t="s">
        <v>4418</v>
      </c>
    </row>
    <row r="320" ht="12.75" customHeight="1">
      <c r="A320" s="6" t="s">
        <v>4419</v>
      </c>
      <c r="B320" s="6" t="s">
        <v>4420</v>
      </c>
    </row>
    <row r="321" ht="12.75" customHeight="1">
      <c r="A321" s="6" t="s">
        <v>4421</v>
      </c>
      <c r="B321" s="6" t="s">
        <v>4422</v>
      </c>
    </row>
    <row r="322" ht="12.75" customHeight="1">
      <c r="A322" s="6" t="s">
        <v>4423</v>
      </c>
      <c r="B322" s="6" t="s">
        <v>4424</v>
      </c>
    </row>
    <row r="323" ht="12.75" customHeight="1">
      <c r="A323" s="6" t="s">
        <v>4425</v>
      </c>
      <c r="B323" s="6" t="s">
        <v>4426</v>
      </c>
    </row>
    <row r="324" ht="12.75" customHeight="1">
      <c r="A324" s="6" t="s">
        <v>4427</v>
      </c>
      <c r="B324" s="6" t="s">
        <v>4428</v>
      </c>
    </row>
    <row r="325" ht="12.75" customHeight="1">
      <c r="A325" s="6" t="s">
        <v>4429</v>
      </c>
      <c r="B325" s="6" t="s">
        <v>4430</v>
      </c>
    </row>
    <row r="326" ht="12.75" customHeight="1">
      <c r="A326" s="6" t="s">
        <v>4431</v>
      </c>
      <c r="B326" s="6" t="s">
        <v>4432</v>
      </c>
    </row>
    <row r="327" ht="12.75" customHeight="1">
      <c r="A327" s="6" t="s">
        <v>4433</v>
      </c>
      <c r="B327" s="6" t="s">
        <v>4434</v>
      </c>
    </row>
    <row r="328" ht="12.75" customHeight="1">
      <c r="A328" s="6" t="s">
        <v>4435</v>
      </c>
      <c r="B328" s="6" t="s">
        <v>4436</v>
      </c>
    </row>
    <row r="329" ht="12.75" customHeight="1">
      <c r="A329" s="6" t="s">
        <v>4437</v>
      </c>
      <c r="B329" s="6" t="s">
        <v>4438</v>
      </c>
    </row>
    <row r="330" ht="12.75" customHeight="1">
      <c r="A330" s="6" t="s">
        <v>4439</v>
      </c>
      <c r="B330" s="6" t="s">
        <v>4440</v>
      </c>
    </row>
    <row r="331" ht="12.75" customHeight="1">
      <c r="A331" s="6" t="s">
        <v>4441</v>
      </c>
      <c r="B331" s="6" t="s">
        <v>4442</v>
      </c>
    </row>
    <row r="332" ht="12.75" customHeight="1">
      <c r="A332" s="6" t="s">
        <v>4443</v>
      </c>
      <c r="B332" s="6" t="s">
        <v>4444</v>
      </c>
    </row>
    <row r="333" ht="12.75" customHeight="1">
      <c r="A333" s="6" t="s">
        <v>4445</v>
      </c>
      <c r="B333" s="6" t="s">
        <v>4446</v>
      </c>
    </row>
    <row r="334" ht="12.75" customHeight="1">
      <c r="A334" s="6" t="s">
        <v>4447</v>
      </c>
      <c r="B334" s="6" t="s">
        <v>4448</v>
      </c>
    </row>
    <row r="335" ht="12.75" customHeight="1">
      <c r="A335" s="6" t="s">
        <v>4449</v>
      </c>
      <c r="B335" s="6" t="s">
        <v>4450</v>
      </c>
    </row>
    <row r="336" ht="12.75" customHeight="1">
      <c r="A336" s="6" t="s">
        <v>4451</v>
      </c>
      <c r="B336" s="6" t="s">
        <v>4452</v>
      </c>
    </row>
    <row r="337" ht="12.75" customHeight="1">
      <c r="A337" s="6" t="s">
        <v>4453</v>
      </c>
      <c r="B337" s="6" t="s">
        <v>4454</v>
      </c>
    </row>
    <row r="338" ht="12.75" customHeight="1">
      <c r="A338" s="6" t="s">
        <v>4455</v>
      </c>
      <c r="B338" s="6" t="s">
        <v>4456</v>
      </c>
    </row>
    <row r="339" ht="12.75" customHeight="1">
      <c r="A339" s="6" t="s">
        <v>4457</v>
      </c>
      <c r="B339" s="6" t="s">
        <v>4458</v>
      </c>
    </row>
    <row r="340" ht="12.75" customHeight="1">
      <c r="A340" s="6" t="s">
        <v>4459</v>
      </c>
      <c r="B340" s="6" t="s">
        <v>4460</v>
      </c>
    </row>
    <row r="341" ht="12.75" customHeight="1">
      <c r="A341" s="6" t="s">
        <v>4461</v>
      </c>
      <c r="B341" s="6" t="s">
        <v>4462</v>
      </c>
    </row>
    <row r="342" ht="12.75" customHeight="1">
      <c r="A342" s="6" t="s">
        <v>4463</v>
      </c>
      <c r="B342" s="6" t="s">
        <v>4464</v>
      </c>
    </row>
    <row r="343" ht="12.75" customHeight="1">
      <c r="A343" s="6" t="s">
        <v>4465</v>
      </c>
      <c r="B343" s="6" t="s">
        <v>4466</v>
      </c>
    </row>
    <row r="344" ht="12.75" customHeight="1">
      <c r="A344" s="6" t="s">
        <v>4467</v>
      </c>
      <c r="B344" s="6" t="s">
        <v>4468</v>
      </c>
    </row>
    <row r="345" ht="12.75" customHeight="1">
      <c r="A345" s="6" t="s">
        <v>4469</v>
      </c>
      <c r="B345" s="6" t="s">
        <v>4470</v>
      </c>
    </row>
    <row r="346" ht="12.75" customHeight="1">
      <c r="A346" s="6" t="s">
        <v>4471</v>
      </c>
      <c r="B346" s="6" t="s">
        <v>4472</v>
      </c>
    </row>
    <row r="347" ht="12.75" customHeight="1">
      <c r="A347" s="6" t="s">
        <v>4473</v>
      </c>
      <c r="B347" s="6" t="s">
        <v>4474</v>
      </c>
    </row>
    <row r="348" ht="12.75" customHeight="1">
      <c r="A348" s="6" t="s">
        <v>4475</v>
      </c>
      <c r="B348" s="6" t="s">
        <v>4476</v>
      </c>
    </row>
    <row r="349" ht="12.75" customHeight="1">
      <c r="A349" s="6" t="s">
        <v>4477</v>
      </c>
      <c r="B349" s="6" t="s">
        <v>4478</v>
      </c>
    </row>
    <row r="350" ht="12.75" customHeight="1">
      <c r="A350" s="6" t="s">
        <v>4479</v>
      </c>
      <c r="B350" s="6" t="s">
        <v>4480</v>
      </c>
    </row>
    <row r="351" ht="12.75" customHeight="1">
      <c r="A351" s="6" t="s">
        <v>4481</v>
      </c>
      <c r="B351" s="6" t="s">
        <v>4482</v>
      </c>
    </row>
    <row r="352" ht="12.75" customHeight="1">
      <c r="A352" s="6" t="s">
        <v>4483</v>
      </c>
      <c r="B352" s="6" t="s">
        <v>4484</v>
      </c>
    </row>
    <row r="353" ht="12.75" customHeight="1">
      <c r="A353" s="6" t="s">
        <v>4485</v>
      </c>
      <c r="B353" s="6" t="s">
        <v>4486</v>
      </c>
    </row>
    <row r="354" ht="12.75" customHeight="1">
      <c r="A354" s="6" t="s">
        <v>4487</v>
      </c>
      <c r="B354" s="6" t="s">
        <v>4488</v>
      </c>
    </row>
    <row r="355" ht="12.75" customHeight="1">
      <c r="A355" s="6" t="s">
        <v>4489</v>
      </c>
      <c r="B355" s="6" t="s">
        <v>4490</v>
      </c>
    </row>
    <row r="356" ht="12.75" customHeight="1">
      <c r="A356" s="6" t="s">
        <v>4491</v>
      </c>
      <c r="B356" s="6" t="s">
        <v>4492</v>
      </c>
    </row>
    <row r="357" ht="12.75" customHeight="1">
      <c r="A357" s="6" t="s">
        <v>4493</v>
      </c>
      <c r="B357" s="6" t="s">
        <v>4494</v>
      </c>
    </row>
    <row r="358" ht="12.75" customHeight="1">
      <c r="A358" s="6" t="s">
        <v>4495</v>
      </c>
      <c r="B358" s="6" t="s">
        <v>4496</v>
      </c>
    </row>
    <row r="359" ht="12.75" customHeight="1">
      <c r="A359" s="6" t="s">
        <v>4497</v>
      </c>
      <c r="B359" s="6" t="s">
        <v>4498</v>
      </c>
    </row>
    <row r="360" ht="12.75" customHeight="1">
      <c r="A360" s="6" t="s">
        <v>4499</v>
      </c>
      <c r="B360" s="6" t="s">
        <v>4500</v>
      </c>
    </row>
    <row r="361" ht="12.75" customHeight="1">
      <c r="A361" s="6" t="s">
        <v>4501</v>
      </c>
      <c r="B361" s="6" t="s">
        <v>4502</v>
      </c>
    </row>
    <row r="362" ht="12.75" customHeight="1">
      <c r="A362" s="6" t="s">
        <v>4503</v>
      </c>
      <c r="B362" s="6" t="s">
        <v>4504</v>
      </c>
    </row>
    <row r="363" ht="12.75" customHeight="1">
      <c r="A363" s="6" t="s">
        <v>4505</v>
      </c>
      <c r="B363" s="6" t="s">
        <v>4506</v>
      </c>
    </row>
    <row r="364" ht="12.75" customHeight="1">
      <c r="A364" s="6" t="s">
        <v>4507</v>
      </c>
      <c r="B364" s="6" t="s">
        <v>4508</v>
      </c>
    </row>
    <row r="365" ht="12.75" customHeight="1">
      <c r="A365" s="6" t="s">
        <v>4509</v>
      </c>
      <c r="B365" s="6" t="s">
        <v>4510</v>
      </c>
    </row>
    <row r="366" ht="12.75" customHeight="1">
      <c r="A366" s="6" t="s">
        <v>4511</v>
      </c>
      <c r="B366" s="6" t="s">
        <v>4512</v>
      </c>
    </row>
    <row r="367" ht="12.75" customHeight="1">
      <c r="A367" s="6" t="s">
        <v>4513</v>
      </c>
      <c r="B367" s="6" t="s">
        <v>4514</v>
      </c>
    </row>
    <row r="368" ht="12.75" customHeight="1">
      <c r="A368" s="6" t="s">
        <v>4515</v>
      </c>
      <c r="B368" s="6" t="s">
        <v>4516</v>
      </c>
    </row>
    <row r="369" ht="12.75" customHeight="1">
      <c r="A369" s="6" t="s">
        <v>4517</v>
      </c>
      <c r="B369" s="6" t="s">
        <v>4518</v>
      </c>
    </row>
    <row r="370" ht="12.75" customHeight="1">
      <c r="A370" s="6" t="s">
        <v>4519</v>
      </c>
      <c r="B370" s="6" t="s">
        <v>4520</v>
      </c>
    </row>
    <row r="371" ht="12.75" customHeight="1">
      <c r="A371" s="6" t="s">
        <v>4521</v>
      </c>
      <c r="B371" s="6" t="s">
        <v>4522</v>
      </c>
    </row>
    <row r="372" ht="12.75" customHeight="1">
      <c r="A372" s="6" t="s">
        <v>4523</v>
      </c>
      <c r="B372" s="6" t="s">
        <v>4524</v>
      </c>
    </row>
    <row r="373" ht="12.75" customHeight="1">
      <c r="A373" s="6" t="s">
        <v>4525</v>
      </c>
      <c r="B373" s="6" t="s">
        <v>4526</v>
      </c>
    </row>
    <row r="374" ht="12.75" customHeight="1">
      <c r="A374" s="6" t="s">
        <v>4527</v>
      </c>
      <c r="B374" s="6" t="s">
        <v>4528</v>
      </c>
    </row>
    <row r="375" ht="12.75" customHeight="1">
      <c r="A375" s="6" t="s">
        <v>4529</v>
      </c>
      <c r="B375" s="6" t="s">
        <v>4530</v>
      </c>
    </row>
    <row r="376" ht="12.75" customHeight="1">
      <c r="A376" s="6" t="s">
        <v>4531</v>
      </c>
      <c r="B376" s="6" t="s">
        <v>4532</v>
      </c>
    </row>
    <row r="377" ht="12.75" customHeight="1">
      <c r="A377" s="6" t="s">
        <v>4533</v>
      </c>
      <c r="B377" s="6" t="s">
        <v>4534</v>
      </c>
    </row>
    <row r="378" ht="12.75" customHeight="1">
      <c r="A378" s="6" t="s">
        <v>4535</v>
      </c>
      <c r="B378" s="6" t="s">
        <v>4536</v>
      </c>
    </row>
    <row r="379" ht="12.75" customHeight="1">
      <c r="A379" s="6" t="s">
        <v>4537</v>
      </c>
      <c r="B379" s="6" t="s">
        <v>4538</v>
      </c>
    </row>
    <row r="380" ht="12.75" customHeight="1">
      <c r="A380" s="6" t="s">
        <v>4539</v>
      </c>
      <c r="B380" s="6" t="s">
        <v>1073</v>
      </c>
    </row>
    <row r="381" ht="12.75" customHeight="1">
      <c r="A381" s="6" t="s">
        <v>4540</v>
      </c>
      <c r="B381" s="6" t="s">
        <v>4541</v>
      </c>
    </row>
    <row r="382" ht="12.75" customHeight="1">
      <c r="A382" s="6" t="s">
        <v>4542</v>
      </c>
      <c r="B382" s="6" t="s">
        <v>4543</v>
      </c>
    </row>
    <row r="383" ht="12.75" customHeight="1">
      <c r="A383" s="6" t="s">
        <v>4544</v>
      </c>
      <c r="B383" s="6" t="s">
        <v>4545</v>
      </c>
    </row>
    <row r="384" ht="12.75" customHeight="1">
      <c r="A384" s="6" t="s">
        <v>4546</v>
      </c>
      <c r="B384" s="6" t="s">
        <v>4547</v>
      </c>
    </row>
    <row r="385" ht="12.75" customHeight="1">
      <c r="A385" s="6" t="s">
        <v>4548</v>
      </c>
      <c r="B385" s="6" t="s">
        <v>2195</v>
      </c>
    </row>
    <row r="386" ht="12.75" customHeight="1">
      <c r="A386" s="6" t="s">
        <v>4549</v>
      </c>
      <c r="B386" s="6" t="s">
        <v>4550</v>
      </c>
    </row>
    <row r="387" ht="12.75" customHeight="1">
      <c r="A387" s="6" t="s">
        <v>4551</v>
      </c>
      <c r="B387" s="6" t="s">
        <v>4552</v>
      </c>
    </row>
    <row r="388" ht="12.75" customHeight="1">
      <c r="A388" s="6" t="s">
        <v>4553</v>
      </c>
      <c r="B388" s="6" t="s">
        <v>4554</v>
      </c>
    </row>
    <row r="389" ht="12.75" customHeight="1">
      <c r="A389" s="6" t="s">
        <v>4555</v>
      </c>
      <c r="B389" s="6" t="s">
        <v>4556</v>
      </c>
    </row>
    <row r="390" ht="12.75" customHeight="1">
      <c r="A390" s="6" t="s">
        <v>4557</v>
      </c>
      <c r="B390" s="6" t="s">
        <v>4558</v>
      </c>
    </row>
    <row r="391" ht="12.75" customHeight="1">
      <c r="A391" s="6" t="s">
        <v>4559</v>
      </c>
      <c r="B391" s="6" t="s">
        <v>4560</v>
      </c>
    </row>
    <row r="392" ht="12.75" customHeight="1">
      <c r="A392" s="6" t="s">
        <v>4561</v>
      </c>
      <c r="B392" s="6" t="s">
        <v>4562</v>
      </c>
    </row>
    <row r="393" ht="12.75" customHeight="1">
      <c r="A393" s="6" t="s">
        <v>4563</v>
      </c>
      <c r="B393" s="6" t="s">
        <v>4564</v>
      </c>
    </row>
    <row r="394" ht="12.75" customHeight="1">
      <c r="A394" s="6" t="s">
        <v>4565</v>
      </c>
      <c r="B394" s="6" t="s">
        <v>4566</v>
      </c>
    </row>
    <row r="395" ht="12.75" customHeight="1">
      <c r="A395" s="6" t="s">
        <v>4567</v>
      </c>
      <c r="B395" s="6" t="s">
        <v>4568</v>
      </c>
    </row>
    <row r="396" ht="12.75" customHeight="1">
      <c r="A396" s="6" t="s">
        <v>4569</v>
      </c>
      <c r="B396" s="6" t="s">
        <v>3532</v>
      </c>
    </row>
    <row r="397" ht="12.75" customHeight="1">
      <c r="A397" s="6" t="s">
        <v>4570</v>
      </c>
      <c r="B397" s="6" t="s">
        <v>4571</v>
      </c>
    </row>
    <row r="398" ht="12.75" customHeight="1">
      <c r="A398" s="6" t="s">
        <v>4572</v>
      </c>
      <c r="B398" s="6" t="s">
        <v>4573</v>
      </c>
    </row>
    <row r="399" ht="12.75" customHeight="1">
      <c r="A399" s="6" t="s">
        <v>4574</v>
      </c>
      <c r="B399" s="6" t="s">
        <v>2784</v>
      </c>
    </row>
    <row r="400" ht="12.75" customHeight="1">
      <c r="A400" s="6" t="s">
        <v>4575</v>
      </c>
      <c r="B400" s="6" t="s">
        <v>4576</v>
      </c>
    </row>
    <row r="401" ht="12.75" customHeight="1">
      <c r="A401" s="6" t="s">
        <v>4577</v>
      </c>
      <c r="B401" s="6" t="s">
        <v>1527</v>
      </c>
    </row>
    <row r="402" ht="12.75" customHeight="1">
      <c r="A402" s="6" t="s">
        <v>4578</v>
      </c>
      <c r="B402" s="6" t="s">
        <v>4579</v>
      </c>
    </row>
    <row r="403" ht="12.75" customHeight="1">
      <c r="A403" s="6" t="s">
        <v>4580</v>
      </c>
      <c r="B403" s="6" t="s">
        <v>1946</v>
      </c>
    </row>
    <row r="404" ht="12.75" customHeight="1">
      <c r="A404" s="6" t="s">
        <v>4581</v>
      </c>
      <c r="B404" s="6" t="s">
        <v>4582</v>
      </c>
    </row>
    <row r="405" ht="12.75" customHeight="1">
      <c r="A405" s="6" t="s">
        <v>4583</v>
      </c>
      <c r="B405" s="6" t="s">
        <v>3111</v>
      </c>
    </row>
    <row r="406" ht="12.75" customHeight="1">
      <c r="A406" s="6" t="s">
        <v>4584</v>
      </c>
      <c r="B406" s="6" t="s">
        <v>1798</v>
      </c>
    </row>
    <row r="407" ht="12.75" customHeight="1">
      <c r="A407" s="6" t="s">
        <v>4585</v>
      </c>
      <c r="B407" s="6" t="s">
        <v>4586</v>
      </c>
    </row>
    <row r="408" ht="12.75" customHeight="1">
      <c r="A408" s="6" t="s">
        <v>4587</v>
      </c>
      <c r="B408" s="6" t="s">
        <v>3686</v>
      </c>
    </row>
    <row r="409" ht="12.75" customHeight="1">
      <c r="A409" s="6" t="s">
        <v>4588</v>
      </c>
      <c r="B409" s="6" t="s">
        <v>4589</v>
      </c>
    </row>
    <row r="410" ht="12.75" customHeight="1">
      <c r="A410" s="6" t="s">
        <v>4590</v>
      </c>
      <c r="B410" s="6" t="s">
        <v>4591</v>
      </c>
    </row>
    <row r="411" ht="12.75" customHeight="1">
      <c r="A411" s="6" t="s">
        <v>4592</v>
      </c>
      <c r="B411" s="6" t="s">
        <v>4593</v>
      </c>
    </row>
    <row r="412" ht="12.75" customHeight="1">
      <c r="A412" s="6" t="s">
        <v>4594</v>
      </c>
      <c r="B412" s="6" t="s">
        <v>2199</v>
      </c>
    </row>
    <row r="413" ht="12.75" customHeight="1">
      <c r="A413" s="6" t="s">
        <v>4595</v>
      </c>
      <c r="B413" s="6" t="s">
        <v>4596</v>
      </c>
    </row>
    <row r="414" ht="12.75" customHeight="1">
      <c r="A414" s="6" t="s">
        <v>4597</v>
      </c>
      <c r="B414" s="6" t="s">
        <v>4598</v>
      </c>
    </row>
    <row r="415" ht="12.75" customHeight="1">
      <c r="A415" s="6" t="s">
        <v>4599</v>
      </c>
      <c r="B415" s="6" t="s">
        <v>4600</v>
      </c>
    </row>
    <row r="416" ht="12.75" customHeight="1">
      <c r="A416" s="6" t="s">
        <v>4601</v>
      </c>
      <c r="B416" s="6" t="s">
        <v>1402</v>
      </c>
    </row>
    <row r="417" ht="12.75" customHeight="1">
      <c r="A417" s="6" t="s">
        <v>4602</v>
      </c>
      <c r="B417" s="6" t="s">
        <v>1397</v>
      </c>
    </row>
    <row r="418" ht="12.75" customHeight="1">
      <c r="A418" s="6" t="s">
        <v>4603</v>
      </c>
      <c r="B418" s="6" t="s">
        <v>3226</v>
      </c>
    </row>
    <row r="419" ht="12.75" customHeight="1">
      <c r="A419" s="6" t="s">
        <v>4604</v>
      </c>
      <c r="B419" s="6" t="s">
        <v>3213</v>
      </c>
    </row>
    <row r="420" ht="12.75" customHeight="1">
      <c r="A420" s="6" t="s">
        <v>4605</v>
      </c>
      <c r="B420" s="6" t="s">
        <v>147</v>
      </c>
    </row>
    <row r="421" ht="12.75" customHeight="1">
      <c r="A421" s="6" t="s">
        <v>4606</v>
      </c>
      <c r="B421" s="6" t="s">
        <v>2455</v>
      </c>
    </row>
    <row r="422" ht="12.75" customHeight="1">
      <c r="A422" s="6" t="s">
        <v>4607</v>
      </c>
      <c r="B422" s="6" t="s">
        <v>2077</v>
      </c>
    </row>
    <row r="423" ht="12.75" customHeight="1">
      <c r="A423" s="6" t="s">
        <v>4608</v>
      </c>
      <c r="B423" s="6" t="s">
        <v>1707</v>
      </c>
    </row>
    <row r="424" ht="12.75" customHeight="1">
      <c r="A424" s="6" t="s">
        <v>4609</v>
      </c>
      <c r="B424" s="6" t="s">
        <v>2079</v>
      </c>
    </row>
    <row r="425" ht="12.75" customHeight="1">
      <c r="A425" s="6" t="s">
        <v>4610</v>
      </c>
      <c r="B425" s="6" t="s">
        <v>1569</v>
      </c>
    </row>
    <row r="426" ht="12.75" customHeight="1">
      <c r="A426" s="6" t="s">
        <v>4611</v>
      </c>
      <c r="B426" s="6" t="s">
        <v>1117</v>
      </c>
    </row>
    <row r="427" ht="12.75" customHeight="1">
      <c r="A427" s="6" t="s">
        <v>4612</v>
      </c>
      <c r="B427" s="6" t="s">
        <v>255</v>
      </c>
    </row>
    <row r="428" ht="12.75" customHeight="1">
      <c r="A428" s="6" t="s">
        <v>4613</v>
      </c>
      <c r="B428" s="6" t="s">
        <v>252</v>
      </c>
    </row>
    <row r="429" ht="12.75" customHeight="1">
      <c r="A429" s="6" t="s">
        <v>4614</v>
      </c>
      <c r="B429" s="6" t="s">
        <v>4615</v>
      </c>
    </row>
    <row r="430" ht="12.75" customHeight="1">
      <c r="A430" s="6" t="s">
        <v>4616</v>
      </c>
      <c r="B430" s="6" t="s">
        <v>4617</v>
      </c>
    </row>
    <row r="431" ht="12.75" customHeight="1">
      <c r="A431" s="6" t="s">
        <v>4618</v>
      </c>
      <c r="B431" s="6" t="s">
        <v>4619</v>
      </c>
    </row>
    <row r="432" ht="12.75" customHeight="1">
      <c r="A432" s="6" t="s">
        <v>4620</v>
      </c>
      <c r="B432" s="6" t="s">
        <v>4621</v>
      </c>
    </row>
    <row r="433" ht="12.75" customHeight="1">
      <c r="A433" s="6" t="s">
        <v>4622</v>
      </c>
      <c r="B433" s="6" t="s">
        <v>4623</v>
      </c>
    </row>
    <row r="434" ht="12.75" customHeight="1">
      <c r="A434" s="6" t="s">
        <v>4624</v>
      </c>
      <c r="B434" s="6" t="s">
        <v>4625</v>
      </c>
    </row>
    <row r="435" ht="12.75" customHeight="1">
      <c r="A435" s="6" t="s">
        <v>4626</v>
      </c>
      <c r="B435" s="6" t="s">
        <v>4627</v>
      </c>
    </row>
    <row r="436" ht="12.75" customHeight="1">
      <c r="A436" s="6" t="s">
        <v>4628</v>
      </c>
      <c r="B436" s="6" t="s">
        <v>4629</v>
      </c>
    </row>
    <row r="437" ht="12.75" customHeight="1">
      <c r="A437" s="6" t="s">
        <v>4630</v>
      </c>
      <c r="B437" s="6" t="s">
        <v>4631</v>
      </c>
    </row>
    <row r="438" ht="12.75" customHeight="1">
      <c r="A438" s="6" t="s">
        <v>4632</v>
      </c>
      <c r="B438" s="6" t="s">
        <v>4633</v>
      </c>
    </row>
    <row r="439" ht="12.75" customHeight="1">
      <c r="A439" s="6" t="s">
        <v>4634</v>
      </c>
      <c r="B439" s="6" t="s">
        <v>4635</v>
      </c>
    </row>
    <row r="440" ht="12.75" customHeight="1">
      <c r="A440" s="6" t="s">
        <v>4636</v>
      </c>
      <c r="B440" s="6" t="s">
        <v>4637</v>
      </c>
    </row>
    <row r="441" ht="12.75" customHeight="1">
      <c r="A441" s="6" t="s">
        <v>4638</v>
      </c>
      <c r="B441" s="6" t="s">
        <v>4639</v>
      </c>
    </row>
    <row r="442" ht="12.75" customHeight="1">
      <c r="A442" s="6" t="s">
        <v>4640</v>
      </c>
      <c r="B442" s="6" t="s">
        <v>4641</v>
      </c>
    </row>
    <row r="443" ht="12.75" customHeight="1">
      <c r="A443" s="6" t="s">
        <v>4642</v>
      </c>
      <c r="B443" s="6" t="s">
        <v>4643</v>
      </c>
    </row>
    <row r="444" ht="12.75" customHeight="1">
      <c r="A444" s="6" t="s">
        <v>4644</v>
      </c>
      <c r="B444" s="6" t="s">
        <v>4645</v>
      </c>
    </row>
    <row r="445" ht="12.75" customHeight="1">
      <c r="A445" s="6" t="s">
        <v>4646</v>
      </c>
      <c r="B445" s="6" t="s">
        <v>4647</v>
      </c>
    </row>
    <row r="446" ht="12.75" customHeight="1">
      <c r="A446" s="6" t="s">
        <v>4648</v>
      </c>
      <c r="B446" s="6" t="s">
        <v>4649</v>
      </c>
    </row>
    <row r="447" ht="12.75" customHeight="1">
      <c r="A447" s="6" t="s">
        <v>4650</v>
      </c>
      <c r="B447" s="6" t="s">
        <v>4651</v>
      </c>
    </row>
    <row r="448" ht="12.75" customHeight="1">
      <c r="A448" s="6" t="s">
        <v>4652</v>
      </c>
      <c r="B448" s="6" t="s">
        <v>4653</v>
      </c>
    </row>
    <row r="449" ht="12.75" customHeight="1">
      <c r="A449" s="6" t="s">
        <v>4654</v>
      </c>
      <c r="B449" s="6" t="s">
        <v>4655</v>
      </c>
    </row>
    <row r="450" ht="12.75" customHeight="1">
      <c r="A450" s="6" t="s">
        <v>4656</v>
      </c>
      <c r="B450" s="6" t="s">
        <v>4657</v>
      </c>
    </row>
    <row r="451" ht="12.75" customHeight="1">
      <c r="A451" s="6" t="s">
        <v>4658</v>
      </c>
      <c r="B451" s="6" t="s">
        <v>2627</v>
      </c>
    </row>
    <row r="452" ht="12.75" customHeight="1">
      <c r="A452" s="6" t="s">
        <v>4659</v>
      </c>
      <c r="B452" s="6" t="s">
        <v>2115</v>
      </c>
    </row>
    <row r="453" ht="12.75" customHeight="1">
      <c r="A453" s="6" t="s">
        <v>4660</v>
      </c>
      <c r="B453" s="6" t="s">
        <v>299</v>
      </c>
    </row>
    <row r="454" ht="12.75" customHeight="1">
      <c r="A454" s="6" t="s">
        <v>4661</v>
      </c>
      <c r="B454" s="6" t="s">
        <v>2950</v>
      </c>
    </row>
    <row r="455" ht="12.75" customHeight="1">
      <c r="A455" s="6" t="s">
        <v>4662</v>
      </c>
      <c r="B455" s="6" t="s">
        <v>2521</v>
      </c>
    </row>
    <row r="456" ht="12.75" customHeight="1">
      <c r="A456" s="6" t="s">
        <v>4663</v>
      </c>
      <c r="B456" s="6" t="s">
        <v>4664</v>
      </c>
    </row>
    <row r="457" ht="12.75" customHeight="1">
      <c r="A457" s="6" t="s">
        <v>4665</v>
      </c>
      <c r="B457" s="6" t="s">
        <v>4666</v>
      </c>
    </row>
    <row r="458" ht="12.75" customHeight="1">
      <c r="A458" s="6" t="s">
        <v>4667</v>
      </c>
      <c r="B458" s="6" t="s">
        <v>4668</v>
      </c>
    </row>
    <row r="459" ht="12.75" customHeight="1">
      <c r="A459" s="6" t="s">
        <v>4669</v>
      </c>
      <c r="B459" s="6" t="s">
        <v>4670</v>
      </c>
    </row>
    <row r="460" ht="12.75" customHeight="1">
      <c r="A460" s="6" t="s">
        <v>4671</v>
      </c>
      <c r="B460" s="6" t="s">
        <v>1844</v>
      </c>
    </row>
    <row r="461" ht="12.75" customHeight="1">
      <c r="A461" s="6" t="s">
        <v>4672</v>
      </c>
      <c r="B461" s="6" t="s">
        <v>2231</v>
      </c>
    </row>
    <row r="462" ht="12.75" customHeight="1">
      <c r="A462" s="6" t="s">
        <v>4673</v>
      </c>
      <c r="B462" s="6" t="s">
        <v>4674</v>
      </c>
    </row>
    <row r="463" ht="12.75" customHeight="1">
      <c r="A463" s="6" t="s">
        <v>4675</v>
      </c>
      <c r="B463" s="6" t="s">
        <v>2821</v>
      </c>
    </row>
    <row r="464" ht="12.75" customHeight="1">
      <c r="A464" s="6" t="s">
        <v>4676</v>
      </c>
      <c r="B464" s="6" t="s">
        <v>4677</v>
      </c>
    </row>
    <row r="465" ht="12.75" customHeight="1">
      <c r="A465" s="6" t="s">
        <v>4678</v>
      </c>
      <c r="B465" s="6" t="s">
        <v>2894</v>
      </c>
    </row>
    <row r="466" ht="12.75" customHeight="1">
      <c r="A466" s="6" t="s">
        <v>4679</v>
      </c>
      <c r="B466" s="6" t="s">
        <v>903</v>
      </c>
    </row>
    <row r="467" ht="12.75" customHeight="1">
      <c r="A467" s="6" t="s">
        <v>4680</v>
      </c>
      <c r="B467" s="6" t="s">
        <v>2018</v>
      </c>
    </row>
    <row r="468" ht="12.75" customHeight="1">
      <c r="A468" s="6" t="s">
        <v>4681</v>
      </c>
      <c r="B468" s="6" t="s">
        <v>471</v>
      </c>
    </row>
    <row r="469" ht="12.75" customHeight="1">
      <c r="A469" s="6" t="s">
        <v>4682</v>
      </c>
      <c r="B469" s="6" t="s">
        <v>3667</v>
      </c>
    </row>
    <row r="470" ht="12.75" customHeight="1">
      <c r="A470" s="6" t="s">
        <v>4683</v>
      </c>
      <c r="B470" s="6" t="s">
        <v>4684</v>
      </c>
    </row>
    <row r="471" ht="12.75" customHeight="1">
      <c r="A471" s="6" t="s">
        <v>4685</v>
      </c>
      <c r="B471" s="6" t="s">
        <v>4686</v>
      </c>
    </row>
    <row r="472" ht="12.75" customHeight="1">
      <c r="A472" s="6" t="s">
        <v>4687</v>
      </c>
      <c r="B472" s="6" t="s">
        <v>4688</v>
      </c>
    </row>
    <row r="473" ht="12.75" customHeight="1">
      <c r="A473" s="6" t="s">
        <v>4689</v>
      </c>
      <c r="B473" s="6" t="s">
        <v>4690</v>
      </c>
    </row>
    <row r="474" ht="12.75" customHeight="1">
      <c r="A474" s="6" t="s">
        <v>4691</v>
      </c>
      <c r="B474" s="6" t="s">
        <v>3099</v>
      </c>
    </row>
    <row r="475" ht="12.75" customHeight="1">
      <c r="A475" s="6" t="s">
        <v>4692</v>
      </c>
      <c r="B475" s="6" t="s">
        <v>649</v>
      </c>
    </row>
    <row r="476" ht="12.75" customHeight="1">
      <c r="A476" s="6" t="s">
        <v>4693</v>
      </c>
      <c r="B476" s="6" t="s">
        <v>633</v>
      </c>
    </row>
    <row r="477" ht="12.75" customHeight="1">
      <c r="A477" s="6" t="s">
        <v>4694</v>
      </c>
      <c r="B477" s="6" t="s">
        <v>3676</v>
      </c>
    </row>
    <row r="478" ht="12.75" customHeight="1">
      <c r="A478" s="6" t="s">
        <v>4695</v>
      </c>
      <c r="B478" s="6" t="s">
        <v>1051</v>
      </c>
    </row>
    <row r="479" ht="12.75" customHeight="1">
      <c r="A479" s="6" t="s">
        <v>4696</v>
      </c>
    </row>
    <row r="480" ht="12.75" customHeight="1">
      <c r="A480" s="6" t="s">
        <v>4697</v>
      </c>
      <c r="B480" s="6" t="s">
        <v>4698</v>
      </c>
    </row>
    <row r="481" ht="12.75" customHeight="1">
      <c r="A481" s="6" t="s">
        <v>4699</v>
      </c>
      <c r="B481" s="6" t="s">
        <v>1184</v>
      </c>
    </row>
    <row r="482" ht="12.75" customHeight="1">
      <c r="A482" s="6" t="s">
        <v>4700</v>
      </c>
      <c r="B482" s="6" t="s">
        <v>970</v>
      </c>
    </row>
    <row r="483" ht="12.75" customHeight="1">
      <c r="A483" s="6" t="s">
        <v>4701</v>
      </c>
      <c r="B483" s="6" t="s">
        <v>4702</v>
      </c>
    </row>
    <row r="484" ht="12.75" customHeight="1">
      <c r="A484" s="6" t="s">
        <v>4703</v>
      </c>
      <c r="B484" s="6" t="s">
        <v>4704</v>
      </c>
    </row>
    <row r="485" ht="12.75" customHeight="1">
      <c r="A485" s="6" t="s">
        <v>4705</v>
      </c>
      <c r="B485" s="6" t="s">
        <v>4706</v>
      </c>
    </row>
    <row r="486" ht="12.75" customHeight="1">
      <c r="A486" s="6" t="s">
        <v>4707</v>
      </c>
      <c r="B486" s="6" t="s">
        <v>207</v>
      </c>
    </row>
    <row r="487" ht="12.75" customHeight="1">
      <c r="A487" s="6" t="s">
        <v>4708</v>
      </c>
      <c r="B487" s="6" t="s">
        <v>991</v>
      </c>
    </row>
    <row r="488" ht="12.75" customHeight="1">
      <c r="A488" s="6" t="s">
        <v>4709</v>
      </c>
      <c r="B488" s="6" t="s">
        <v>335</v>
      </c>
    </row>
    <row r="489" ht="12.75" customHeight="1">
      <c r="A489" s="6" t="s">
        <v>4710</v>
      </c>
      <c r="B489" s="6" t="s">
        <v>4711</v>
      </c>
    </row>
    <row r="490" ht="12.75" customHeight="1">
      <c r="A490" s="6" t="s">
        <v>4712</v>
      </c>
      <c r="B490" s="6" t="s">
        <v>4713</v>
      </c>
    </row>
    <row r="491" ht="12.75" customHeight="1">
      <c r="A491" s="6" t="s">
        <v>4714</v>
      </c>
      <c r="B491" s="6" t="s">
        <v>4715</v>
      </c>
    </row>
    <row r="492" ht="12.75" customHeight="1">
      <c r="A492" s="6" t="s">
        <v>4716</v>
      </c>
      <c r="B492" s="6" t="s">
        <v>4717</v>
      </c>
    </row>
    <row r="493" ht="12.75" customHeight="1">
      <c r="A493" s="6" t="s">
        <v>4718</v>
      </c>
      <c r="B493" s="6" t="s">
        <v>311</v>
      </c>
    </row>
    <row r="494" ht="12.75" customHeight="1">
      <c r="A494" s="6" t="s">
        <v>4719</v>
      </c>
      <c r="B494" s="6" t="s">
        <v>4720</v>
      </c>
    </row>
    <row r="495" ht="12.75" customHeight="1">
      <c r="A495" s="6" t="s">
        <v>4721</v>
      </c>
      <c r="B495" s="6" t="s">
        <v>994</v>
      </c>
    </row>
    <row r="496" ht="12.75" customHeight="1">
      <c r="A496" s="6" t="s">
        <v>4722</v>
      </c>
      <c r="B496" s="6" t="s">
        <v>652</v>
      </c>
    </row>
    <row r="497" ht="12.75" customHeight="1">
      <c r="A497" s="6" t="s">
        <v>4723</v>
      </c>
      <c r="B497" s="6" t="s">
        <v>4724</v>
      </c>
    </row>
    <row r="498" ht="12.75" customHeight="1">
      <c r="A498" s="6" t="s">
        <v>4725</v>
      </c>
      <c r="B498" s="6" t="s">
        <v>4726</v>
      </c>
    </row>
    <row r="499" ht="12.75" customHeight="1">
      <c r="A499" s="6" t="s">
        <v>4727</v>
      </c>
      <c r="B499" s="6" t="s">
        <v>1257</v>
      </c>
    </row>
    <row r="500" ht="12.75" customHeight="1">
      <c r="A500" s="6" t="s">
        <v>4728</v>
      </c>
      <c r="B500" s="6" t="s">
        <v>4729</v>
      </c>
    </row>
    <row r="501" ht="12.75" customHeight="1">
      <c r="A501" s="6" t="s">
        <v>4730</v>
      </c>
      <c r="B501" s="6" t="s">
        <v>4731</v>
      </c>
    </row>
    <row r="502" ht="12.75" customHeight="1">
      <c r="A502" s="6" t="s">
        <v>4732</v>
      </c>
      <c r="B502" s="6" t="s">
        <v>4733</v>
      </c>
    </row>
    <row r="503" ht="12.75" customHeight="1">
      <c r="A503" s="6" t="s">
        <v>4734</v>
      </c>
      <c r="B503" s="6" t="s">
        <v>4735</v>
      </c>
    </row>
    <row r="504" ht="12.75" customHeight="1">
      <c r="A504" s="6" t="s">
        <v>4736</v>
      </c>
      <c r="B504" s="6" t="s">
        <v>4737</v>
      </c>
    </row>
    <row r="505" ht="12.75" customHeight="1">
      <c r="A505" s="6" t="s">
        <v>4738</v>
      </c>
      <c r="B505" s="6" t="s">
        <v>3730</v>
      </c>
    </row>
    <row r="506" ht="12.75" customHeight="1">
      <c r="A506" s="6" t="s">
        <v>4739</v>
      </c>
      <c r="B506" s="6" t="s">
        <v>4740</v>
      </c>
    </row>
    <row r="507" ht="12.75" customHeight="1">
      <c r="A507" s="6" t="s">
        <v>4741</v>
      </c>
      <c r="B507" s="6" t="s">
        <v>4742</v>
      </c>
    </row>
    <row r="508" ht="12.75" customHeight="1">
      <c r="A508" s="6" t="s">
        <v>4743</v>
      </c>
      <c r="B508" s="6" t="s">
        <v>4744</v>
      </c>
    </row>
    <row r="509" ht="12.75" customHeight="1">
      <c r="A509" s="6" t="s">
        <v>4745</v>
      </c>
      <c r="B509" s="6" t="s">
        <v>4746</v>
      </c>
    </row>
    <row r="510" ht="12.75" customHeight="1">
      <c r="A510" s="6" t="s">
        <v>4747</v>
      </c>
      <c r="B510" s="6" t="s">
        <v>4748</v>
      </c>
    </row>
    <row r="511" ht="12.75" customHeight="1">
      <c r="A511" s="6" t="s">
        <v>4749</v>
      </c>
      <c r="B511" s="6" t="s">
        <v>4750</v>
      </c>
    </row>
    <row r="512" ht="12.75" customHeight="1">
      <c r="A512" s="6" t="s">
        <v>4751</v>
      </c>
      <c r="B512" s="6" t="s">
        <v>4752</v>
      </c>
    </row>
    <row r="513" ht="12.75" customHeight="1">
      <c r="A513" s="6" t="s">
        <v>4753</v>
      </c>
      <c r="B513" s="6" t="s">
        <v>4754</v>
      </c>
    </row>
    <row r="514" ht="12.75" customHeight="1">
      <c r="A514" s="6" t="s">
        <v>4755</v>
      </c>
      <c r="B514" s="6" t="s">
        <v>4756</v>
      </c>
    </row>
    <row r="515" ht="12.75" customHeight="1">
      <c r="A515" s="6" t="s">
        <v>4757</v>
      </c>
      <c r="B515" s="6" t="s">
        <v>4758</v>
      </c>
    </row>
    <row r="516" ht="12.75" customHeight="1">
      <c r="A516" s="6" t="s">
        <v>4759</v>
      </c>
      <c r="B516" s="6" t="s">
        <v>4760</v>
      </c>
    </row>
    <row r="517" ht="12.75" customHeight="1">
      <c r="A517" s="6" t="s">
        <v>4761</v>
      </c>
      <c r="B517" s="6" t="s">
        <v>4762</v>
      </c>
    </row>
    <row r="518" ht="12.75" customHeight="1">
      <c r="A518" s="6" t="s">
        <v>4763</v>
      </c>
      <c r="B518" s="6" t="s">
        <v>4764</v>
      </c>
    </row>
    <row r="519" ht="12.75" customHeight="1">
      <c r="A519" s="6" t="s">
        <v>4765</v>
      </c>
      <c r="B519" s="6" t="s">
        <v>4766</v>
      </c>
    </row>
    <row r="520" ht="12.75" customHeight="1">
      <c r="A520" s="6" t="s">
        <v>4767</v>
      </c>
      <c r="B520" s="6" t="s">
        <v>4768</v>
      </c>
    </row>
    <row r="521" ht="12.75" customHeight="1">
      <c r="A521" s="6" t="s">
        <v>4769</v>
      </c>
      <c r="B521" s="6" t="s">
        <v>4770</v>
      </c>
    </row>
    <row r="522" ht="12.75" customHeight="1">
      <c r="A522" s="6" t="s">
        <v>4771</v>
      </c>
      <c r="B522" s="6" t="s">
        <v>4772</v>
      </c>
    </row>
    <row r="523" ht="12.75" customHeight="1">
      <c r="A523" s="6" t="s">
        <v>4773</v>
      </c>
      <c r="B523" s="6" t="s">
        <v>4774</v>
      </c>
    </row>
    <row r="524" ht="12.75" customHeight="1">
      <c r="A524" s="6" t="s">
        <v>4775</v>
      </c>
      <c r="B524" s="6" t="s">
        <v>4776</v>
      </c>
    </row>
    <row r="525" ht="12.75" customHeight="1">
      <c r="A525" s="6" t="s">
        <v>4777</v>
      </c>
      <c r="B525" s="6" t="s">
        <v>4778</v>
      </c>
    </row>
    <row r="526" ht="12.75" customHeight="1">
      <c r="A526" s="6" t="s">
        <v>4779</v>
      </c>
      <c r="B526" s="6" t="s">
        <v>4780</v>
      </c>
    </row>
    <row r="527" ht="12.75" customHeight="1">
      <c r="A527" s="6" t="s">
        <v>4781</v>
      </c>
      <c r="B527" s="6" t="s">
        <v>4782</v>
      </c>
    </row>
    <row r="528" ht="12.75" customHeight="1">
      <c r="A528" s="6" t="s">
        <v>4783</v>
      </c>
      <c r="B528" s="6" t="s">
        <v>4784</v>
      </c>
    </row>
    <row r="529" ht="12.75" customHeight="1">
      <c r="A529" s="6" t="s">
        <v>4785</v>
      </c>
      <c r="B529" s="6" t="s">
        <v>4786</v>
      </c>
    </row>
    <row r="530" ht="12.75" customHeight="1">
      <c r="A530" s="6" t="s">
        <v>4787</v>
      </c>
      <c r="B530" s="6" t="s">
        <v>4788</v>
      </c>
    </row>
    <row r="531" ht="12.75" customHeight="1">
      <c r="A531" s="6" t="s">
        <v>4789</v>
      </c>
      <c r="B531" s="6" t="s">
        <v>4790</v>
      </c>
    </row>
    <row r="532" ht="12.75" customHeight="1">
      <c r="A532" s="6" t="s">
        <v>4791</v>
      </c>
      <c r="B532" s="6" t="s">
        <v>4792</v>
      </c>
    </row>
    <row r="533" ht="12.75" customHeight="1">
      <c r="A533" s="6" t="s">
        <v>4793</v>
      </c>
      <c r="B533" s="6" t="s">
        <v>4794</v>
      </c>
    </row>
    <row r="534" ht="12.75" customHeight="1">
      <c r="A534" s="6" t="s">
        <v>4795</v>
      </c>
      <c r="B534" s="6" t="s">
        <v>4796</v>
      </c>
    </row>
    <row r="535" ht="12.75" customHeight="1">
      <c r="A535" s="6" t="s">
        <v>4797</v>
      </c>
      <c r="B535" s="6" t="s">
        <v>4798</v>
      </c>
    </row>
    <row r="536" ht="12.75" customHeight="1">
      <c r="A536" s="6" t="s">
        <v>4799</v>
      </c>
      <c r="B536" s="6" t="s">
        <v>4800</v>
      </c>
    </row>
    <row r="537" ht="12.75" customHeight="1">
      <c r="A537" s="6" t="s">
        <v>4801</v>
      </c>
      <c r="B537" s="6" t="s">
        <v>4802</v>
      </c>
    </row>
    <row r="538" ht="12.75" customHeight="1">
      <c r="A538" s="6" t="s">
        <v>4803</v>
      </c>
      <c r="B538" s="6" t="s">
        <v>4804</v>
      </c>
    </row>
    <row r="539" ht="12.75" customHeight="1">
      <c r="A539" s="6" t="s">
        <v>4805</v>
      </c>
      <c r="B539" s="6" t="s">
        <v>4806</v>
      </c>
    </row>
    <row r="540" ht="12.75" customHeight="1">
      <c r="A540" s="6" t="s">
        <v>4807</v>
      </c>
      <c r="B540" s="6" t="s">
        <v>4808</v>
      </c>
    </row>
    <row r="541" ht="12.75" customHeight="1">
      <c r="A541" s="6" t="s">
        <v>4809</v>
      </c>
      <c r="B541" s="6" t="s">
        <v>4810</v>
      </c>
    </row>
    <row r="542" ht="12.75" customHeight="1">
      <c r="A542" s="6" t="s">
        <v>4811</v>
      </c>
      <c r="B542" s="6" t="s">
        <v>4812</v>
      </c>
    </row>
    <row r="543" ht="12.75" customHeight="1">
      <c r="A543" s="6" t="s">
        <v>4813</v>
      </c>
      <c r="B543" s="6" t="s">
        <v>4814</v>
      </c>
    </row>
    <row r="544" ht="12.75" customHeight="1">
      <c r="A544" s="6" t="s">
        <v>4815</v>
      </c>
      <c r="B544" s="6" t="s">
        <v>4816</v>
      </c>
    </row>
    <row r="545" ht="12.75" customHeight="1">
      <c r="A545" s="6" t="s">
        <v>4817</v>
      </c>
      <c r="B545" s="6" t="s">
        <v>729</v>
      </c>
    </row>
    <row r="546" ht="12.75" customHeight="1">
      <c r="A546" s="6" t="s">
        <v>4818</v>
      </c>
      <c r="B546" s="6" t="s">
        <v>3533</v>
      </c>
    </row>
    <row r="547" ht="12.75" customHeight="1">
      <c r="A547" s="6" t="s">
        <v>4819</v>
      </c>
      <c r="B547" s="6" t="s">
        <v>2493</v>
      </c>
    </row>
    <row r="548" ht="12.75" customHeight="1">
      <c r="A548" s="6" t="s">
        <v>4820</v>
      </c>
      <c r="B548" s="6" t="s">
        <v>4821</v>
      </c>
    </row>
    <row r="549" ht="12.75" customHeight="1">
      <c r="A549" s="6" t="s">
        <v>4822</v>
      </c>
      <c r="B549" s="6" t="s">
        <v>4823</v>
      </c>
    </row>
    <row r="550" ht="12.75" customHeight="1">
      <c r="A550" s="6" t="s">
        <v>4824</v>
      </c>
      <c r="B550" s="6" t="s">
        <v>4825</v>
      </c>
    </row>
    <row r="551" ht="12.75" customHeight="1">
      <c r="A551" s="6" t="s">
        <v>4826</v>
      </c>
      <c r="B551" s="6" t="s">
        <v>4827</v>
      </c>
    </row>
    <row r="552" ht="12.75" customHeight="1">
      <c r="A552" s="6" t="s">
        <v>4828</v>
      </c>
      <c r="B552" s="6" t="s">
        <v>4829</v>
      </c>
    </row>
    <row r="553" ht="12.75" customHeight="1">
      <c r="A553" s="6" t="s">
        <v>4830</v>
      </c>
      <c r="B553" s="6" t="s">
        <v>4831</v>
      </c>
    </row>
    <row r="554" ht="12.75" customHeight="1">
      <c r="A554" s="6" t="s">
        <v>4832</v>
      </c>
      <c r="B554" s="6" t="s">
        <v>4833</v>
      </c>
    </row>
    <row r="555" ht="12.75" customHeight="1">
      <c r="A555" s="6" t="s">
        <v>4834</v>
      </c>
      <c r="B555" s="6" t="s">
        <v>4835</v>
      </c>
    </row>
    <row r="556" ht="12.75" customHeight="1">
      <c r="A556" s="6" t="s">
        <v>4836</v>
      </c>
      <c r="B556" s="6" t="s">
        <v>4837</v>
      </c>
    </row>
    <row r="557" ht="12.75" customHeight="1">
      <c r="A557" s="6" t="s">
        <v>4838</v>
      </c>
      <c r="B557" s="6" t="s">
        <v>4839</v>
      </c>
    </row>
    <row r="558" ht="12.75" customHeight="1">
      <c r="A558" s="6" t="s">
        <v>4840</v>
      </c>
      <c r="B558" s="6" t="s">
        <v>2269</v>
      </c>
    </row>
    <row r="559" ht="12.75" customHeight="1">
      <c r="A559" s="6" t="s">
        <v>4841</v>
      </c>
      <c r="B559" s="6" t="s">
        <v>1836</v>
      </c>
    </row>
    <row r="560" ht="12.75" customHeight="1">
      <c r="A560" s="6" t="s">
        <v>4842</v>
      </c>
      <c r="B560" s="6" t="s">
        <v>4843</v>
      </c>
    </row>
    <row r="561" ht="12.75" customHeight="1">
      <c r="A561" s="6" t="s">
        <v>4844</v>
      </c>
      <c r="B561" s="6" t="s">
        <v>4845</v>
      </c>
    </row>
    <row r="562" ht="12.75" customHeight="1">
      <c r="A562" s="6" t="s">
        <v>4846</v>
      </c>
      <c r="B562" s="6" t="s">
        <v>1079</v>
      </c>
    </row>
    <row r="563" ht="12.75" customHeight="1">
      <c r="A563" s="6" t="s">
        <v>4847</v>
      </c>
      <c r="B563" s="6" t="s">
        <v>4848</v>
      </c>
    </row>
    <row r="564" ht="12.75" customHeight="1">
      <c r="A564" s="6" t="s">
        <v>4849</v>
      </c>
      <c r="B564" s="6" t="s">
        <v>2411</v>
      </c>
    </row>
    <row r="565" ht="12.75" customHeight="1">
      <c r="A565" s="6" t="s">
        <v>4850</v>
      </c>
      <c r="B565" s="6" t="s">
        <v>1019</v>
      </c>
    </row>
    <row r="566" ht="12.75" customHeight="1">
      <c r="A566" s="6" t="s">
        <v>4851</v>
      </c>
      <c r="B566" s="6" t="s">
        <v>701</v>
      </c>
    </row>
    <row r="567" ht="12.75" customHeight="1">
      <c r="A567" s="6" t="s">
        <v>4852</v>
      </c>
      <c r="B567" s="6" t="s">
        <v>4853</v>
      </c>
    </row>
    <row r="568" ht="12.75" customHeight="1">
      <c r="A568" s="6" t="s">
        <v>4854</v>
      </c>
      <c r="B568" s="6" t="s">
        <v>4855</v>
      </c>
    </row>
    <row r="569" ht="12.75" customHeight="1">
      <c r="A569" s="6" t="s">
        <v>4856</v>
      </c>
      <c r="B569" s="6" t="s">
        <v>4857</v>
      </c>
    </row>
    <row r="570" ht="12.75" customHeight="1">
      <c r="A570" s="6" t="s">
        <v>4858</v>
      </c>
      <c r="B570" s="6" t="s">
        <v>4859</v>
      </c>
    </row>
    <row r="571" ht="12.75" customHeight="1">
      <c r="A571" s="6" t="s">
        <v>4860</v>
      </c>
      <c r="B571" s="6" t="s">
        <v>3169</v>
      </c>
    </row>
    <row r="572" ht="12.75" customHeight="1">
      <c r="A572" s="6" t="s">
        <v>4861</v>
      </c>
      <c r="B572" s="6" t="s">
        <v>1908</v>
      </c>
    </row>
    <row r="573" ht="12.75" customHeight="1">
      <c r="A573" s="6" t="s">
        <v>4862</v>
      </c>
      <c r="B573" s="6" t="s">
        <v>4863</v>
      </c>
    </row>
    <row r="574" ht="12.75" customHeight="1">
      <c r="A574" s="6" t="s">
        <v>4864</v>
      </c>
      <c r="B574" s="6" t="s">
        <v>1263</v>
      </c>
    </row>
    <row r="575" ht="12.75" customHeight="1">
      <c r="A575" s="6" t="s">
        <v>4865</v>
      </c>
      <c r="B575" s="6" t="s">
        <v>4866</v>
      </c>
    </row>
    <row r="576" ht="12.75" customHeight="1">
      <c r="A576" s="6" t="s">
        <v>4867</v>
      </c>
      <c r="B576" s="6" t="s">
        <v>4868</v>
      </c>
    </row>
    <row r="577" ht="12.75" customHeight="1">
      <c r="A577" s="6" t="s">
        <v>4869</v>
      </c>
      <c r="B577" s="6" t="s">
        <v>1490</v>
      </c>
    </row>
    <row r="578" ht="12.75" customHeight="1">
      <c r="A578" s="6" t="s">
        <v>4870</v>
      </c>
      <c r="B578" s="6" t="s">
        <v>4871</v>
      </c>
    </row>
    <row r="579" ht="12.75" customHeight="1">
      <c r="A579" s="6" t="s">
        <v>4872</v>
      </c>
      <c r="B579" s="6" t="s">
        <v>4873</v>
      </c>
    </row>
    <row r="580" ht="12.75" customHeight="1">
      <c r="A580" s="6" t="s">
        <v>4874</v>
      </c>
      <c r="B580" s="6" t="s">
        <v>2436</v>
      </c>
    </row>
    <row r="581" ht="12.75" customHeight="1">
      <c r="A581" s="6" t="s">
        <v>4875</v>
      </c>
      <c r="B581" s="6" t="s">
        <v>4876</v>
      </c>
    </row>
    <row r="582" ht="12.75" customHeight="1">
      <c r="A582" s="6" t="s">
        <v>4877</v>
      </c>
      <c r="B582" s="6" t="s">
        <v>4878</v>
      </c>
    </row>
    <row r="583" ht="12.75" customHeight="1">
      <c r="A583" s="6" t="s">
        <v>4879</v>
      </c>
      <c r="B583" s="6" t="s">
        <v>1481</v>
      </c>
    </row>
    <row r="584" ht="12.75" customHeight="1">
      <c r="A584" s="6" t="s">
        <v>4880</v>
      </c>
      <c r="B584" s="6" t="s">
        <v>2263</v>
      </c>
    </row>
    <row r="585" ht="12.75" customHeight="1">
      <c r="A585" s="6" t="s">
        <v>4881</v>
      </c>
      <c r="B585" s="6" t="s">
        <v>55</v>
      </c>
    </row>
    <row r="586" ht="12.75" customHeight="1">
      <c r="A586" s="6" t="s">
        <v>4882</v>
      </c>
      <c r="B586" s="6" t="s">
        <v>4883</v>
      </c>
    </row>
    <row r="587" ht="12.75" customHeight="1">
      <c r="A587" s="6" t="s">
        <v>4884</v>
      </c>
      <c r="B587" s="6" t="s">
        <v>4885</v>
      </c>
    </row>
    <row r="588" ht="12.75" customHeight="1">
      <c r="A588" s="6" t="s">
        <v>4886</v>
      </c>
      <c r="B588" s="6" t="s">
        <v>4887</v>
      </c>
    </row>
    <row r="589" ht="12.75" customHeight="1">
      <c r="A589" s="6" t="s">
        <v>4888</v>
      </c>
      <c r="B589" s="6" t="s">
        <v>4889</v>
      </c>
    </row>
    <row r="590" ht="12.75" customHeight="1">
      <c r="A590" s="6" t="s">
        <v>4890</v>
      </c>
      <c r="B590" s="6" t="s">
        <v>4891</v>
      </c>
    </row>
    <row r="591" ht="12.75" customHeight="1">
      <c r="A591" s="6" t="s">
        <v>4892</v>
      </c>
      <c r="B591" s="6" t="s">
        <v>896</v>
      </c>
    </row>
    <row r="592" ht="12.75" customHeight="1">
      <c r="A592" s="6" t="s">
        <v>4893</v>
      </c>
      <c r="B592" s="6" t="s">
        <v>3181</v>
      </c>
    </row>
    <row r="593" ht="12.75" customHeight="1">
      <c r="A593" s="6" t="s">
        <v>4894</v>
      </c>
      <c r="B593" s="6" t="s">
        <v>4895</v>
      </c>
    </row>
    <row r="594" ht="12.75" customHeight="1">
      <c r="A594" s="6" t="s">
        <v>4896</v>
      </c>
      <c r="B594" s="6" t="s">
        <v>4897</v>
      </c>
    </row>
    <row r="595" ht="12.75" customHeight="1">
      <c r="A595" s="6" t="s">
        <v>4898</v>
      </c>
      <c r="B595" s="6" t="s">
        <v>4899</v>
      </c>
    </row>
    <row r="596" ht="12.75" customHeight="1">
      <c r="A596" s="6" t="s">
        <v>4900</v>
      </c>
      <c r="B596" s="6" t="s">
        <v>4901</v>
      </c>
    </row>
    <row r="597" ht="12.75" customHeight="1">
      <c r="A597" s="6" t="s">
        <v>4902</v>
      </c>
      <c r="B597" s="6" t="s">
        <v>4903</v>
      </c>
    </row>
    <row r="598" ht="12.75" customHeight="1">
      <c r="A598" s="6" t="s">
        <v>4904</v>
      </c>
      <c r="B598" s="6" t="s">
        <v>4905</v>
      </c>
    </row>
    <row r="599" ht="12.75" customHeight="1">
      <c r="A599" s="6" t="s">
        <v>4906</v>
      </c>
      <c r="B599" s="6" t="s">
        <v>4907</v>
      </c>
    </row>
    <row r="600" ht="12.75" customHeight="1">
      <c r="A600" s="6" t="s">
        <v>4908</v>
      </c>
      <c r="B600" s="6" t="s">
        <v>4909</v>
      </c>
    </row>
    <row r="601" ht="12.75" customHeight="1">
      <c r="A601" s="6" t="s">
        <v>4910</v>
      </c>
      <c r="B601" s="6" t="s">
        <v>4911</v>
      </c>
    </row>
    <row r="602" ht="12.75" customHeight="1">
      <c r="A602" s="6" t="s">
        <v>4912</v>
      </c>
      <c r="B602" s="6" t="s">
        <v>2652</v>
      </c>
    </row>
    <row r="603" ht="12.75" customHeight="1">
      <c r="A603" s="6" t="s">
        <v>4913</v>
      </c>
      <c r="B603" s="6" t="s">
        <v>4914</v>
      </c>
    </row>
    <row r="604" ht="12.75" customHeight="1">
      <c r="A604" s="6" t="s">
        <v>4915</v>
      </c>
      <c r="B604" s="6" t="s">
        <v>4916</v>
      </c>
    </row>
    <row r="605" ht="12.75" customHeight="1">
      <c r="A605" s="6" t="s">
        <v>4917</v>
      </c>
      <c r="B605" s="6" t="s">
        <v>4918</v>
      </c>
    </row>
    <row r="606" ht="12.75" customHeight="1">
      <c r="A606" s="6" t="s">
        <v>4919</v>
      </c>
      <c r="B606" s="6" t="s">
        <v>1829</v>
      </c>
    </row>
    <row r="607" ht="12.75" customHeight="1">
      <c r="A607" s="6" t="s">
        <v>4920</v>
      </c>
      <c r="B607" s="6" t="s">
        <v>3053</v>
      </c>
    </row>
    <row r="608" ht="12.75" customHeight="1">
      <c r="A608" s="6" t="s">
        <v>4921</v>
      </c>
      <c r="B608" s="6" t="s">
        <v>4922</v>
      </c>
    </row>
    <row r="609" ht="12.75" customHeight="1">
      <c r="A609" s="6" t="s">
        <v>4923</v>
      </c>
      <c r="B609" s="6" t="s">
        <v>4924</v>
      </c>
    </row>
    <row r="610" ht="12.75" customHeight="1">
      <c r="A610" s="6" t="s">
        <v>4925</v>
      </c>
      <c r="B610" s="6" t="s">
        <v>3217</v>
      </c>
    </row>
    <row r="611" ht="12.75" customHeight="1">
      <c r="A611" s="6" t="s">
        <v>4926</v>
      </c>
      <c r="B611" s="6" t="s">
        <v>848</v>
      </c>
    </row>
    <row r="612" ht="12.75" customHeight="1">
      <c r="A612" s="6" t="s">
        <v>4927</v>
      </c>
      <c r="B612" s="6" t="s">
        <v>307</v>
      </c>
    </row>
    <row r="613" ht="12.75" customHeight="1">
      <c r="A613" s="6" t="s">
        <v>4928</v>
      </c>
      <c r="B613" s="6" t="s">
        <v>4929</v>
      </c>
    </row>
    <row r="614" ht="12.75" customHeight="1">
      <c r="A614" s="6" t="s">
        <v>4930</v>
      </c>
      <c r="B614" s="6" t="s">
        <v>3726</v>
      </c>
    </row>
    <row r="615" ht="12.75" customHeight="1">
      <c r="A615" s="6" t="s">
        <v>4931</v>
      </c>
      <c r="B615" s="6" t="s">
        <v>997</v>
      </c>
    </row>
    <row r="616" ht="12.75" customHeight="1">
      <c r="A616" s="6" t="s">
        <v>4932</v>
      </c>
      <c r="B616" s="6" t="s">
        <v>1357</v>
      </c>
    </row>
    <row r="617" ht="12.75" customHeight="1">
      <c r="A617" s="6" t="s">
        <v>4933</v>
      </c>
      <c r="B617" s="6" t="s">
        <v>4934</v>
      </c>
    </row>
    <row r="618" ht="12.75" customHeight="1">
      <c r="A618" s="6" t="s">
        <v>4935</v>
      </c>
      <c r="B618" s="6" t="s">
        <v>4936</v>
      </c>
    </row>
    <row r="619" ht="12.75" customHeight="1">
      <c r="A619" s="6" t="s">
        <v>4937</v>
      </c>
      <c r="B619" s="6" t="s">
        <v>694</v>
      </c>
    </row>
    <row r="620" ht="12.75" customHeight="1">
      <c r="A620" s="6" t="s">
        <v>4938</v>
      </c>
      <c r="B620" s="6" t="s">
        <v>326</v>
      </c>
    </row>
    <row r="621" ht="12.75" customHeight="1">
      <c r="A621" s="6" t="s">
        <v>4939</v>
      </c>
      <c r="B621" s="6" t="s">
        <v>4918</v>
      </c>
    </row>
    <row r="622" ht="12.75" customHeight="1">
      <c r="A622" s="6" t="s">
        <v>4940</v>
      </c>
      <c r="B622" s="6" t="s">
        <v>4941</v>
      </c>
    </row>
    <row r="623" ht="12.75" customHeight="1">
      <c r="A623" s="6" t="s">
        <v>4942</v>
      </c>
      <c r="B623" s="6" t="s">
        <v>2516</v>
      </c>
    </row>
    <row r="624" ht="12.75" customHeight="1">
      <c r="A624" s="6" t="s">
        <v>4943</v>
      </c>
      <c r="B624" s="6" t="s">
        <v>4944</v>
      </c>
    </row>
    <row r="625" ht="12.75" customHeight="1">
      <c r="A625" s="6" t="s">
        <v>4945</v>
      </c>
      <c r="B625" s="6" t="s">
        <v>4946</v>
      </c>
    </row>
    <row r="626" ht="12.75" customHeight="1">
      <c r="A626" s="6" t="s">
        <v>4947</v>
      </c>
      <c r="B626" s="6" t="s">
        <v>4948</v>
      </c>
    </row>
    <row r="627" ht="12.75" customHeight="1">
      <c r="A627" s="6" t="s">
        <v>4949</v>
      </c>
      <c r="B627" s="6" t="s">
        <v>4950</v>
      </c>
    </row>
    <row r="628" ht="12.75" customHeight="1">
      <c r="A628" s="6" t="s">
        <v>4951</v>
      </c>
      <c r="B628" s="6" t="s">
        <v>4952</v>
      </c>
    </row>
    <row r="629" ht="12.75" customHeight="1">
      <c r="A629" s="6" t="s">
        <v>4953</v>
      </c>
      <c r="B629" s="6" t="s">
        <v>4954</v>
      </c>
    </row>
    <row r="630" ht="12.75" customHeight="1">
      <c r="A630" s="6" t="s">
        <v>4955</v>
      </c>
      <c r="B630" s="6" t="s">
        <v>4956</v>
      </c>
    </row>
    <row r="631" ht="12.75" customHeight="1">
      <c r="A631" s="6" t="s">
        <v>4957</v>
      </c>
      <c r="B631" s="6" t="s">
        <v>4958</v>
      </c>
    </row>
    <row r="632" ht="12.75" customHeight="1">
      <c r="A632" s="6" t="s">
        <v>4959</v>
      </c>
      <c r="B632" s="6" t="s">
        <v>4960</v>
      </c>
    </row>
    <row r="633" ht="12.75" customHeight="1">
      <c r="A633" s="6" t="s">
        <v>4961</v>
      </c>
      <c r="B633" s="6" t="s">
        <v>4962</v>
      </c>
    </row>
    <row r="634" ht="12.75" customHeight="1">
      <c r="A634" s="6" t="s">
        <v>4963</v>
      </c>
      <c r="B634" s="6" t="s">
        <v>4964</v>
      </c>
    </row>
    <row r="635" ht="12.75" customHeight="1">
      <c r="A635" s="6" t="s">
        <v>4965</v>
      </c>
      <c r="B635" s="6" t="s">
        <v>4966</v>
      </c>
    </row>
    <row r="636" ht="12.75" customHeight="1">
      <c r="A636" s="6" t="s">
        <v>4967</v>
      </c>
      <c r="B636" s="6" t="s">
        <v>4968</v>
      </c>
    </row>
    <row r="637" ht="12.75" customHeight="1">
      <c r="A637" s="6" t="s">
        <v>4969</v>
      </c>
      <c r="B637" s="6" t="s">
        <v>940</v>
      </c>
    </row>
    <row r="638" ht="12.75" customHeight="1">
      <c r="A638" s="6" t="s">
        <v>4970</v>
      </c>
      <c r="B638" s="6" t="s">
        <v>144</v>
      </c>
    </row>
    <row r="639" ht="12.75" customHeight="1">
      <c r="A639" s="6" t="s">
        <v>4971</v>
      </c>
      <c r="B639" s="6" t="s">
        <v>4972</v>
      </c>
    </row>
    <row r="640" ht="12.75" customHeight="1">
      <c r="A640" s="6" t="s">
        <v>4973</v>
      </c>
      <c r="B640" s="6" t="s">
        <v>4974</v>
      </c>
    </row>
    <row r="641" ht="12.75" customHeight="1">
      <c r="A641" s="6" t="s">
        <v>4975</v>
      </c>
      <c r="B641" s="6" t="s">
        <v>4976</v>
      </c>
    </row>
    <row r="642" ht="12.75" customHeight="1">
      <c r="A642" s="6" t="s">
        <v>4977</v>
      </c>
      <c r="B642" s="6" t="s">
        <v>4978</v>
      </c>
    </row>
    <row r="643" ht="12.75" customHeight="1">
      <c r="A643" s="6" t="s">
        <v>4979</v>
      </c>
      <c r="B643" s="6" t="s">
        <v>2422</v>
      </c>
    </row>
    <row r="644" ht="12.75" customHeight="1">
      <c r="A644" s="6" t="s">
        <v>4980</v>
      </c>
      <c r="B644" s="6" t="s">
        <v>4981</v>
      </c>
    </row>
    <row r="645" ht="12.75" customHeight="1">
      <c r="A645" s="6" t="s">
        <v>4982</v>
      </c>
      <c r="B645" s="6" t="s">
        <v>3035</v>
      </c>
    </row>
    <row r="646" ht="12.75" customHeight="1">
      <c r="A646" s="6" t="s">
        <v>4983</v>
      </c>
      <c r="B646" s="6" t="s">
        <v>4984</v>
      </c>
    </row>
    <row r="647" ht="12.75" customHeight="1">
      <c r="A647" s="6" t="s">
        <v>4985</v>
      </c>
      <c r="B647" s="6" t="s">
        <v>3250</v>
      </c>
    </row>
    <row r="648" ht="12.75" customHeight="1">
      <c r="A648" s="6" t="s">
        <v>4986</v>
      </c>
      <c r="B648" s="6" t="s">
        <v>1450</v>
      </c>
    </row>
    <row r="649" ht="12.75" customHeight="1">
      <c r="A649" s="6" t="s">
        <v>4987</v>
      </c>
      <c r="B649" s="6" t="s">
        <v>316</v>
      </c>
    </row>
    <row r="650" ht="12.75" customHeight="1">
      <c r="A650" s="6" t="s">
        <v>4988</v>
      </c>
      <c r="B650" s="6" t="s">
        <v>4989</v>
      </c>
    </row>
    <row r="651" ht="12.75" customHeight="1">
      <c r="A651" s="6" t="s">
        <v>4990</v>
      </c>
      <c r="B651" s="6" t="s">
        <v>4991</v>
      </c>
    </row>
    <row r="652" ht="12.75" customHeight="1">
      <c r="A652" s="6" t="s">
        <v>4992</v>
      </c>
      <c r="B652" s="6" t="s">
        <v>734</v>
      </c>
    </row>
    <row r="653" ht="12.75" customHeight="1">
      <c r="A653" s="6" t="s">
        <v>4993</v>
      </c>
      <c r="B653" s="6" t="s">
        <v>4994</v>
      </c>
    </row>
    <row r="654" ht="12.75" customHeight="1">
      <c r="A654" s="6" t="s">
        <v>4995</v>
      </c>
      <c r="B654" s="6" t="s">
        <v>4996</v>
      </c>
    </row>
    <row r="655" ht="12.75" customHeight="1">
      <c r="A655" s="6" t="s">
        <v>4997</v>
      </c>
      <c r="B655" s="6" t="s">
        <v>1608</v>
      </c>
    </row>
    <row r="656" ht="12.75" customHeight="1">
      <c r="A656" s="6" t="s">
        <v>4998</v>
      </c>
      <c r="B656" s="6" t="s">
        <v>1034</v>
      </c>
    </row>
    <row r="657" ht="12.75" customHeight="1">
      <c r="A657" s="6" t="s">
        <v>4999</v>
      </c>
      <c r="B657" s="6" t="s">
        <v>5000</v>
      </c>
    </row>
    <row r="658" ht="12.75" customHeight="1">
      <c r="A658" s="6" t="s">
        <v>5001</v>
      </c>
      <c r="B658" s="6" t="s">
        <v>5002</v>
      </c>
    </row>
    <row r="659" ht="12.75" customHeight="1">
      <c r="A659" s="6" t="s">
        <v>5003</v>
      </c>
      <c r="B659" s="6" t="s">
        <v>886</v>
      </c>
    </row>
    <row r="660" ht="12.75" customHeight="1">
      <c r="A660" s="6" t="s">
        <v>5004</v>
      </c>
      <c r="B660" s="6" t="s">
        <v>2985</v>
      </c>
    </row>
    <row r="661" ht="12.75" customHeight="1">
      <c r="A661" s="6" t="s">
        <v>5005</v>
      </c>
      <c r="B661" s="6" t="s">
        <v>166</v>
      </c>
    </row>
    <row r="662" ht="12.75" customHeight="1">
      <c r="A662" s="6" t="s">
        <v>5006</v>
      </c>
      <c r="B662" s="6" t="s">
        <v>163</v>
      </c>
    </row>
    <row r="663" ht="12.75" customHeight="1">
      <c r="A663" s="6" t="s">
        <v>5007</v>
      </c>
      <c r="B663" s="6" t="s">
        <v>77</v>
      </c>
    </row>
    <row r="664" ht="12.75" customHeight="1">
      <c r="A664" s="6" t="s">
        <v>5008</v>
      </c>
      <c r="B664" s="6" t="s">
        <v>377</v>
      </c>
    </row>
    <row r="665" ht="12.75" customHeight="1">
      <c r="A665" s="6" t="s">
        <v>5009</v>
      </c>
      <c r="B665" s="6" t="s">
        <v>5010</v>
      </c>
    </row>
    <row r="666" ht="12.75" customHeight="1">
      <c r="A666" s="6" t="s">
        <v>5011</v>
      </c>
      <c r="B666" s="6" t="s">
        <v>1610</v>
      </c>
    </row>
    <row r="667" ht="12.75" customHeight="1">
      <c r="A667" s="6" t="s">
        <v>5012</v>
      </c>
      <c r="B667" s="6" t="s">
        <v>102</v>
      </c>
    </row>
    <row r="668" ht="12.75" customHeight="1">
      <c r="A668" s="6" t="s">
        <v>5013</v>
      </c>
      <c r="B668" s="6" t="s">
        <v>1587</v>
      </c>
    </row>
    <row r="669" ht="12.75" customHeight="1">
      <c r="A669" s="6" t="s">
        <v>5014</v>
      </c>
      <c r="B669" s="6" t="s">
        <v>210</v>
      </c>
    </row>
    <row r="670" ht="12.75" customHeight="1">
      <c r="A670" s="6" t="s">
        <v>5015</v>
      </c>
      <c r="B670" s="6" t="s">
        <v>5016</v>
      </c>
    </row>
    <row r="671" ht="12.75" customHeight="1">
      <c r="A671" s="6" t="s">
        <v>5017</v>
      </c>
      <c r="B671" s="6" t="s">
        <v>5018</v>
      </c>
    </row>
    <row r="672" ht="12.75" customHeight="1">
      <c r="A672" s="6" t="s">
        <v>5019</v>
      </c>
      <c r="B672" s="6" t="s">
        <v>5020</v>
      </c>
    </row>
    <row r="673" ht="12.75" customHeight="1">
      <c r="A673" s="6" t="s">
        <v>5021</v>
      </c>
      <c r="B673" s="6" t="s">
        <v>5022</v>
      </c>
    </row>
    <row r="674" ht="12.75" customHeight="1">
      <c r="A674" s="6" t="s">
        <v>5023</v>
      </c>
      <c r="B674" s="6" t="s">
        <v>5024</v>
      </c>
    </row>
    <row r="675" ht="12.75" customHeight="1">
      <c r="A675" s="6" t="s">
        <v>5025</v>
      </c>
      <c r="B675" s="6" t="s">
        <v>5026</v>
      </c>
    </row>
    <row r="676" ht="12.75" customHeight="1">
      <c r="A676" s="6" t="s">
        <v>5027</v>
      </c>
      <c r="B676" s="6" t="s">
        <v>5028</v>
      </c>
    </row>
    <row r="677" ht="12.75" customHeight="1">
      <c r="A677" s="6" t="s">
        <v>5029</v>
      </c>
      <c r="B677" s="6" t="s">
        <v>5030</v>
      </c>
    </row>
    <row r="678" ht="12.75" customHeight="1">
      <c r="A678" s="6" t="s">
        <v>5031</v>
      </c>
      <c r="B678" s="6" t="s">
        <v>5032</v>
      </c>
    </row>
    <row r="679" ht="12.75" customHeight="1">
      <c r="A679" s="6" t="s">
        <v>5033</v>
      </c>
      <c r="B679" s="6" t="s">
        <v>5034</v>
      </c>
    </row>
    <row r="680" ht="12.75" customHeight="1">
      <c r="A680" s="6" t="s">
        <v>5035</v>
      </c>
      <c r="B680" s="6" t="s">
        <v>5036</v>
      </c>
    </row>
    <row r="681" ht="12.75" customHeight="1">
      <c r="A681" s="6" t="s">
        <v>5037</v>
      </c>
      <c r="B681" s="6" t="s">
        <v>5038</v>
      </c>
    </row>
    <row r="682" ht="12.75" customHeight="1">
      <c r="A682" s="6" t="s">
        <v>5039</v>
      </c>
      <c r="B682" s="6" t="s">
        <v>5040</v>
      </c>
    </row>
    <row r="683" ht="12.75" customHeight="1">
      <c r="A683" s="6" t="s">
        <v>5041</v>
      </c>
      <c r="B683" s="6" t="s">
        <v>5042</v>
      </c>
    </row>
    <row r="684" ht="12.75" customHeight="1">
      <c r="A684" s="6" t="s">
        <v>5043</v>
      </c>
      <c r="B684" s="6" t="s">
        <v>5044</v>
      </c>
    </row>
    <row r="685" ht="12.75" customHeight="1">
      <c r="A685" s="6" t="s">
        <v>5045</v>
      </c>
      <c r="B685" s="6" t="s">
        <v>5046</v>
      </c>
    </row>
    <row r="686" ht="12.75" customHeight="1">
      <c r="A686" s="6" t="s">
        <v>5047</v>
      </c>
      <c r="B686" s="6" t="s">
        <v>5048</v>
      </c>
    </row>
    <row r="687" ht="12.75" customHeight="1">
      <c r="A687" s="6" t="s">
        <v>5049</v>
      </c>
      <c r="B687" s="6" t="s">
        <v>5050</v>
      </c>
    </row>
    <row r="688" ht="12.75" customHeight="1">
      <c r="A688" s="6" t="s">
        <v>5051</v>
      </c>
      <c r="B688" s="6" t="s">
        <v>5052</v>
      </c>
    </row>
    <row r="689" ht="12.75" customHeight="1">
      <c r="A689" s="6" t="s">
        <v>5053</v>
      </c>
      <c r="B689" s="6" t="s">
        <v>5054</v>
      </c>
    </row>
    <row r="690" ht="12.75" customHeight="1">
      <c r="A690" s="6" t="s">
        <v>5055</v>
      </c>
      <c r="B690" s="6" t="s">
        <v>5056</v>
      </c>
    </row>
    <row r="691" ht="12.75" customHeight="1">
      <c r="A691" s="6" t="s">
        <v>5057</v>
      </c>
      <c r="B691" s="6" t="s">
        <v>5058</v>
      </c>
    </row>
    <row r="692" ht="12.75" customHeight="1">
      <c r="A692" s="6" t="s">
        <v>5059</v>
      </c>
      <c r="B692" s="6" t="s">
        <v>5060</v>
      </c>
    </row>
    <row r="693" ht="12.75" customHeight="1">
      <c r="A693" s="6" t="s">
        <v>5061</v>
      </c>
      <c r="B693" s="6" t="s">
        <v>5062</v>
      </c>
    </row>
    <row r="694" ht="12.75" customHeight="1">
      <c r="A694" s="6" t="s">
        <v>5063</v>
      </c>
      <c r="B694" s="6" t="s">
        <v>5064</v>
      </c>
    </row>
    <row r="695" ht="12.75" customHeight="1">
      <c r="A695" s="6" t="s">
        <v>5065</v>
      </c>
      <c r="B695" s="6" t="s">
        <v>5066</v>
      </c>
    </row>
    <row r="696" ht="12.75" customHeight="1">
      <c r="A696" s="6" t="s">
        <v>5067</v>
      </c>
      <c r="B696" s="6" t="s">
        <v>5068</v>
      </c>
    </row>
    <row r="697" ht="12.75" customHeight="1">
      <c r="A697" s="6" t="s">
        <v>5069</v>
      </c>
      <c r="B697" s="6" t="s">
        <v>5070</v>
      </c>
    </row>
    <row r="698" ht="12.75" customHeight="1">
      <c r="A698" s="6" t="s">
        <v>5071</v>
      </c>
      <c r="B698" s="6" t="s">
        <v>5072</v>
      </c>
    </row>
    <row r="699" ht="12.75" customHeight="1">
      <c r="A699" s="6" t="s">
        <v>5073</v>
      </c>
      <c r="B699" s="6" t="s">
        <v>5074</v>
      </c>
    </row>
    <row r="700" ht="12.75" customHeight="1">
      <c r="A700" s="6" t="s">
        <v>5075</v>
      </c>
      <c r="B700" s="6" t="s">
        <v>5076</v>
      </c>
    </row>
    <row r="701" ht="12.75" customHeight="1">
      <c r="A701" s="6" t="s">
        <v>5077</v>
      </c>
      <c r="B701" s="6" t="s">
        <v>5078</v>
      </c>
    </row>
    <row r="702" ht="12.75" customHeight="1">
      <c r="A702" s="6" t="s">
        <v>5079</v>
      </c>
      <c r="B702" s="6" t="s">
        <v>5080</v>
      </c>
    </row>
    <row r="703" ht="12.75" customHeight="1">
      <c r="A703" s="6" t="s">
        <v>5081</v>
      </c>
      <c r="B703" s="6" t="s">
        <v>5082</v>
      </c>
    </row>
    <row r="704" ht="12.75" customHeight="1">
      <c r="A704" s="6" t="s">
        <v>5083</v>
      </c>
      <c r="B704" s="6" t="s">
        <v>5084</v>
      </c>
    </row>
    <row r="705" ht="12.75" customHeight="1">
      <c r="A705" s="6" t="s">
        <v>5085</v>
      </c>
      <c r="B705" s="6" t="s">
        <v>5086</v>
      </c>
    </row>
    <row r="706" ht="12.75" customHeight="1">
      <c r="A706" s="6" t="s">
        <v>5087</v>
      </c>
      <c r="B706" s="6" t="s">
        <v>5088</v>
      </c>
    </row>
    <row r="707" ht="12.75" customHeight="1">
      <c r="A707" s="6" t="s">
        <v>5089</v>
      </c>
      <c r="B707" s="6" t="s">
        <v>5090</v>
      </c>
    </row>
    <row r="708" ht="12.75" customHeight="1">
      <c r="A708" s="6" t="s">
        <v>5091</v>
      </c>
      <c r="B708" s="6" t="s">
        <v>5092</v>
      </c>
    </row>
    <row r="709" ht="12.75" customHeight="1">
      <c r="A709" s="6" t="s">
        <v>5093</v>
      </c>
      <c r="B709" s="6" t="s">
        <v>5094</v>
      </c>
    </row>
    <row r="710" ht="12.75" customHeight="1">
      <c r="A710" s="6" t="s">
        <v>5095</v>
      </c>
      <c r="B710" s="6" t="s">
        <v>5096</v>
      </c>
    </row>
    <row r="711" ht="12.75" customHeight="1">
      <c r="A711" s="6" t="s">
        <v>5097</v>
      </c>
      <c r="B711" s="6" t="s">
        <v>5098</v>
      </c>
    </row>
    <row r="712" ht="12.75" customHeight="1">
      <c r="A712" s="6" t="s">
        <v>5099</v>
      </c>
    </row>
    <row r="713" ht="12.75" customHeight="1">
      <c r="A713" s="6" t="s">
        <v>5100</v>
      </c>
      <c r="B713" s="6" t="s">
        <v>5101</v>
      </c>
    </row>
    <row r="714" ht="12.75" customHeight="1">
      <c r="A714" s="6" t="s">
        <v>5102</v>
      </c>
      <c r="B714" s="6" t="s">
        <v>5103</v>
      </c>
    </row>
    <row r="715" ht="12.75" customHeight="1">
      <c r="A715" s="6" t="s">
        <v>5104</v>
      </c>
      <c r="B715" s="6" t="s">
        <v>1700</v>
      </c>
    </row>
    <row r="716" ht="12.75" customHeight="1">
      <c r="A716" s="6" t="s">
        <v>5105</v>
      </c>
      <c r="B716" s="6" t="s">
        <v>5106</v>
      </c>
    </row>
    <row r="717" ht="12.75" customHeight="1">
      <c r="A717" s="6" t="s">
        <v>5107</v>
      </c>
      <c r="B717" s="6" t="s">
        <v>912</v>
      </c>
    </row>
    <row r="718" ht="12.75" customHeight="1">
      <c r="A718" s="6" t="s">
        <v>5108</v>
      </c>
    </row>
    <row r="719" ht="12.75" customHeight="1">
      <c r="A719" s="6" t="s">
        <v>5109</v>
      </c>
      <c r="B719" s="6" t="s">
        <v>5110</v>
      </c>
    </row>
    <row r="720" ht="12.75" customHeight="1">
      <c r="A720" s="6" t="s">
        <v>5111</v>
      </c>
      <c r="B720" s="6" t="s">
        <v>5112</v>
      </c>
    </row>
    <row r="721" ht="12.75" customHeight="1">
      <c r="A721" s="6" t="s">
        <v>5113</v>
      </c>
      <c r="B721" s="6" t="s">
        <v>5114</v>
      </c>
    </row>
    <row r="722" ht="12.75" customHeight="1">
      <c r="A722" s="6" t="s">
        <v>5115</v>
      </c>
      <c r="B722" s="6" t="s">
        <v>5116</v>
      </c>
    </row>
    <row r="723" ht="12.75" customHeight="1">
      <c r="A723" s="6" t="s">
        <v>5117</v>
      </c>
      <c r="B723" s="6" t="s">
        <v>5118</v>
      </c>
    </row>
    <row r="724" ht="12.75" customHeight="1">
      <c r="A724" s="6" t="s">
        <v>5119</v>
      </c>
      <c r="B724" s="6" t="s">
        <v>5120</v>
      </c>
    </row>
    <row r="725" ht="12.75" customHeight="1">
      <c r="A725" s="6" t="s">
        <v>5121</v>
      </c>
      <c r="B725" s="6" t="s">
        <v>5122</v>
      </c>
    </row>
    <row r="726" ht="12.75" customHeight="1">
      <c r="A726" s="6" t="s">
        <v>5123</v>
      </c>
      <c r="B726" s="6" t="s">
        <v>5124</v>
      </c>
    </row>
    <row r="727" ht="12.75" customHeight="1">
      <c r="A727" s="6" t="s">
        <v>5125</v>
      </c>
      <c r="B727" s="6" t="s">
        <v>5126</v>
      </c>
    </row>
    <row r="728" ht="12.75" customHeight="1">
      <c r="A728" s="6" t="s">
        <v>5127</v>
      </c>
      <c r="B728" s="6" t="s">
        <v>5128</v>
      </c>
    </row>
    <row r="729" ht="12.75" customHeight="1">
      <c r="A729" s="6" t="s">
        <v>5129</v>
      </c>
      <c r="B729" s="6" t="s">
        <v>5130</v>
      </c>
    </row>
    <row r="730" ht="12.75" customHeight="1">
      <c r="A730" s="6" t="s">
        <v>5131</v>
      </c>
      <c r="B730" s="6" t="s">
        <v>5132</v>
      </c>
    </row>
    <row r="731" ht="12.75" customHeight="1">
      <c r="A731" s="6" t="s">
        <v>5133</v>
      </c>
      <c r="B731" s="6" t="s">
        <v>5134</v>
      </c>
    </row>
    <row r="732" ht="12.75" customHeight="1">
      <c r="A732" s="6" t="s">
        <v>5135</v>
      </c>
      <c r="B732" s="6" t="s">
        <v>5136</v>
      </c>
    </row>
    <row r="733" ht="12.75" customHeight="1">
      <c r="A733" s="6" t="s">
        <v>5137</v>
      </c>
      <c r="B733" s="6" t="s">
        <v>5138</v>
      </c>
    </row>
    <row r="734" ht="12.75" customHeight="1">
      <c r="A734" s="6" t="s">
        <v>5139</v>
      </c>
      <c r="B734" s="6" t="s">
        <v>5140</v>
      </c>
    </row>
    <row r="735" ht="12.75" customHeight="1">
      <c r="A735" s="6" t="s">
        <v>5141</v>
      </c>
      <c r="B735" s="6" t="s">
        <v>5142</v>
      </c>
    </row>
    <row r="736" ht="12.75" customHeight="1">
      <c r="A736" s="6" t="s">
        <v>5143</v>
      </c>
      <c r="B736" s="6" t="s">
        <v>5144</v>
      </c>
    </row>
    <row r="737" ht="12.75" customHeight="1">
      <c r="A737" s="6" t="s">
        <v>5145</v>
      </c>
      <c r="B737" s="6" t="s">
        <v>5146</v>
      </c>
    </row>
    <row r="738" ht="12.75" customHeight="1">
      <c r="A738" s="6" t="s">
        <v>5147</v>
      </c>
      <c r="B738" s="6" t="s">
        <v>5148</v>
      </c>
    </row>
    <row r="739" ht="12.75" customHeight="1">
      <c r="A739" s="6" t="s">
        <v>5149</v>
      </c>
      <c r="B739" s="6" t="s">
        <v>5150</v>
      </c>
    </row>
    <row r="740" ht="12.75" customHeight="1">
      <c r="A740" s="6" t="s">
        <v>5151</v>
      </c>
      <c r="B740" s="6" t="s">
        <v>5152</v>
      </c>
    </row>
    <row r="741" ht="12.75" customHeight="1">
      <c r="A741" s="6" t="s">
        <v>5153</v>
      </c>
      <c r="B741" s="6" t="s">
        <v>5154</v>
      </c>
    </row>
    <row r="742" ht="12.75" customHeight="1">
      <c r="A742" s="6" t="s">
        <v>5155</v>
      </c>
      <c r="B742" s="6" t="s">
        <v>5156</v>
      </c>
    </row>
    <row r="743" ht="12.75" customHeight="1">
      <c r="A743" s="6" t="s">
        <v>5157</v>
      </c>
    </row>
    <row r="744" ht="12.75" customHeight="1">
      <c r="A744" s="6" t="s">
        <v>5158</v>
      </c>
      <c r="B744" s="6" t="s">
        <v>5159</v>
      </c>
    </row>
    <row r="745" ht="12.75" customHeight="1">
      <c r="A745" s="6" t="s">
        <v>5160</v>
      </c>
      <c r="B745" s="6" t="s">
        <v>5161</v>
      </c>
    </row>
    <row r="746" ht="12.75" customHeight="1">
      <c r="A746" s="6" t="s">
        <v>5162</v>
      </c>
      <c r="B746" s="6" t="s">
        <v>5163</v>
      </c>
    </row>
    <row r="747" ht="12.75" customHeight="1">
      <c r="A747" s="6" t="s">
        <v>5164</v>
      </c>
      <c r="B747" s="6" t="s">
        <v>5165</v>
      </c>
    </row>
    <row r="748" ht="12.75" customHeight="1">
      <c r="A748" s="6" t="s">
        <v>5166</v>
      </c>
      <c r="B748" s="6" t="s">
        <v>5167</v>
      </c>
    </row>
    <row r="749" ht="12.75" customHeight="1">
      <c r="A749" s="6" t="s">
        <v>5168</v>
      </c>
      <c r="B749" s="6" t="s">
        <v>5169</v>
      </c>
    </row>
    <row r="750" ht="12.75" customHeight="1">
      <c r="A750" s="6" t="s">
        <v>5170</v>
      </c>
      <c r="B750" s="6" t="s">
        <v>5171</v>
      </c>
    </row>
    <row r="751" ht="12.75" customHeight="1">
      <c r="A751" s="6" t="s">
        <v>5172</v>
      </c>
      <c r="B751" s="6" t="s">
        <v>5173</v>
      </c>
    </row>
    <row r="752" ht="12.75" customHeight="1">
      <c r="A752" s="6" t="s">
        <v>5174</v>
      </c>
      <c r="B752" s="6" t="s">
        <v>5175</v>
      </c>
    </row>
    <row r="753" ht="12.75" customHeight="1">
      <c r="A753" s="6" t="s">
        <v>5176</v>
      </c>
      <c r="B753" s="6" t="s">
        <v>5177</v>
      </c>
    </row>
    <row r="754" ht="12.75" customHeight="1">
      <c r="A754" s="6" t="s">
        <v>5178</v>
      </c>
      <c r="B754" s="6" t="s">
        <v>5179</v>
      </c>
    </row>
    <row r="755" ht="12.75" customHeight="1">
      <c r="A755" s="6" t="s">
        <v>5180</v>
      </c>
      <c r="B755" s="6" t="s">
        <v>5181</v>
      </c>
    </row>
    <row r="756" ht="12.75" customHeight="1">
      <c r="A756" s="6" t="s">
        <v>5182</v>
      </c>
      <c r="B756" s="6" t="s">
        <v>5183</v>
      </c>
    </row>
    <row r="757" ht="12.75" customHeight="1">
      <c r="A757" s="6" t="s">
        <v>5184</v>
      </c>
      <c r="B757" s="6" t="s">
        <v>5185</v>
      </c>
    </row>
    <row r="758" ht="12.75" customHeight="1">
      <c r="A758" s="6" t="s">
        <v>5186</v>
      </c>
      <c r="B758" s="6" t="s">
        <v>5187</v>
      </c>
    </row>
    <row r="759" ht="12.75" customHeight="1">
      <c r="A759" s="6" t="s">
        <v>5188</v>
      </c>
      <c r="B759" s="6" t="s">
        <v>5189</v>
      </c>
    </row>
    <row r="760" ht="12.75" customHeight="1">
      <c r="A760" s="6" t="s">
        <v>5190</v>
      </c>
    </row>
    <row r="761" ht="12.75" customHeight="1">
      <c r="A761" s="6" t="s">
        <v>5191</v>
      </c>
      <c r="B761" s="6" t="s">
        <v>5192</v>
      </c>
    </row>
    <row r="762" ht="12.75" customHeight="1">
      <c r="A762" s="6" t="s">
        <v>5193</v>
      </c>
      <c r="B762" s="6" t="s">
        <v>5194</v>
      </c>
    </row>
    <row r="763" ht="12.75" customHeight="1">
      <c r="A763" s="6" t="s">
        <v>5195</v>
      </c>
      <c r="B763" s="6" t="s">
        <v>5196</v>
      </c>
    </row>
    <row r="764" ht="12.75" customHeight="1">
      <c r="A764" s="6" t="s">
        <v>5197</v>
      </c>
      <c r="B764" s="6" t="s">
        <v>5198</v>
      </c>
    </row>
    <row r="765" ht="12.75" customHeight="1">
      <c r="A765" s="6" t="s">
        <v>5199</v>
      </c>
      <c r="B765" s="6" t="s">
        <v>5200</v>
      </c>
    </row>
    <row r="766" ht="12.75" customHeight="1">
      <c r="A766" s="6" t="s">
        <v>5201</v>
      </c>
      <c r="B766" s="6" t="s">
        <v>5202</v>
      </c>
    </row>
    <row r="767" ht="12.75" customHeight="1">
      <c r="A767" s="6" t="s">
        <v>5203</v>
      </c>
      <c r="B767" s="6" t="s">
        <v>2886</v>
      </c>
    </row>
    <row r="768" ht="12.75" customHeight="1">
      <c r="A768" s="6" t="s">
        <v>5204</v>
      </c>
      <c r="B768" s="6" t="s">
        <v>5205</v>
      </c>
    </row>
    <row r="769" ht="12.75" customHeight="1">
      <c r="A769" s="6" t="s">
        <v>5206</v>
      </c>
      <c r="B769" s="6" t="s">
        <v>5207</v>
      </c>
    </row>
    <row r="770" ht="12.75" customHeight="1">
      <c r="A770" s="6" t="s">
        <v>5208</v>
      </c>
      <c r="B770" s="6" t="s">
        <v>5209</v>
      </c>
    </row>
    <row r="771" ht="12.75" customHeight="1">
      <c r="A771" s="6" t="s">
        <v>5210</v>
      </c>
      <c r="B771" s="6" t="s">
        <v>5211</v>
      </c>
    </row>
    <row r="772" ht="12.75" customHeight="1">
      <c r="A772" s="6" t="s">
        <v>5212</v>
      </c>
      <c r="B772" s="6" t="s">
        <v>5213</v>
      </c>
    </row>
    <row r="773" ht="12.75" customHeight="1">
      <c r="A773" s="6" t="s">
        <v>5214</v>
      </c>
      <c r="B773" s="6" t="s">
        <v>5215</v>
      </c>
    </row>
    <row r="774" ht="12.75" customHeight="1">
      <c r="A774" s="6" t="s">
        <v>5216</v>
      </c>
      <c r="B774" s="6" t="s">
        <v>1868</v>
      </c>
    </row>
    <row r="775" ht="12.75" customHeight="1">
      <c r="A775" s="6" t="s">
        <v>5217</v>
      </c>
      <c r="B775" s="6" t="s">
        <v>1420</v>
      </c>
    </row>
    <row r="776" ht="12.75" customHeight="1">
      <c r="A776" s="6" t="s">
        <v>5218</v>
      </c>
      <c r="B776" s="6" t="s">
        <v>5219</v>
      </c>
    </row>
    <row r="777" ht="12.75" customHeight="1">
      <c r="A777" s="6" t="s">
        <v>5220</v>
      </c>
      <c r="B777" s="6" t="s">
        <v>3527</v>
      </c>
    </row>
    <row r="778" ht="12.75" customHeight="1">
      <c r="A778" s="6" t="s">
        <v>5221</v>
      </c>
      <c r="B778" s="6" t="s">
        <v>5222</v>
      </c>
    </row>
    <row r="779" ht="12.75" customHeight="1">
      <c r="A779" s="6" t="s">
        <v>5223</v>
      </c>
      <c r="B779" s="6" t="s">
        <v>5224</v>
      </c>
    </row>
    <row r="780" ht="12.75" customHeight="1">
      <c r="A780" s="6" t="s">
        <v>5225</v>
      </c>
      <c r="B780" s="6" t="s">
        <v>1727</v>
      </c>
    </row>
    <row r="781" ht="12.75" customHeight="1">
      <c r="A781" s="6" t="s">
        <v>5226</v>
      </c>
      <c r="B781" s="6" t="s">
        <v>5227</v>
      </c>
    </row>
    <row r="782" ht="12.75" customHeight="1">
      <c r="A782" s="6" t="s">
        <v>5228</v>
      </c>
      <c r="B782" s="6" t="s">
        <v>1795</v>
      </c>
    </row>
    <row r="783" ht="12.75" customHeight="1">
      <c r="A783" s="6" t="s">
        <v>5229</v>
      </c>
      <c r="B783" s="6" t="s">
        <v>5230</v>
      </c>
    </row>
    <row r="784" ht="12.75" customHeight="1">
      <c r="A784" s="6" t="s">
        <v>5231</v>
      </c>
    </row>
    <row r="785" ht="12.75" customHeight="1">
      <c r="A785" s="6" t="s">
        <v>5232</v>
      </c>
      <c r="B785" s="6" t="s">
        <v>5233</v>
      </c>
    </row>
    <row r="786" ht="12.75" customHeight="1">
      <c r="A786" s="6" t="s">
        <v>5234</v>
      </c>
      <c r="B786" s="6" t="s">
        <v>5235</v>
      </c>
    </row>
    <row r="787" ht="12.75" customHeight="1">
      <c r="A787" s="6" t="s">
        <v>5236</v>
      </c>
      <c r="B787" s="6" t="s">
        <v>5237</v>
      </c>
    </row>
    <row r="788" ht="12.75" customHeight="1">
      <c r="A788" s="6" t="s">
        <v>5238</v>
      </c>
      <c r="B788" s="6" t="s">
        <v>966</v>
      </c>
    </row>
    <row r="789" ht="12.75" customHeight="1">
      <c r="A789" s="6" t="s">
        <v>5239</v>
      </c>
      <c r="B789" s="6" t="s">
        <v>5240</v>
      </c>
    </row>
    <row r="790" ht="12.75" customHeight="1">
      <c r="A790" s="6" t="s">
        <v>5241</v>
      </c>
      <c r="B790" s="6" t="s">
        <v>5242</v>
      </c>
    </row>
    <row r="791" ht="12.75" customHeight="1">
      <c r="A791" s="6" t="s">
        <v>5243</v>
      </c>
      <c r="B791" s="6" t="s">
        <v>5244</v>
      </c>
    </row>
    <row r="792" ht="12.75" customHeight="1">
      <c r="A792" s="6" t="s">
        <v>5245</v>
      </c>
      <c r="B792" s="6" t="s">
        <v>5246</v>
      </c>
    </row>
    <row r="793" ht="12.75" customHeight="1">
      <c r="A793" s="6" t="s">
        <v>5247</v>
      </c>
      <c r="B793" s="6" t="s">
        <v>1415</v>
      </c>
    </row>
    <row r="794" ht="12.75" customHeight="1">
      <c r="A794" s="6" t="s">
        <v>5248</v>
      </c>
      <c r="B794" s="6" t="s">
        <v>5249</v>
      </c>
    </row>
    <row r="795" ht="12.75" customHeight="1">
      <c r="A795" s="6" t="s">
        <v>5250</v>
      </c>
      <c r="B795" s="6" t="s">
        <v>5251</v>
      </c>
    </row>
    <row r="796" ht="12.75" customHeight="1">
      <c r="A796" s="6" t="s">
        <v>5252</v>
      </c>
      <c r="B796" s="6" t="s">
        <v>5253</v>
      </c>
    </row>
    <row r="797" ht="12.75" customHeight="1">
      <c r="A797" s="6" t="s">
        <v>5254</v>
      </c>
      <c r="B797" s="6" t="s">
        <v>5255</v>
      </c>
    </row>
    <row r="798" ht="12.75" customHeight="1">
      <c r="A798" s="6" t="s">
        <v>5256</v>
      </c>
      <c r="B798" s="6" t="s">
        <v>5257</v>
      </c>
    </row>
    <row r="799" ht="12.75" customHeight="1">
      <c r="A799" s="6" t="s">
        <v>5258</v>
      </c>
      <c r="B799" s="6" t="s">
        <v>5259</v>
      </c>
    </row>
    <row r="800" ht="12.75" customHeight="1">
      <c r="A800" s="6" t="s">
        <v>5260</v>
      </c>
    </row>
    <row r="801" ht="12.75" customHeight="1">
      <c r="A801" s="6" t="s">
        <v>5261</v>
      </c>
      <c r="B801" s="6" t="s">
        <v>5262</v>
      </c>
    </row>
    <row r="802" ht="12.75" customHeight="1">
      <c r="A802" s="6" t="s">
        <v>5263</v>
      </c>
      <c r="B802" s="6" t="s">
        <v>5264</v>
      </c>
    </row>
    <row r="803" ht="12.75" customHeight="1">
      <c r="A803" s="6" t="s">
        <v>5265</v>
      </c>
      <c r="B803" s="6" t="s">
        <v>5266</v>
      </c>
    </row>
    <row r="804" ht="12.75" customHeight="1">
      <c r="A804" s="6" t="s">
        <v>5267</v>
      </c>
    </row>
    <row r="805" ht="12.75" customHeight="1">
      <c r="A805" s="6" t="s">
        <v>5268</v>
      </c>
      <c r="B805" s="6" t="s">
        <v>5269</v>
      </c>
    </row>
    <row r="806" ht="12.75" customHeight="1">
      <c r="A806" s="6" t="s">
        <v>5270</v>
      </c>
      <c r="B806" s="6" t="s">
        <v>5271</v>
      </c>
    </row>
    <row r="807" ht="12.75" customHeight="1">
      <c r="A807" s="6" t="s">
        <v>5272</v>
      </c>
      <c r="B807" s="6" t="s">
        <v>1724</v>
      </c>
    </row>
    <row r="808" ht="12.75" customHeight="1">
      <c r="A808" s="6" t="s">
        <v>5273</v>
      </c>
      <c r="B808" s="6" t="s">
        <v>5274</v>
      </c>
    </row>
    <row r="809" ht="12.75" customHeight="1">
      <c r="A809" s="6" t="s">
        <v>5275</v>
      </c>
      <c r="B809" s="6" t="s">
        <v>5276</v>
      </c>
    </row>
    <row r="810" ht="12.75" customHeight="1">
      <c r="A810" s="6" t="s">
        <v>5277</v>
      </c>
      <c r="B810" s="6" t="s">
        <v>5278</v>
      </c>
    </row>
    <row r="811" ht="12.75" customHeight="1">
      <c r="A811" s="6" t="s">
        <v>5279</v>
      </c>
      <c r="B811" s="6" t="s">
        <v>5280</v>
      </c>
    </row>
    <row r="812" ht="12.75" customHeight="1">
      <c r="A812" s="6" t="s">
        <v>5281</v>
      </c>
      <c r="B812" s="6" t="s">
        <v>1108</v>
      </c>
    </row>
    <row r="813" ht="12.75" customHeight="1">
      <c r="A813" s="6" t="s">
        <v>5282</v>
      </c>
      <c r="B813" s="6" t="s">
        <v>5283</v>
      </c>
    </row>
    <row r="814" ht="12.75" customHeight="1">
      <c r="A814" s="6" t="s">
        <v>5284</v>
      </c>
      <c r="B814" s="6" t="s">
        <v>890</v>
      </c>
    </row>
    <row r="815" ht="12.75" customHeight="1">
      <c r="A815" s="6" t="s">
        <v>5285</v>
      </c>
      <c r="B815" s="6" t="s">
        <v>3543</v>
      </c>
    </row>
    <row r="816" ht="12.75" customHeight="1">
      <c r="A816" s="6" t="s">
        <v>5286</v>
      </c>
      <c r="B816" s="6" t="s">
        <v>757</v>
      </c>
    </row>
    <row r="817" ht="12.75" customHeight="1">
      <c r="A817" s="6" t="s">
        <v>5287</v>
      </c>
      <c r="B817" s="6" t="s">
        <v>283</v>
      </c>
    </row>
    <row r="818" ht="12.75" customHeight="1">
      <c r="A818" s="6" t="s">
        <v>5288</v>
      </c>
      <c r="B818" s="6" t="s">
        <v>2032</v>
      </c>
    </row>
    <row r="819" ht="12.75" customHeight="1">
      <c r="A819" s="6" t="s">
        <v>5289</v>
      </c>
      <c r="B819" s="6" t="s">
        <v>5290</v>
      </c>
    </row>
    <row r="820" ht="12.75" customHeight="1">
      <c r="A820" s="6" t="s">
        <v>5291</v>
      </c>
      <c r="B820" s="6" t="s">
        <v>1391</v>
      </c>
    </row>
    <row r="821" ht="12.75" customHeight="1">
      <c r="A821" s="6" t="s">
        <v>5292</v>
      </c>
      <c r="B821" s="6" t="s">
        <v>2210</v>
      </c>
    </row>
    <row r="822" ht="12.75" customHeight="1">
      <c r="A822" s="6" t="s">
        <v>5293</v>
      </c>
      <c r="B822" s="6" t="s">
        <v>1360</v>
      </c>
    </row>
    <row r="823" ht="12.75" customHeight="1">
      <c r="A823" s="6" t="s">
        <v>5294</v>
      </c>
      <c r="B823" s="6" t="s">
        <v>5295</v>
      </c>
    </row>
    <row r="824" ht="12.75" customHeight="1">
      <c r="A824" s="6" t="s">
        <v>5296</v>
      </c>
      <c r="B824" s="6" t="s">
        <v>5297</v>
      </c>
    </row>
    <row r="825" ht="12.75" customHeight="1">
      <c r="A825" s="6" t="s">
        <v>5298</v>
      </c>
      <c r="B825" s="6" t="s">
        <v>5299</v>
      </c>
    </row>
    <row r="826" ht="12.75" customHeight="1">
      <c r="A826" s="6" t="s">
        <v>5300</v>
      </c>
      <c r="B826" s="6" t="s">
        <v>5301</v>
      </c>
    </row>
    <row r="827" ht="12.75" customHeight="1">
      <c r="A827" s="6" t="s">
        <v>5302</v>
      </c>
      <c r="B827" s="6" t="s">
        <v>5303</v>
      </c>
    </row>
    <row r="828" ht="12.75" customHeight="1">
      <c r="A828" s="6" t="s">
        <v>5304</v>
      </c>
      <c r="B828" s="6" t="s">
        <v>5305</v>
      </c>
    </row>
    <row r="829" ht="12.75" customHeight="1">
      <c r="A829" s="6" t="s">
        <v>5306</v>
      </c>
      <c r="B829" s="6" t="s">
        <v>5307</v>
      </c>
    </row>
    <row r="830" ht="12.75" customHeight="1">
      <c r="A830" s="6" t="s">
        <v>5308</v>
      </c>
      <c r="B830" s="6" t="s">
        <v>5309</v>
      </c>
    </row>
    <row r="831" ht="12.75" customHeight="1">
      <c r="A831" s="6" t="s">
        <v>5310</v>
      </c>
      <c r="B831" s="6" t="s">
        <v>5311</v>
      </c>
    </row>
    <row r="832" ht="12.75" customHeight="1">
      <c r="A832" s="6" t="s">
        <v>5312</v>
      </c>
      <c r="B832" s="6" t="s">
        <v>5313</v>
      </c>
    </row>
    <row r="833" ht="12.75" customHeight="1">
      <c r="A833" s="6" t="s">
        <v>5314</v>
      </c>
      <c r="B833" s="6" t="s">
        <v>5315</v>
      </c>
    </row>
    <row r="834" ht="12.75" customHeight="1">
      <c r="A834" s="6" t="s">
        <v>5316</v>
      </c>
      <c r="B834" s="6" t="s">
        <v>5317</v>
      </c>
    </row>
    <row r="835" ht="12.75" customHeight="1">
      <c r="A835" s="6" t="s">
        <v>5318</v>
      </c>
      <c r="B835" s="6" t="s">
        <v>5319</v>
      </c>
    </row>
    <row r="836" ht="12.75" customHeight="1">
      <c r="A836" s="6" t="s">
        <v>5320</v>
      </c>
      <c r="B836" s="6" t="s">
        <v>5321</v>
      </c>
    </row>
    <row r="837" ht="12.75" customHeight="1">
      <c r="A837" s="6" t="s">
        <v>5322</v>
      </c>
      <c r="B837" s="6" t="s">
        <v>5323</v>
      </c>
    </row>
    <row r="838" ht="12.75" customHeight="1">
      <c r="A838" s="6" t="s">
        <v>5324</v>
      </c>
      <c r="B838" s="6" t="s">
        <v>5325</v>
      </c>
    </row>
    <row r="839" ht="12.75" customHeight="1">
      <c r="A839" s="6" t="s">
        <v>5326</v>
      </c>
      <c r="B839" s="6" t="s">
        <v>5327</v>
      </c>
    </row>
    <row r="840" ht="12.75" customHeight="1">
      <c r="A840" s="6" t="s">
        <v>5328</v>
      </c>
      <c r="B840" s="6" t="s">
        <v>5329</v>
      </c>
    </row>
    <row r="841" ht="12.75" customHeight="1">
      <c r="A841" s="6" t="s">
        <v>5330</v>
      </c>
      <c r="B841" s="6" t="s">
        <v>5331</v>
      </c>
    </row>
    <row r="842" ht="12.75" customHeight="1">
      <c r="A842" s="6" t="s">
        <v>5332</v>
      </c>
      <c r="B842" s="6" t="s">
        <v>792</v>
      </c>
    </row>
    <row r="843" ht="12.75" customHeight="1">
      <c r="A843" s="6" t="s">
        <v>5333</v>
      </c>
      <c r="B843" s="6" t="s">
        <v>5334</v>
      </c>
    </row>
    <row r="844" ht="12.75" customHeight="1">
      <c r="A844" s="6" t="s">
        <v>5335</v>
      </c>
      <c r="B844" s="6" t="s">
        <v>5336</v>
      </c>
    </row>
    <row r="845" ht="12.75" customHeight="1">
      <c r="A845" s="6" t="s">
        <v>5337</v>
      </c>
      <c r="B845" s="6" t="s">
        <v>5338</v>
      </c>
    </row>
    <row r="846" ht="12.75" customHeight="1">
      <c r="A846" s="6" t="s">
        <v>5339</v>
      </c>
      <c r="B846" s="6" t="s">
        <v>5340</v>
      </c>
    </row>
    <row r="847" ht="12.75" customHeight="1">
      <c r="A847" s="6" t="s">
        <v>5341</v>
      </c>
      <c r="B847" s="6" t="s">
        <v>3088</v>
      </c>
    </row>
    <row r="848" ht="12.75" customHeight="1">
      <c r="A848" s="6" t="s">
        <v>5342</v>
      </c>
      <c r="B848" s="6" t="s">
        <v>872</v>
      </c>
    </row>
    <row r="849" ht="12.75" customHeight="1">
      <c r="A849" s="6" t="s">
        <v>5343</v>
      </c>
      <c r="B849" s="6" t="s">
        <v>5344</v>
      </c>
    </row>
    <row r="850" ht="12.75" customHeight="1">
      <c r="A850" s="6" t="s">
        <v>5345</v>
      </c>
      <c r="B850" s="6" t="s">
        <v>5346</v>
      </c>
    </row>
    <row r="851" ht="12.75" customHeight="1">
      <c r="A851" s="6" t="s">
        <v>5347</v>
      </c>
      <c r="B851" s="6" t="s">
        <v>505</v>
      </c>
    </row>
    <row r="852" ht="12.75" customHeight="1">
      <c r="A852" s="6" t="s">
        <v>5348</v>
      </c>
      <c r="B852" s="6" t="s">
        <v>1160</v>
      </c>
    </row>
    <row r="853" ht="12.75" customHeight="1">
      <c r="A853" s="6" t="s">
        <v>5349</v>
      </c>
      <c r="B853" s="6" t="s">
        <v>5350</v>
      </c>
    </row>
    <row r="854" ht="12.75" customHeight="1">
      <c r="A854" s="6" t="s">
        <v>5351</v>
      </c>
      <c r="B854" s="6" t="s">
        <v>420</v>
      </c>
    </row>
    <row r="855" ht="12.75" customHeight="1">
      <c r="A855" s="6" t="s">
        <v>5352</v>
      </c>
      <c r="B855" s="6" t="s">
        <v>622</v>
      </c>
    </row>
    <row r="856" ht="12.75" customHeight="1">
      <c r="A856" s="6" t="s">
        <v>5353</v>
      </c>
      <c r="B856" s="6" t="s">
        <v>354</v>
      </c>
    </row>
    <row r="857" ht="12.75" customHeight="1">
      <c r="A857" s="6" t="s">
        <v>5354</v>
      </c>
      <c r="B857" s="6" t="s">
        <v>5355</v>
      </c>
    </row>
    <row r="858" ht="12.75" customHeight="1">
      <c r="A858" s="6" t="s">
        <v>5356</v>
      </c>
      <c r="B858" s="6" t="s">
        <v>838</v>
      </c>
    </row>
    <row r="859" ht="12.75" customHeight="1">
      <c r="A859" s="6" t="s">
        <v>5357</v>
      </c>
      <c r="B859" s="6" t="s">
        <v>709</v>
      </c>
    </row>
    <row r="860" ht="12.75" customHeight="1">
      <c r="A860" s="6" t="s">
        <v>5358</v>
      </c>
      <c r="B860" s="6" t="s">
        <v>5359</v>
      </c>
    </row>
    <row r="861" ht="12.75" customHeight="1">
      <c r="A861" s="6" t="s">
        <v>5360</v>
      </c>
      <c r="B861" s="6" t="s">
        <v>5361</v>
      </c>
    </row>
    <row r="862" ht="12.75" customHeight="1">
      <c r="A862" s="6" t="s">
        <v>5362</v>
      </c>
      <c r="B862" s="6" t="s">
        <v>413</v>
      </c>
    </row>
    <row r="863" ht="12.75" customHeight="1">
      <c r="A863" s="6" t="s">
        <v>5363</v>
      </c>
    </row>
    <row r="864" ht="12.75" customHeight="1">
      <c r="A864" s="6" t="s">
        <v>5364</v>
      </c>
      <c r="B864" s="6" t="s">
        <v>5365</v>
      </c>
    </row>
    <row r="865" ht="12.75" customHeight="1">
      <c r="A865" s="6" t="s">
        <v>5366</v>
      </c>
      <c r="B865" s="6" t="s">
        <v>5367</v>
      </c>
    </row>
    <row r="866" ht="12.75" customHeight="1">
      <c r="A866" s="6" t="s">
        <v>5368</v>
      </c>
      <c r="B866" s="6" t="s">
        <v>5369</v>
      </c>
    </row>
    <row r="867" ht="12.75" customHeight="1">
      <c r="A867" s="6" t="s">
        <v>5370</v>
      </c>
      <c r="B867" s="6" t="s">
        <v>5371</v>
      </c>
    </row>
    <row r="868" ht="12.75" customHeight="1">
      <c r="A868" s="6" t="s">
        <v>5372</v>
      </c>
      <c r="B868" s="6" t="s">
        <v>5373</v>
      </c>
    </row>
    <row r="869" ht="12.75" customHeight="1">
      <c r="A869" s="6" t="s">
        <v>5374</v>
      </c>
      <c r="B869" s="6" t="s">
        <v>5375</v>
      </c>
    </row>
    <row r="870" ht="12.75" customHeight="1">
      <c r="A870" s="6" t="s">
        <v>5376</v>
      </c>
      <c r="B870" s="6" t="s">
        <v>5377</v>
      </c>
    </row>
    <row r="871" ht="12.75" customHeight="1">
      <c r="A871" s="6" t="s">
        <v>5378</v>
      </c>
      <c r="B871" s="6" t="s">
        <v>5379</v>
      </c>
    </row>
    <row r="872" ht="12.75" customHeight="1">
      <c r="A872" s="6" t="s">
        <v>5380</v>
      </c>
      <c r="B872" s="6" t="s">
        <v>5381</v>
      </c>
    </row>
    <row r="873" ht="12.75" customHeight="1">
      <c r="A873" s="6" t="s">
        <v>5382</v>
      </c>
      <c r="B873" s="6" t="s">
        <v>5383</v>
      </c>
    </row>
    <row r="874" ht="12.75" customHeight="1">
      <c r="A874" s="6" t="s">
        <v>5384</v>
      </c>
      <c r="B874" s="6" t="s">
        <v>5385</v>
      </c>
    </row>
    <row r="875" ht="12.75" customHeight="1">
      <c r="A875" s="6" t="s">
        <v>5386</v>
      </c>
      <c r="B875" s="6" t="s">
        <v>5387</v>
      </c>
    </row>
    <row r="876" ht="12.75" customHeight="1">
      <c r="A876" s="6" t="s">
        <v>5388</v>
      </c>
      <c r="B876" s="6" t="s">
        <v>5389</v>
      </c>
    </row>
    <row r="877" ht="12.75" customHeight="1">
      <c r="A877" s="6" t="s">
        <v>5390</v>
      </c>
      <c r="B877" s="6" t="s">
        <v>5391</v>
      </c>
    </row>
    <row r="878" ht="12.75" customHeight="1">
      <c r="A878" s="6" t="s">
        <v>5392</v>
      </c>
      <c r="B878" s="6" t="s">
        <v>5393</v>
      </c>
    </row>
    <row r="879" ht="12.75" customHeight="1">
      <c r="A879" s="6" t="s">
        <v>5394</v>
      </c>
      <c r="B879" s="6" t="s">
        <v>5395</v>
      </c>
    </row>
    <row r="880" ht="12.75" customHeight="1">
      <c r="A880" s="6" t="s">
        <v>5396</v>
      </c>
    </row>
    <row r="881" ht="12.75" customHeight="1">
      <c r="A881" s="6" t="s">
        <v>5397</v>
      </c>
      <c r="B881" s="6" t="s">
        <v>5398</v>
      </c>
    </row>
    <row r="882" ht="12.75" customHeight="1">
      <c r="A882" s="6" t="s">
        <v>5399</v>
      </c>
      <c r="B882" s="6" t="s">
        <v>5400</v>
      </c>
    </row>
    <row r="883" ht="12.75" customHeight="1">
      <c r="A883" s="6" t="s">
        <v>5401</v>
      </c>
      <c r="B883" s="6" t="s">
        <v>5402</v>
      </c>
    </row>
    <row r="884" ht="12.75" customHeight="1">
      <c r="A884" s="6" t="s">
        <v>5403</v>
      </c>
      <c r="B884" s="6" t="s">
        <v>2062</v>
      </c>
    </row>
    <row r="885" ht="12.75" customHeight="1">
      <c r="A885" s="6" t="s">
        <v>5404</v>
      </c>
      <c r="B885" s="6" t="s">
        <v>5405</v>
      </c>
    </row>
    <row r="886" ht="12.75" customHeight="1">
      <c r="A886" s="6" t="s">
        <v>5406</v>
      </c>
      <c r="B886" s="6" t="s">
        <v>553</v>
      </c>
    </row>
    <row r="887" ht="12.75" customHeight="1">
      <c r="A887" s="6" t="s">
        <v>5407</v>
      </c>
      <c r="B887" s="6" t="s">
        <v>5408</v>
      </c>
    </row>
    <row r="888" ht="12.75" customHeight="1">
      <c r="A888" s="6" t="s">
        <v>5409</v>
      </c>
      <c r="B888" s="6" t="s">
        <v>5410</v>
      </c>
    </row>
    <row r="889" ht="12.75" customHeight="1">
      <c r="A889" s="6" t="s">
        <v>5411</v>
      </c>
      <c r="B889" s="6" t="s">
        <v>5412</v>
      </c>
    </row>
    <row r="890" ht="12.75" customHeight="1">
      <c r="A890" s="6" t="s">
        <v>5413</v>
      </c>
      <c r="B890" s="6" t="s">
        <v>5414</v>
      </c>
    </row>
    <row r="891" ht="12.75" customHeight="1">
      <c r="A891" s="6" t="s">
        <v>5415</v>
      </c>
      <c r="B891" s="6" t="s">
        <v>5416</v>
      </c>
    </row>
    <row r="892" ht="12.75" customHeight="1">
      <c r="A892" s="6" t="s">
        <v>5417</v>
      </c>
      <c r="B892" s="6" t="s">
        <v>5418</v>
      </c>
    </row>
    <row r="893" ht="12.75" customHeight="1">
      <c r="A893" s="6" t="s">
        <v>5419</v>
      </c>
      <c r="B893" s="6" t="s">
        <v>5420</v>
      </c>
    </row>
    <row r="894" ht="12.75" customHeight="1">
      <c r="A894" s="6" t="s">
        <v>5421</v>
      </c>
      <c r="B894" s="6" t="s">
        <v>5422</v>
      </c>
    </row>
    <row r="895" ht="12.75" customHeight="1">
      <c r="A895" s="6" t="s">
        <v>5423</v>
      </c>
      <c r="B895" s="6" t="s">
        <v>175</v>
      </c>
    </row>
    <row r="896" ht="12.75" customHeight="1">
      <c r="A896" s="6" t="s">
        <v>5424</v>
      </c>
      <c r="B896" s="6" t="s">
        <v>62</v>
      </c>
    </row>
    <row r="897" ht="12.75" customHeight="1">
      <c r="A897" s="6" t="s">
        <v>5425</v>
      </c>
      <c r="B897" s="6" t="s">
        <v>1810</v>
      </c>
    </row>
    <row r="898" ht="12.75" customHeight="1">
      <c r="A898" s="6" t="s">
        <v>5426</v>
      </c>
      <c r="B898" s="6" t="s">
        <v>5427</v>
      </c>
    </row>
    <row r="899" ht="12.75" customHeight="1">
      <c r="A899" s="6" t="s">
        <v>5428</v>
      </c>
      <c r="B899" s="6" t="s">
        <v>5429</v>
      </c>
    </row>
    <row r="900" ht="12.75" customHeight="1">
      <c r="A900" s="6" t="s">
        <v>5430</v>
      </c>
      <c r="B900" s="6" t="s">
        <v>5431</v>
      </c>
    </row>
    <row r="901" ht="12.75" customHeight="1">
      <c r="A901" s="6" t="s">
        <v>5432</v>
      </c>
      <c r="B901" s="6" t="s">
        <v>383</v>
      </c>
    </row>
    <row r="902" ht="12.75" customHeight="1">
      <c r="A902" s="6" t="s">
        <v>5433</v>
      </c>
      <c r="B902" s="6" t="s">
        <v>1068</v>
      </c>
    </row>
    <row r="903" ht="12.75" customHeight="1">
      <c r="A903" s="6" t="s">
        <v>5434</v>
      </c>
      <c r="B903" s="6" t="s">
        <v>329</v>
      </c>
    </row>
    <row r="904" ht="12.75" customHeight="1">
      <c r="A904" s="6" t="s">
        <v>5435</v>
      </c>
      <c r="B904" s="6" t="s">
        <v>5436</v>
      </c>
    </row>
    <row r="905" ht="12.75" customHeight="1">
      <c r="A905" s="6" t="s">
        <v>5437</v>
      </c>
      <c r="B905" s="6" t="s">
        <v>5438</v>
      </c>
    </row>
    <row r="906" ht="12.75" customHeight="1">
      <c r="A906" s="6" t="s">
        <v>5439</v>
      </c>
      <c r="B906" s="6" t="s">
        <v>2535</v>
      </c>
    </row>
    <row r="907" ht="12.75" customHeight="1">
      <c r="A907" s="6" t="s">
        <v>5440</v>
      </c>
      <c r="B907" s="6" t="s">
        <v>5441</v>
      </c>
    </row>
    <row r="908" ht="12.75" customHeight="1">
      <c r="A908" s="6" t="s">
        <v>5442</v>
      </c>
      <c r="B908" s="6" t="s">
        <v>5443</v>
      </c>
    </row>
    <row r="909" ht="12.75" customHeight="1">
      <c r="A909" s="6" t="s">
        <v>5444</v>
      </c>
      <c r="B909" s="6" t="s">
        <v>5445</v>
      </c>
    </row>
    <row r="910" ht="12.75" customHeight="1">
      <c r="A910" s="6" t="s">
        <v>5446</v>
      </c>
      <c r="B910" s="6" t="s">
        <v>5447</v>
      </c>
    </row>
    <row r="911" ht="12.75" customHeight="1">
      <c r="A911" s="6" t="s">
        <v>5448</v>
      </c>
      <c r="B911" s="6" t="s">
        <v>5449</v>
      </c>
    </row>
    <row r="912" ht="12.75" customHeight="1">
      <c r="A912" s="6" t="s">
        <v>5450</v>
      </c>
      <c r="B912" s="6" t="s">
        <v>3765</v>
      </c>
    </row>
    <row r="913" ht="12.75" customHeight="1">
      <c r="A913" s="6" t="s">
        <v>5451</v>
      </c>
      <c r="B913" s="6" t="s">
        <v>2095</v>
      </c>
    </row>
    <row r="914" ht="12.75" customHeight="1">
      <c r="A914" s="6" t="s">
        <v>5452</v>
      </c>
      <c r="B914" s="6" t="s">
        <v>859</v>
      </c>
    </row>
    <row r="915" ht="12.75" customHeight="1">
      <c r="A915" s="6" t="s">
        <v>5453</v>
      </c>
      <c r="B915" s="6" t="s">
        <v>2963</v>
      </c>
    </row>
    <row r="916" ht="12.75" customHeight="1">
      <c r="A916" s="6" t="s">
        <v>5454</v>
      </c>
    </row>
    <row r="917" ht="12.75" customHeight="1">
      <c r="A917" s="6" t="s">
        <v>5455</v>
      </c>
      <c r="B917" s="6" t="s">
        <v>5456</v>
      </c>
    </row>
    <row r="918" ht="12.75" customHeight="1">
      <c r="A918" s="6" t="s">
        <v>5457</v>
      </c>
      <c r="B918" s="6" t="s">
        <v>5458</v>
      </c>
    </row>
    <row r="919" ht="12.75" customHeight="1">
      <c r="A919" s="6" t="s">
        <v>5459</v>
      </c>
      <c r="B919" s="6" t="s">
        <v>188</v>
      </c>
    </row>
    <row r="920" ht="12.75" customHeight="1">
      <c r="A920" s="6" t="s">
        <v>5460</v>
      </c>
    </row>
    <row r="921" ht="12.75" customHeight="1">
      <c r="A921" s="6" t="s">
        <v>5461</v>
      </c>
    </row>
    <row r="922" ht="12.75" customHeight="1">
      <c r="A922" s="6" t="s">
        <v>5462</v>
      </c>
      <c r="B922" s="6" t="s">
        <v>5463</v>
      </c>
    </row>
    <row r="923" ht="12.75" customHeight="1">
      <c r="A923" s="6" t="s">
        <v>5464</v>
      </c>
      <c r="B923" s="6" t="s">
        <v>1152</v>
      </c>
    </row>
    <row r="924" ht="12.75" customHeight="1">
      <c r="A924" s="6" t="s">
        <v>5465</v>
      </c>
      <c r="B924" s="6" t="s">
        <v>599</v>
      </c>
    </row>
    <row r="925" ht="12.75" customHeight="1">
      <c r="A925" s="6" t="s">
        <v>5466</v>
      </c>
      <c r="B925" s="6" t="s">
        <v>5467</v>
      </c>
    </row>
    <row r="926" ht="12.75" customHeight="1">
      <c r="A926" s="6" t="s">
        <v>5468</v>
      </c>
      <c r="B926" s="6" t="s">
        <v>5469</v>
      </c>
    </row>
    <row r="927" ht="12.75" customHeight="1">
      <c r="A927" s="6" t="s">
        <v>5470</v>
      </c>
      <c r="B927" s="6" t="s">
        <v>5471</v>
      </c>
    </row>
    <row r="928" ht="12.75" customHeight="1">
      <c r="A928" s="6" t="s">
        <v>5472</v>
      </c>
      <c r="B928" s="6" t="s">
        <v>5473</v>
      </c>
    </row>
    <row r="929" ht="12.75" customHeight="1">
      <c r="A929" s="6" t="s">
        <v>5474</v>
      </c>
      <c r="B929" s="6" t="s">
        <v>5475</v>
      </c>
    </row>
    <row r="930" ht="12.75" customHeight="1">
      <c r="A930" s="6" t="s">
        <v>5476</v>
      </c>
      <c r="B930" s="6" t="s">
        <v>5477</v>
      </c>
    </row>
    <row r="931" ht="12.75" customHeight="1">
      <c r="A931" s="6" t="s">
        <v>5478</v>
      </c>
      <c r="B931" s="6" t="s">
        <v>5479</v>
      </c>
    </row>
    <row r="932" ht="12.75" customHeight="1">
      <c r="A932" s="6" t="s">
        <v>5480</v>
      </c>
    </row>
    <row r="933" ht="12.75" customHeight="1">
      <c r="A933" s="6" t="s">
        <v>5481</v>
      </c>
      <c r="B933" s="6" t="s">
        <v>5482</v>
      </c>
    </row>
    <row r="934" ht="12.75" customHeight="1">
      <c r="A934" s="6" t="s">
        <v>5483</v>
      </c>
      <c r="B934" s="6" t="s">
        <v>5484</v>
      </c>
    </row>
    <row r="935" ht="12.75" customHeight="1">
      <c r="A935" s="6" t="s">
        <v>5485</v>
      </c>
      <c r="B935" s="6" t="s">
        <v>5486</v>
      </c>
    </row>
    <row r="936" ht="12.75" customHeight="1">
      <c r="A936" s="6" t="s">
        <v>5487</v>
      </c>
      <c r="B936" s="6" t="s">
        <v>5488</v>
      </c>
    </row>
    <row r="937" ht="12.75" customHeight="1">
      <c r="A937" s="6" t="s">
        <v>5489</v>
      </c>
      <c r="B937" s="6" t="s">
        <v>5490</v>
      </c>
    </row>
    <row r="938" ht="12.75" customHeight="1">
      <c r="A938" s="6" t="s">
        <v>5491</v>
      </c>
      <c r="B938" s="6" t="s">
        <v>5492</v>
      </c>
    </row>
    <row r="939" ht="12.75" customHeight="1">
      <c r="A939" s="6" t="s">
        <v>5493</v>
      </c>
      <c r="B939" s="6" t="s">
        <v>5494</v>
      </c>
    </row>
    <row r="940" ht="12.75" customHeight="1">
      <c r="A940" s="6" t="s">
        <v>5495</v>
      </c>
      <c r="B940" s="6" t="s">
        <v>5496</v>
      </c>
    </row>
    <row r="941" ht="12.75" customHeight="1">
      <c r="A941" s="6" t="s">
        <v>5497</v>
      </c>
      <c r="B941" s="6" t="s">
        <v>5498</v>
      </c>
    </row>
    <row r="942" ht="12.75" customHeight="1">
      <c r="A942" s="6" t="s">
        <v>5499</v>
      </c>
    </row>
    <row r="943" ht="12.75" customHeight="1">
      <c r="A943" s="6" t="s">
        <v>5500</v>
      </c>
    </row>
    <row r="944" ht="12.75" customHeight="1">
      <c r="A944" s="6" t="s">
        <v>5501</v>
      </c>
      <c r="B944" s="6" t="s">
        <v>3162</v>
      </c>
    </row>
    <row r="945" ht="12.75" customHeight="1">
      <c r="A945" s="6" t="s">
        <v>5502</v>
      </c>
      <c r="B945" s="6" t="s">
        <v>5503</v>
      </c>
    </row>
    <row r="946" ht="12.75" customHeight="1">
      <c r="A946" s="6" t="s">
        <v>5504</v>
      </c>
      <c r="B946" s="6" t="s">
        <v>5505</v>
      </c>
    </row>
    <row r="947" ht="12.75" customHeight="1">
      <c r="A947" s="6" t="s">
        <v>5506</v>
      </c>
      <c r="B947" s="6" t="s">
        <v>1456</v>
      </c>
    </row>
    <row r="948" ht="12.75" customHeight="1">
      <c r="A948" s="6" t="s">
        <v>5507</v>
      </c>
      <c r="B948" s="6" t="s">
        <v>5508</v>
      </c>
    </row>
    <row r="949" ht="12.75" customHeight="1">
      <c r="A949" s="6" t="s">
        <v>5509</v>
      </c>
      <c r="B949" s="6" t="s">
        <v>5510</v>
      </c>
    </row>
    <row r="950" ht="12.75" customHeight="1">
      <c r="A950" s="6" t="s">
        <v>5511</v>
      </c>
    </row>
    <row r="951" ht="12.75" customHeight="1">
      <c r="A951" s="6" t="s">
        <v>5512</v>
      </c>
    </row>
    <row r="952" ht="12.75" customHeight="1">
      <c r="A952" s="6" t="s">
        <v>5513</v>
      </c>
      <c r="B952" s="6" t="s">
        <v>5514</v>
      </c>
    </row>
    <row r="953" ht="12.75" customHeight="1">
      <c r="A953" s="6" t="s">
        <v>5515</v>
      </c>
      <c r="B953" s="6" t="s">
        <v>5516</v>
      </c>
    </row>
    <row r="954" ht="12.75" customHeight="1">
      <c r="A954" s="6" t="s">
        <v>5517</v>
      </c>
      <c r="B954" s="6" t="s">
        <v>5518</v>
      </c>
    </row>
    <row r="955" ht="12.75" customHeight="1">
      <c r="A955" s="6" t="s">
        <v>5519</v>
      </c>
      <c r="B955" s="6" t="s">
        <v>5520</v>
      </c>
    </row>
    <row r="956" ht="12.75" customHeight="1">
      <c r="A956" s="6" t="s">
        <v>5521</v>
      </c>
      <c r="B956" s="6" t="s">
        <v>5522</v>
      </c>
    </row>
    <row r="957" ht="12.75" customHeight="1">
      <c r="A957" s="6" t="s">
        <v>5523</v>
      </c>
      <c r="B957" s="6" t="s">
        <v>5524</v>
      </c>
    </row>
    <row r="958" ht="12.75" customHeight="1">
      <c r="A958" s="6" t="s">
        <v>5525</v>
      </c>
      <c r="B958" s="6" t="s">
        <v>5526</v>
      </c>
    </row>
    <row r="959" ht="12.75" customHeight="1">
      <c r="A959" s="6" t="s">
        <v>5527</v>
      </c>
      <c r="B959" s="6" t="s">
        <v>5528</v>
      </c>
    </row>
    <row r="960" ht="12.75" customHeight="1">
      <c r="A960" s="6" t="s">
        <v>5529</v>
      </c>
      <c r="B960" s="6" t="s">
        <v>5530</v>
      </c>
    </row>
    <row r="961" ht="12.75" customHeight="1">
      <c r="A961" s="6" t="s">
        <v>5531</v>
      </c>
      <c r="B961" s="6" t="s">
        <v>5532</v>
      </c>
    </row>
    <row r="962" ht="12.75" customHeight="1">
      <c r="A962" s="6" t="s">
        <v>5533</v>
      </c>
      <c r="B962" s="6" t="s">
        <v>5534</v>
      </c>
    </row>
    <row r="963" ht="12.75" customHeight="1">
      <c r="A963" s="6" t="s">
        <v>5535</v>
      </c>
      <c r="B963" s="6" t="s">
        <v>5536</v>
      </c>
    </row>
    <row r="964" ht="12.75" customHeight="1">
      <c r="A964" s="6" t="s">
        <v>5537</v>
      </c>
      <c r="B964" s="6" t="s">
        <v>5538</v>
      </c>
    </row>
    <row r="965" ht="12.75" customHeight="1">
      <c r="A965" s="6" t="s">
        <v>5539</v>
      </c>
      <c r="B965" s="6" t="s">
        <v>5540</v>
      </c>
    </row>
    <row r="966" ht="12.75" customHeight="1">
      <c r="A966" s="6" t="s">
        <v>5541</v>
      </c>
      <c r="B966" s="6" t="s">
        <v>5542</v>
      </c>
    </row>
    <row r="967" ht="12.75" customHeight="1">
      <c r="A967" s="6" t="s">
        <v>5543</v>
      </c>
      <c r="B967" s="6" t="s">
        <v>5544</v>
      </c>
    </row>
    <row r="968" ht="12.75" customHeight="1">
      <c r="A968" s="6" t="s">
        <v>5545</v>
      </c>
      <c r="B968" s="6" t="s">
        <v>5546</v>
      </c>
    </row>
    <row r="969" ht="12.75" customHeight="1">
      <c r="A969" s="6" t="s">
        <v>5547</v>
      </c>
      <c r="B969" s="6" t="s">
        <v>5548</v>
      </c>
    </row>
    <row r="970" ht="12.75" customHeight="1">
      <c r="A970" s="6" t="s">
        <v>5549</v>
      </c>
      <c r="B970" s="6" t="s">
        <v>5550</v>
      </c>
    </row>
    <row r="971" ht="12.75" customHeight="1">
      <c r="A971" s="6" t="s">
        <v>5551</v>
      </c>
      <c r="B971" s="6" t="s">
        <v>5552</v>
      </c>
    </row>
    <row r="972" ht="12.75" customHeight="1">
      <c r="A972" s="6" t="s">
        <v>5553</v>
      </c>
      <c r="B972" s="6" t="s">
        <v>5554</v>
      </c>
    </row>
    <row r="973" ht="12.75" customHeight="1">
      <c r="A973" s="6" t="s">
        <v>5555</v>
      </c>
      <c r="B973" s="6" t="s">
        <v>5556</v>
      </c>
    </row>
    <row r="974" ht="12.75" customHeight="1">
      <c r="A974" s="6" t="s">
        <v>5557</v>
      </c>
      <c r="B974" s="6" t="s">
        <v>5558</v>
      </c>
    </row>
    <row r="975" ht="12.75" customHeight="1">
      <c r="A975" s="6" t="s">
        <v>5559</v>
      </c>
      <c r="B975" s="6" t="s">
        <v>5560</v>
      </c>
    </row>
    <row r="976" ht="12.75" customHeight="1">
      <c r="A976" s="6" t="s">
        <v>5561</v>
      </c>
      <c r="B976" s="6" t="s">
        <v>5562</v>
      </c>
    </row>
    <row r="977" ht="12.75" customHeight="1">
      <c r="A977" s="6" t="s">
        <v>5563</v>
      </c>
      <c r="B977" s="6" t="s">
        <v>5564</v>
      </c>
    </row>
    <row r="978" ht="12.75" customHeight="1">
      <c r="A978" s="6" t="s">
        <v>5565</v>
      </c>
      <c r="B978" s="6" t="s">
        <v>5566</v>
      </c>
    </row>
    <row r="979" ht="12.75" customHeight="1">
      <c r="A979" s="6" t="s">
        <v>5567</v>
      </c>
      <c r="B979" s="6" t="s">
        <v>5568</v>
      </c>
    </row>
    <row r="980" ht="12.75" customHeight="1">
      <c r="A980" s="6" t="s">
        <v>5569</v>
      </c>
      <c r="B980" s="6" t="s">
        <v>5570</v>
      </c>
    </row>
    <row r="981" ht="12.75" customHeight="1">
      <c r="A981" s="6" t="s">
        <v>5571</v>
      </c>
      <c r="B981" s="6" t="s">
        <v>5572</v>
      </c>
    </row>
    <row r="982" ht="12.75" customHeight="1">
      <c r="A982" s="6" t="s">
        <v>5573</v>
      </c>
      <c r="B982" s="6" t="s">
        <v>5574</v>
      </c>
    </row>
    <row r="983" ht="12.75" customHeight="1">
      <c r="A983" s="6" t="s">
        <v>5575</v>
      </c>
      <c r="B983" s="6" t="s">
        <v>5576</v>
      </c>
    </row>
    <row r="984" ht="12.75" customHeight="1">
      <c r="A984" s="6" t="s">
        <v>5577</v>
      </c>
      <c r="B984" s="6" t="s">
        <v>5578</v>
      </c>
    </row>
    <row r="985" ht="12.75" customHeight="1">
      <c r="A985" s="6" t="s">
        <v>5579</v>
      </c>
      <c r="B985" s="6" t="s">
        <v>5580</v>
      </c>
    </row>
    <row r="986" ht="12.75" customHeight="1">
      <c r="A986" s="6" t="s">
        <v>5581</v>
      </c>
      <c r="B986" s="6" t="s">
        <v>5582</v>
      </c>
    </row>
    <row r="987" ht="12.75" customHeight="1">
      <c r="A987" s="6" t="s">
        <v>5583</v>
      </c>
      <c r="B987" s="6" t="s">
        <v>5584</v>
      </c>
    </row>
    <row r="988" ht="12.75" customHeight="1">
      <c r="A988" s="6" t="s">
        <v>5585</v>
      </c>
      <c r="B988" s="6" t="s">
        <v>5586</v>
      </c>
    </row>
    <row r="989" ht="12.75" customHeight="1">
      <c r="A989" s="6" t="s">
        <v>5587</v>
      </c>
      <c r="B989" s="6" t="s">
        <v>5588</v>
      </c>
    </row>
    <row r="990" ht="12.75" customHeight="1">
      <c r="A990" s="6" t="s">
        <v>5589</v>
      </c>
      <c r="B990" s="6" t="s">
        <v>5590</v>
      </c>
    </row>
    <row r="991" ht="12.75" customHeight="1">
      <c r="A991" s="6" t="s">
        <v>5591</v>
      </c>
      <c r="B991" s="6" t="s">
        <v>5592</v>
      </c>
    </row>
    <row r="992" ht="12.75" customHeight="1">
      <c r="A992" s="6" t="s">
        <v>5593</v>
      </c>
      <c r="B992" s="6" t="s">
        <v>5594</v>
      </c>
    </row>
    <row r="993" ht="12.75" customHeight="1">
      <c r="A993" s="6" t="s">
        <v>5595</v>
      </c>
      <c r="B993" s="6" t="s">
        <v>5596</v>
      </c>
    </row>
    <row r="994" ht="12.75" customHeight="1">
      <c r="A994" s="6" t="s">
        <v>5597</v>
      </c>
      <c r="B994" s="6" t="s">
        <v>5598</v>
      </c>
    </row>
    <row r="995" ht="12.75" customHeight="1">
      <c r="A995" s="6" t="s">
        <v>5599</v>
      </c>
      <c r="B995" s="6" t="s">
        <v>5600</v>
      </c>
    </row>
    <row r="996" ht="12.75" customHeight="1">
      <c r="A996" s="6" t="s">
        <v>5601</v>
      </c>
      <c r="B996" s="6" t="s">
        <v>5602</v>
      </c>
    </row>
    <row r="997" ht="12.75" customHeight="1">
      <c r="A997" s="6" t="s">
        <v>5603</v>
      </c>
      <c r="B997" s="6" t="s">
        <v>5604</v>
      </c>
    </row>
    <row r="998" ht="12.75" customHeight="1">
      <c r="A998" s="6" t="s">
        <v>5605</v>
      </c>
      <c r="B998" s="6" t="s">
        <v>5606</v>
      </c>
    </row>
    <row r="999" ht="12.75" customHeight="1">
      <c r="A999" s="6" t="s">
        <v>5607</v>
      </c>
      <c r="B999" s="6" t="s">
        <v>122</v>
      </c>
    </row>
    <row r="1000" ht="12.75" customHeight="1">
      <c r="A1000" s="6" t="s">
        <v>5608</v>
      </c>
      <c r="B1000" s="6" t="s">
        <v>974</v>
      </c>
    </row>
    <row r="1001" ht="12.75" customHeight="1">
      <c r="A1001" s="6" t="s">
        <v>5609</v>
      </c>
      <c r="B1001" s="6" t="s">
        <v>2461</v>
      </c>
    </row>
    <row r="1002" ht="12.75" customHeight="1">
      <c r="A1002" s="6" t="s">
        <v>5610</v>
      </c>
      <c r="B1002" s="6" t="s">
        <v>5611</v>
      </c>
    </row>
    <row r="1003" ht="12.75" customHeight="1">
      <c r="A1003" s="6" t="s">
        <v>5612</v>
      </c>
      <c r="B1003" s="6" t="s">
        <v>5613</v>
      </c>
    </row>
    <row r="1004" ht="12.75" customHeight="1">
      <c r="A1004" s="6" t="s">
        <v>5614</v>
      </c>
      <c r="B1004" s="6" t="s">
        <v>5615</v>
      </c>
    </row>
    <row r="1005" ht="12.75" customHeight="1">
      <c r="A1005" s="6" t="s">
        <v>5616</v>
      </c>
      <c r="B1005" s="6" t="s">
        <v>5617</v>
      </c>
    </row>
    <row r="1006" ht="12.75" customHeight="1">
      <c r="A1006" s="6" t="s">
        <v>5618</v>
      </c>
      <c r="B1006" s="6" t="s">
        <v>5619</v>
      </c>
    </row>
    <row r="1007" ht="12.75" customHeight="1">
      <c r="A1007" s="6" t="s">
        <v>5620</v>
      </c>
      <c r="B1007" s="6" t="s">
        <v>5621</v>
      </c>
    </row>
    <row r="1008" ht="12.75" customHeight="1">
      <c r="A1008" s="6" t="s">
        <v>5622</v>
      </c>
      <c r="B1008" s="6" t="s">
        <v>5623</v>
      </c>
    </row>
    <row r="1009" ht="12.75" customHeight="1">
      <c r="A1009" s="6" t="s">
        <v>5624</v>
      </c>
      <c r="B1009" s="6" t="s">
        <v>5625</v>
      </c>
    </row>
    <row r="1010" ht="12.75" customHeight="1">
      <c r="A1010" s="6" t="s">
        <v>5626</v>
      </c>
      <c r="B1010" s="6" t="s">
        <v>1005</v>
      </c>
    </row>
    <row r="1011" ht="12.75" customHeight="1">
      <c r="A1011" s="6" t="s">
        <v>5627</v>
      </c>
      <c r="B1011" s="6" t="s">
        <v>2126</v>
      </c>
    </row>
    <row r="1012" ht="12.75" customHeight="1">
      <c r="A1012" s="6" t="s">
        <v>5628</v>
      </c>
      <c r="B1012" s="6" t="s">
        <v>5629</v>
      </c>
    </row>
    <row r="1013" ht="12.75" customHeight="1">
      <c r="A1013" s="6" t="s">
        <v>5630</v>
      </c>
      <c r="B1013" s="6" t="s">
        <v>5631</v>
      </c>
    </row>
    <row r="1014" ht="12.75" customHeight="1">
      <c r="A1014" s="6" t="s">
        <v>5632</v>
      </c>
      <c r="B1014" s="6" t="s">
        <v>5633</v>
      </c>
    </row>
    <row r="1015" ht="12.75" customHeight="1">
      <c r="A1015" s="6" t="s">
        <v>5634</v>
      </c>
      <c r="B1015" s="6" t="s">
        <v>5635</v>
      </c>
    </row>
    <row r="1016" ht="12.75" customHeight="1">
      <c r="A1016" s="6" t="s">
        <v>5636</v>
      </c>
      <c r="B1016" s="6" t="s">
        <v>5637</v>
      </c>
    </row>
    <row r="1017" ht="12.75" customHeight="1">
      <c r="A1017" s="6" t="s">
        <v>5638</v>
      </c>
      <c r="B1017" s="6" t="s">
        <v>5639</v>
      </c>
    </row>
    <row r="1018" ht="12.75" customHeight="1">
      <c r="A1018" s="6" t="s">
        <v>5640</v>
      </c>
      <c r="B1018" s="6" t="s">
        <v>5641</v>
      </c>
    </row>
    <row r="1019" ht="12.75" customHeight="1">
      <c r="A1019" s="6" t="s">
        <v>5642</v>
      </c>
      <c r="B1019" s="6" t="s">
        <v>5643</v>
      </c>
    </row>
    <row r="1020" ht="12.75" customHeight="1">
      <c r="A1020" s="6" t="s">
        <v>5644</v>
      </c>
      <c r="B1020" s="6" t="s">
        <v>5645</v>
      </c>
    </row>
    <row r="1021" ht="12.75" customHeight="1">
      <c r="A1021" s="6" t="s">
        <v>5646</v>
      </c>
      <c r="B1021" s="6" t="s">
        <v>5647</v>
      </c>
    </row>
    <row r="1022" ht="12.75" customHeight="1">
      <c r="A1022" s="6" t="s">
        <v>5648</v>
      </c>
      <c r="B1022" s="6" t="s">
        <v>5649</v>
      </c>
    </row>
    <row r="1023" ht="12.75" customHeight="1">
      <c r="A1023" s="6" t="s">
        <v>5650</v>
      </c>
      <c r="B1023" s="6" t="s">
        <v>5651</v>
      </c>
    </row>
    <row r="1024" ht="12.75" customHeight="1">
      <c r="A1024" s="6" t="s">
        <v>5652</v>
      </c>
    </row>
    <row r="1025" ht="12.75" customHeight="1">
      <c r="A1025" s="6" t="s">
        <v>5653</v>
      </c>
      <c r="B1025" s="6" t="s">
        <v>5654</v>
      </c>
    </row>
    <row r="1026" ht="12.75" customHeight="1">
      <c r="A1026" s="6" t="s">
        <v>5655</v>
      </c>
      <c r="B1026" s="6" t="s">
        <v>5656</v>
      </c>
    </row>
    <row r="1027" ht="12.75" customHeight="1">
      <c r="A1027" s="6" t="s">
        <v>5657</v>
      </c>
      <c r="B1027" s="6" t="s">
        <v>5658</v>
      </c>
    </row>
    <row r="1028" ht="12.75" customHeight="1">
      <c r="A1028" s="6" t="s">
        <v>5659</v>
      </c>
      <c r="B1028" s="6" t="s">
        <v>2485</v>
      </c>
    </row>
    <row r="1029" ht="12.75" customHeight="1">
      <c r="A1029" s="6" t="s">
        <v>5660</v>
      </c>
      <c r="B1029" s="6" t="s">
        <v>5661</v>
      </c>
    </row>
    <row r="1030" ht="12.75" customHeight="1">
      <c r="A1030" s="6" t="s">
        <v>5662</v>
      </c>
      <c r="B1030" s="6" t="s">
        <v>5663</v>
      </c>
    </row>
    <row r="1031" ht="12.75" customHeight="1">
      <c r="A1031" s="6" t="s">
        <v>5664</v>
      </c>
      <c r="B1031" s="6" t="s">
        <v>5665</v>
      </c>
    </row>
    <row r="1032" ht="12.75" customHeight="1">
      <c r="A1032" s="6" t="s">
        <v>5666</v>
      </c>
      <c r="B1032" s="6" t="s">
        <v>5667</v>
      </c>
    </row>
    <row r="1033" ht="12.75" customHeight="1">
      <c r="A1033" s="6" t="s">
        <v>5668</v>
      </c>
      <c r="B1033" s="6" t="s">
        <v>5669</v>
      </c>
    </row>
    <row r="1034" ht="12.75" customHeight="1">
      <c r="A1034" s="6" t="s">
        <v>5670</v>
      </c>
      <c r="B1034" s="6" t="s">
        <v>5671</v>
      </c>
    </row>
    <row r="1035" ht="12.75" customHeight="1">
      <c r="A1035" s="6" t="s">
        <v>5672</v>
      </c>
      <c r="B1035" s="6" t="s">
        <v>5673</v>
      </c>
    </row>
    <row r="1036" ht="12.75" customHeight="1">
      <c r="A1036" s="6" t="s">
        <v>5674</v>
      </c>
      <c r="B1036" s="6" t="s">
        <v>5675</v>
      </c>
    </row>
    <row r="1037" ht="12.75" customHeight="1">
      <c r="A1037" s="6" t="s">
        <v>5676</v>
      </c>
      <c r="B1037" s="6" t="s">
        <v>5677</v>
      </c>
    </row>
    <row r="1038" ht="12.75" customHeight="1">
      <c r="A1038" s="6" t="s">
        <v>5678</v>
      </c>
      <c r="B1038" s="6" t="s">
        <v>1340</v>
      </c>
    </row>
    <row r="1039" ht="12.75" customHeight="1">
      <c r="A1039" s="6" t="s">
        <v>5679</v>
      </c>
      <c r="B1039" s="6" t="s">
        <v>5680</v>
      </c>
    </row>
    <row r="1040" ht="12.75" customHeight="1">
      <c r="A1040" s="6" t="s">
        <v>5681</v>
      </c>
      <c r="B1040" s="6" t="s">
        <v>5682</v>
      </c>
    </row>
    <row r="1041" ht="12.75" customHeight="1">
      <c r="A1041" s="6" t="s">
        <v>5683</v>
      </c>
      <c r="B1041" s="6" t="s">
        <v>5684</v>
      </c>
    </row>
    <row r="1042" ht="12.75" customHeight="1">
      <c r="A1042" s="6" t="s">
        <v>5685</v>
      </c>
      <c r="B1042" s="6" t="s">
        <v>5686</v>
      </c>
    </row>
    <row r="1043" ht="12.75" customHeight="1">
      <c r="A1043" s="6" t="s">
        <v>5687</v>
      </c>
      <c r="B1043" s="6" t="s">
        <v>5688</v>
      </c>
    </row>
    <row r="1044" ht="12.75" customHeight="1">
      <c r="A1044" s="6" t="s">
        <v>5689</v>
      </c>
      <c r="B1044" s="6" t="s">
        <v>5690</v>
      </c>
    </row>
    <row r="1045" ht="12.75" customHeight="1">
      <c r="A1045" s="6" t="s">
        <v>5691</v>
      </c>
      <c r="B1045" s="6" t="s">
        <v>5692</v>
      </c>
    </row>
    <row r="1046" ht="12.75" customHeight="1">
      <c r="A1046" s="6" t="s">
        <v>5693</v>
      </c>
      <c r="B1046" s="6" t="s">
        <v>5694</v>
      </c>
    </row>
    <row r="1047" ht="12.75" customHeight="1">
      <c r="A1047" s="6" t="s">
        <v>5695</v>
      </c>
      <c r="B1047" s="6" t="s">
        <v>5696</v>
      </c>
    </row>
    <row r="1048" ht="12.75" customHeight="1">
      <c r="A1048" s="6" t="s">
        <v>5697</v>
      </c>
      <c r="B1048" s="6" t="s">
        <v>5698</v>
      </c>
    </row>
    <row r="1049" ht="12.75" customHeight="1">
      <c r="A1049" s="6" t="s">
        <v>5699</v>
      </c>
      <c r="B1049" s="6" t="s">
        <v>5700</v>
      </c>
    </row>
    <row r="1050" ht="12.75" customHeight="1">
      <c r="A1050" s="6" t="s">
        <v>5701</v>
      </c>
      <c r="B1050" s="6" t="s">
        <v>803</v>
      </c>
    </row>
    <row r="1051" ht="12.75" customHeight="1">
      <c r="A1051" s="6" t="s">
        <v>5702</v>
      </c>
      <c r="B1051" s="6" t="s">
        <v>5703</v>
      </c>
    </row>
    <row r="1052" ht="12.75" customHeight="1">
      <c r="A1052" s="6" t="s">
        <v>5704</v>
      </c>
      <c r="B1052" s="6" t="s">
        <v>2876</v>
      </c>
    </row>
    <row r="1053" ht="12.75" customHeight="1">
      <c r="A1053" s="6" t="s">
        <v>5705</v>
      </c>
    </row>
    <row r="1054" ht="12.75" customHeight="1">
      <c r="A1054" s="6" t="s">
        <v>5706</v>
      </c>
      <c r="B1054" s="6" t="s">
        <v>5707</v>
      </c>
    </row>
    <row r="1055" ht="12.75" customHeight="1">
      <c r="A1055" s="6" t="s">
        <v>5708</v>
      </c>
      <c r="B1055" s="6" t="s">
        <v>3778</v>
      </c>
    </row>
    <row r="1056" ht="12.75" customHeight="1">
      <c r="A1056" s="6" t="s">
        <v>5709</v>
      </c>
      <c r="B1056" s="6" t="s">
        <v>564</v>
      </c>
    </row>
    <row r="1057" ht="12.75" customHeight="1">
      <c r="A1057" s="6" t="s">
        <v>5710</v>
      </c>
      <c r="B1057" s="6" t="s">
        <v>5711</v>
      </c>
    </row>
    <row r="1058" ht="12.75" customHeight="1">
      <c r="A1058" s="6" t="s">
        <v>5712</v>
      </c>
      <c r="B1058" s="6" t="s">
        <v>5713</v>
      </c>
    </row>
    <row r="1059" ht="12.75" customHeight="1">
      <c r="A1059" s="6" t="s">
        <v>5714</v>
      </c>
      <c r="B1059" s="6" t="s">
        <v>5715</v>
      </c>
    </row>
    <row r="1060" ht="12.75" customHeight="1">
      <c r="A1060" s="6" t="s">
        <v>5716</v>
      </c>
      <c r="B1060" s="6" t="s">
        <v>5717</v>
      </c>
    </row>
    <row r="1061" ht="12.75" customHeight="1">
      <c r="A1061" s="6" t="s">
        <v>5718</v>
      </c>
      <c r="B1061" s="6" t="s">
        <v>630</v>
      </c>
    </row>
    <row r="1062" ht="12.75" customHeight="1">
      <c r="A1062" s="6" t="s">
        <v>5719</v>
      </c>
      <c r="B1062" s="6" t="s">
        <v>5720</v>
      </c>
    </row>
    <row r="1063" ht="12.75" customHeight="1">
      <c r="A1063" s="6" t="s">
        <v>5721</v>
      </c>
      <c r="B1063" s="6" t="s">
        <v>5722</v>
      </c>
    </row>
    <row r="1064" ht="12.75" customHeight="1">
      <c r="A1064" s="6" t="s">
        <v>5723</v>
      </c>
      <c r="B1064" s="6" t="s">
        <v>5724</v>
      </c>
    </row>
    <row r="1065" ht="12.75" customHeight="1">
      <c r="A1065" s="6" t="s">
        <v>5725</v>
      </c>
      <c r="B1065" s="6" t="s">
        <v>5726</v>
      </c>
    </row>
    <row r="1066" ht="12.75" customHeight="1">
      <c r="A1066" s="6" t="s">
        <v>5727</v>
      </c>
      <c r="B1066" s="6" t="s">
        <v>5728</v>
      </c>
    </row>
    <row r="1067" ht="12.75" customHeight="1">
      <c r="A1067" s="6" t="s">
        <v>5729</v>
      </c>
      <c r="B1067" s="6" t="s">
        <v>5730</v>
      </c>
    </row>
    <row r="1068" ht="12.75" customHeight="1">
      <c r="A1068" s="6" t="s">
        <v>5731</v>
      </c>
      <c r="B1068" s="6" t="s">
        <v>5732</v>
      </c>
    </row>
    <row r="1069" ht="12.75" customHeight="1">
      <c r="A1069" s="6" t="s">
        <v>5733</v>
      </c>
    </row>
    <row r="1070" ht="12.75" customHeight="1">
      <c r="A1070" s="6" t="s">
        <v>5734</v>
      </c>
      <c r="B1070" s="6" t="s">
        <v>5735</v>
      </c>
    </row>
    <row r="1071" ht="12.75" customHeight="1">
      <c r="A1071" s="6" t="s">
        <v>5736</v>
      </c>
      <c r="B1071" s="6" t="s">
        <v>5737</v>
      </c>
    </row>
    <row r="1072" ht="12.75" customHeight="1">
      <c r="A1072" s="6" t="s">
        <v>5738</v>
      </c>
      <c r="B1072" s="6" t="s">
        <v>5739</v>
      </c>
    </row>
    <row r="1073" ht="12.75" customHeight="1">
      <c r="A1073" s="6" t="s">
        <v>5740</v>
      </c>
      <c r="B1073" s="6" t="s">
        <v>5741</v>
      </c>
    </row>
    <row r="1074" ht="12.75" customHeight="1">
      <c r="A1074" s="6" t="s">
        <v>5742</v>
      </c>
      <c r="B1074" s="6" t="s">
        <v>5743</v>
      </c>
    </row>
    <row r="1075" ht="12.75" customHeight="1">
      <c r="A1075" s="6" t="s">
        <v>5744</v>
      </c>
      <c r="B1075" s="6" t="s">
        <v>2375</v>
      </c>
    </row>
    <row r="1076" ht="12.75" customHeight="1">
      <c r="A1076" s="6" t="s">
        <v>5745</v>
      </c>
      <c r="B1076" s="6" t="s">
        <v>5746</v>
      </c>
    </row>
    <row r="1077" ht="12.75" customHeight="1">
      <c r="A1077" s="6" t="s">
        <v>5747</v>
      </c>
      <c r="B1077" s="6" t="s">
        <v>5748</v>
      </c>
    </row>
    <row r="1078" ht="12.75" customHeight="1">
      <c r="A1078" s="6" t="s">
        <v>5749</v>
      </c>
      <c r="B1078" s="6" t="s">
        <v>5750</v>
      </c>
    </row>
    <row r="1079" ht="12.75" customHeight="1">
      <c r="A1079" s="6" t="s">
        <v>5751</v>
      </c>
      <c r="B1079" s="6" t="s">
        <v>5752</v>
      </c>
    </row>
    <row r="1080" ht="12.75" customHeight="1">
      <c r="A1080" s="6" t="s">
        <v>5753</v>
      </c>
      <c r="B1080" s="6" t="s">
        <v>5754</v>
      </c>
    </row>
    <row r="1081" ht="12.75" customHeight="1">
      <c r="A1081" s="6" t="s">
        <v>5755</v>
      </c>
      <c r="B1081" s="6" t="s">
        <v>5756</v>
      </c>
    </row>
    <row r="1082" ht="12.75" customHeight="1">
      <c r="A1082" s="6" t="s">
        <v>5757</v>
      </c>
      <c r="B1082" s="6" t="s">
        <v>5758</v>
      </c>
    </row>
    <row r="1083" ht="12.75" customHeight="1">
      <c r="A1083" s="6" t="s">
        <v>5759</v>
      </c>
    </row>
    <row r="1084" ht="12.75" customHeight="1">
      <c r="A1084" s="6" t="s">
        <v>5760</v>
      </c>
      <c r="B1084" s="6" t="s">
        <v>5761</v>
      </c>
    </row>
    <row r="1085" ht="12.75" customHeight="1">
      <c r="A1085" s="6" t="s">
        <v>5762</v>
      </c>
      <c r="B1085" s="6" t="s">
        <v>5763</v>
      </c>
    </row>
    <row r="1086" ht="12.75" customHeight="1">
      <c r="A1086" s="6" t="s">
        <v>5764</v>
      </c>
      <c r="B1086" s="6" t="s">
        <v>5765</v>
      </c>
    </row>
    <row r="1087" ht="12.75" customHeight="1">
      <c r="A1087" s="6" t="s">
        <v>5766</v>
      </c>
      <c r="B1087" s="6" t="s">
        <v>5767</v>
      </c>
    </row>
    <row r="1088" ht="12.75" customHeight="1">
      <c r="A1088" s="6" t="s">
        <v>5768</v>
      </c>
      <c r="B1088" s="6" t="s">
        <v>5769</v>
      </c>
    </row>
    <row r="1089" ht="12.75" customHeight="1">
      <c r="A1089" s="6" t="s">
        <v>5770</v>
      </c>
      <c r="B1089" s="6" t="s">
        <v>5771</v>
      </c>
    </row>
    <row r="1090" ht="12.75" customHeight="1">
      <c r="A1090" s="6" t="s">
        <v>5772</v>
      </c>
      <c r="B1090" s="6" t="s">
        <v>5773</v>
      </c>
    </row>
    <row r="1091" ht="12.75" customHeight="1">
      <c r="A1091" s="6" t="s">
        <v>5774</v>
      </c>
      <c r="B1091" s="6" t="s">
        <v>5775</v>
      </c>
    </row>
    <row r="1092" ht="12.75" customHeight="1">
      <c r="A1092" s="6" t="s">
        <v>5776</v>
      </c>
      <c r="B1092" s="6" t="s">
        <v>5777</v>
      </c>
    </row>
    <row r="1093" ht="12.75" customHeight="1">
      <c r="A1093" s="6" t="s">
        <v>5778</v>
      </c>
      <c r="B1093" s="6" t="s">
        <v>5779</v>
      </c>
    </row>
    <row r="1094" ht="12.75" customHeight="1">
      <c r="A1094" s="6" t="s">
        <v>5780</v>
      </c>
      <c r="B1094" s="6" t="s">
        <v>5781</v>
      </c>
    </row>
    <row r="1095" ht="12.75" customHeight="1">
      <c r="A1095" s="6" t="s">
        <v>5782</v>
      </c>
      <c r="B1095" s="6" t="s">
        <v>5783</v>
      </c>
    </row>
    <row r="1096" ht="12.75" customHeight="1">
      <c r="A1096" s="6" t="s">
        <v>5784</v>
      </c>
      <c r="B1096" s="6" t="s">
        <v>5785</v>
      </c>
    </row>
    <row r="1097" ht="12.75" customHeight="1">
      <c r="A1097" s="6" t="s">
        <v>5786</v>
      </c>
      <c r="B1097" s="6" t="s">
        <v>5787</v>
      </c>
    </row>
    <row r="1098" ht="12.75" customHeight="1">
      <c r="A1098" s="6" t="s">
        <v>5788</v>
      </c>
      <c r="B1098" s="6" t="s">
        <v>1011</v>
      </c>
    </row>
    <row r="1099" ht="12.75" customHeight="1">
      <c r="A1099" s="6" t="s">
        <v>5789</v>
      </c>
      <c r="B1099" s="6" t="s">
        <v>1889</v>
      </c>
    </row>
    <row r="1100" ht="12.75" customHeight="1">
      <c r="A1100" s="6" t="s">
        <v>5790</v>
      </c>
      <c r="B1100" s="6" t="s">
        <v>5791</v>
      </c>
    </row>
    <row r="1101" ht="12.75" customHeight="1">
      <c r="A1101" s="6" t="s">
        <v>5792</v>
      </c>
      <c r="B1101" s="6" t="s">
        <v>5793</v>
      </c>
    </row>
    <row r="1102" ht="12.75" customHeight="1">
      <c r="A1102" s="6" t="s">
        <v>5794</v>
      </c>
    </row>
    <row r="1103" ht="12.75" customHeight="1">
      <c r="A1103" s="6" t="s">
        <v>5795</v>
      </c>
      <c r="B1103" s="6" t="s">
        <v>5796</v>
      </c>
    </row>
    <row r="1104" ht="12.75" customHeight="1">
      <c r="A1104" s="6" t="s">
        <v>5797</v>
      </c>
      <c r="B1104" s="6" t="s">
        <v>5798</v>
      </c>
    </row>
    <row r="1105" ht="12.75" customHeight="1">
      <c r="A1105" s="6" t="s">
        <v>5799</v>
      </c>
      <c r="B1105" s="6" t="s">
        <v>5800</v>
      </c>
    </row>
    <row r="1106" ht="12.75" customHeight="1">
      <c r="A1106" s="6" t="s">
        <v>5801</v>
      </c>
      <c r="B1106" s="6" t="s">
        <v>5802</v>
      </c>
    </row>
    <row r="1107" ht="12.75" customHeight="1">
      <c r="A1107" s="6" t="s">
        <v>5803</v>
      </c>
      <c r="B1107" s="6" t="s">
        <v>5804</v>
      </c>
    </row>
    <row r="1108" ht="12.75" customHeight="1">
      <c r="A1108" s="6" t="s">
        <v>5805</v>
      </c>
      <c r="B1108" s="6" t="s">
        <v>5806</v>
      </c>
    </row>
    <row r="1109" ht="12.75" customHeight="1">
      <c r="A1109" s="6" t="s">
        <v>5807</v>
      </c>
      <c r="B1109" s="6" t="s">
        <v>5808</v>
      </c>
    </row>
    <row r="1110" ht="12.75" customHeight="1">
      <c r="A1110" s="6" t="s">
        <v>5809</v>
      </c>
      <c r="B1110" s="6" t="s">
        <v>5810</v>
      </c>
    </row>
    <row r="1111" ht="12.75" customHeight="1">
      <c r="A1111" s="6" t="s">
        <v>5811</v>
      </c>
      <c r="B1111" s="6" t="s">
        <v>5812</v>
      </c>
    </row>
    <row r="1112" ht="12.75" customHeight="1">
      <c r="A1112" s="6" t="s">
        <v>5813</v>
      </c>
      <c r="B1112" s="6" t="s">
        <v>5814</v>
      </c>
    </row>
    <row r="1113" ht="12.75" customHeight="1">
      <c r="A1113" s="6" t="s">
        <v>5815</v>
      </c>
      <c r="B1113" s="6" t="s">
        <v>5816</v>
      </c>
    </row>
    <row r="1114" ht="12.75" customHeight="1">
      <c r="A1114" s="6" t="s">
        <v>5817</v>
      </c>
      <c r="B1114" s="6" t="s">
        <v>5818</v>
      </c>
    </row>
    <row r="1115" ht="12.75" customHeight="1">
      <c r="A1115" s="6" t="s">
        <v>5819</v>
      </c>
      <c r="B1115" s="6" t="s">
        <v>5820</v>
      </c>
    </row>
    <row r="1116" ht="12.75" customHeight="1">
      <c r="A1116" s="6" t="s">
        <v>5821</v>
      </c>
      <c r="B1116" s="6" t="s">
        <v>5822</v>
      </c>
    </row>
    <row r="1117" ht="12.75" customHeight="1">
      <c r="A1117" s="6" t="s">
        <v>5823</v>
      </c>
      <c r="B1117" s="6" t="s">
        <v>5824</v>
      </c>
    </row>
    <row r="1118" ht="12.75" customHeight="1">
      <c r="A1118" s="6" t="s">
        <v>5825</v>
      </c>
      <c r="B1118" s="6" t="s">
        <v>5826</v>
      </c>
    </row>
    <row r="1119" ht="12.75" customHeight="1">
      <c r="A1119" s="6" t="s">
        <v>5827</v>
      </c>
      <c r="B1119" s="6" t="s">
        <v>5828</v>
      </c>
    </row>
    <row r="1120" ht="12.75" customHeight="1">
      <c r="A1120" s="6" t="s">
        <v>5829</v>
      </c>
      <c r="B1120" s="6" t="s">
        <v>5830</v>
      </c>
    </row>
    <row r="1121" ht="12.75" customHeight="1">
      <c r="A1121" s="6" t="s">
        <v>5831</v>
      </c>
      <c r="B1121" s="6" t="s">
        <v>5832</v>
      </c>
    </row>
    <row r="1122" ht="12.75" customHeight="1">
      <c r="A1122" s="6" t="s">
        <v>5833</v>
      </c>
      <c r="B1122" s="6" t="s">
        <v>5834</v>
      </c>
    </row>
    <row r="1123" ht="12.75" customHeight="1">
      <c r="A1123" s="6" t="s">
        <v>5835</v>
      </c>
      <c r="B1123" s="6" t="s">
        <v>5836</v>
      </c>
    </row>
    <row r="1124" ht="12.75" customHeight="1">
      <c r="A1124" s="6" t="s">
        <v>5837</v>
      </c>
    </row>
    <row r="1125" ht="12.75" customHeight="1">
      <c r="A1125" s="6" t="s">
        <v>5838</v>
      </c>
      <c r="B1125" s="6" t="s">
        <v>5839</v>
      </c>
    </row>
    <row r="1126" ht="12.75" customHeight="1">
      <c r="A1126" s="6" t="s">
        <v>5840</v>
      </c>
      <c r="B1126" s="6" t="s">
        <v>5841</v>
      </c>
    </row>
    <row r="1127" ht="12.75" customHeight="1">
      <c r="A1127" s="6" t="s">
        <v>5842</v>
      </c>
      <c r="B1127" s="6" t="s">
        <v>5843</v>
      </c>
    </row>
    <row r="1128" ht="12.75" customHeight="1">
      <c r="A1128" s="6" t="s">
        <v>5844</v>
      </c>
      <c r="B1128" s="6" t="s">
        <v>5845</v>
      </c>
    </row>
    <row r="1129" ht="12.75" customHeight="1">
      <c r="A1129" s="6" t="s">
        <v>5846</v>
      </c>
      <c r="B1129" s="6" t="s">
        <v>5847</v>
      </c>
    </row>
    <row r="1130" ht="12.75" customHeight="1">
      <c r="A1130" s="6" t="s">
        <v>5848</v>
      </c>
      <c r="B1130" s="6" t="s">
        <v>5849</v>
      </c>
    </row>
    <row r="1131" ht="12.75" customHeight="1">
      <c r="A1131" s="6" t="s">
        <v>5850</v>
      </c>
      <c r="B1131" s="6" t="s">
        <v>5851</v>
      </c>
    </row>
    <row r="1132" ht="12.75" customHeight="1">
      <c r="A1132" s="6" t="s">
        <v>5852</v>
      </c>
      <c r="B1132" s="6" t="s">
        <v>5853</v>
      </c>
    </row>
    <row r="1133" ht="12.75" customHeight="1">
      <c r="A1133" s="6" t="s">
        <v>5854</v>
      </c>
      <c r="B1133" s="6" t="s">
        <v>5855</v>
      </c>
    </row>
    <row r="1134" ht="12.75" customHeight="1">
      <c r="A1134" s="6" t="s">
        <v>5856</v>
      </c>
      <c r="B1134" s="6" t="s">
        <v>5857</v>
      </c>
    </row>
    <row r="1135" ht="12.75" customHeight="1">
      <c r="A1135" s="6" t="s">
        <v>5858</v>
      </c>
      <c r="B1135" s="6" t="s">
        <v>5859</v>
      </c>
    </row>
    <row r="1136" ht="12.75" customHeight="1">
      <c r="A1136" s="6" t="s">
        <v>5860</v>
      </c>
      <c r="B1136" s="6" t="s">
        <v>5861</v>
      </c>
    </row>
    <row r="1137" ht="12.75" customHeight="1">
      <c r="A1137" s="6" t="s">
        <v>5862</v>
      </c>
      <c r="B1137" s="6" t="s">
        <v>5863</v>
      </c>
    </row>
    <row r="1138" ht="12.75" customHeight="1">
      <c r="A1138" s="6" t="s">
        <v>5864</v>
      </c>
      <c r="B1138" s="6" t="s">
        <v>5865</v>
      </c>
    </row>
    <row r="1139" ht="12.75" customHeight="1">
      <c r="A1139" s="6" t="s">
        <v>5866</v>
      </c>
      <c r="B1139" s="6" t="s">
        <v>5867</v>
      </c>
    </row>
    <row r="1140" ht="12.75" customHeight="1">
      <c r="A1140" s="6" t="s">
        <v>5868</v>
      </c>
      <c r="B1140" s="6" t="s">
        <v>5869</v>
      </c>
    </row>
    <row r="1141" ht="12.75" customHeight="1">
      <c r="A1141" s="6" t="s">
        <v>5870</v>
      </c>
      <c r="B1141" s="6" t="s">
        <v>2775</v>
      </c>
    </row>
    <row r="1142" ht="12.75" customHeight="1">
      <c r="A1142" s="6" t="s">
        <v>5871</v>
      </c>
      <c r="B1142" s="6" t="s">
        <v>646</v>
      </c>
    </row>
    <row r="1143" ht="12.75" customHeight="1">
      <c r="A1143" s="6" t="s">
        <v>5872</v>
      </c>
      <c r="B1143" s="6" t="s">
        <v>5873</v>
      </c>
    </row>
    <row r="1144" ht="12.75" customHeight="1">
      <c r="A1144" s="6" t="s">
        <v>5874</v>
      </c>
      <c r="B1144" s="6" t="s">
        <v>5875</v>
      </c>
    </row>
    <row r="1145" ht="12.75" customHeight="1">
      <c r="A1145" s="6" t="s">
        <v>5876</v>
      </c>
      <c r="B1145" s="6" t="s">
        <v>5877</v>
      </c>
    </row>
    <row r="1146" ht="12.75" customHeight="1">
      <c r="A1146" s="6" t="s">
        <v>5878</v>
      </c>
      <c r="B1146" s="6" t="s">
        <v>5879</v>
      </c>
    </row>
    <row r="1147" ht="12.75" customHeight="1">
      <c r="A1147" s="6" t="s">
        <v>5880</v>
      </c>
    </row>
    <row r="1148" ht="12.75" customHeight="1">
      <c r="A1148" s="6" t="s">
        <v>5881</v>
      </c>
      <c r="B1148" s="6" t="s">
        <v>5882</v>
      </c>
    </row>
    <row r="1149" ht="12.75" customHeight="1">
      <c r="A1149" s="6" t="s">
        <v>5883</v>
      </c>
      <c r="B1149" s="6" t="s">
        <v>5884</v>
      </c>
    </row>
    <row r="1150" ht="12.75" customHeight="1">
      <c r="A1150" s="6" t="s">
        <v>5885</v>
      </c>
      <c r="B1150" s="6" t="s">
        <v>5886</v>
      </c>
    </row>
    <row r="1151" ht="12.75" customHeight="1">
      <c r="A1151" s="6" t="s">
        <v>5887</v>
      </c>
      <c r="B1151" s="6" t="s">
        <v>5888</v>
      </c>
    </row>
    <row r="1152" ht="12.75" customHeight="1">
      <c r="A1152" s="6" t="s">
        <v>5889</v>
      </c>
      <c r="B1152" s="6" t="s">
        <v>5890</v>
      </c>
    </row>
    <row r="1153" ht="12.75" customHeight="1">
      <c r="A1153" s="6" t="s">
        <v>5891</v>
      </c>
      <c r="B1153" s="6" t="s">
        <v>5892</v>
      </c>
    </row>
    <row r="1154" ht="12.75" customHeight="1">
      <c r="A1154" s="6" t="s">
        <v>5893</v>
      </c>
      <c r="B1154" s="6" t="s">
        <v>5894</v>
      </c>
    </row>
    <row r="1155" ht="12.75" customHeight="1">
      <c r="A1155" s="6" t="s">
        <v>5895</v>
      </c>
      <c r="B1155" s="6" t="s">
        <v>5896</v>
      </c>
    </row>
    <row r="1156" ht="12.75" customHeight="1">
      <c r="A1156" s="6" t="s">
        <v>5897</v>
      </c>
      <c r="B1156" s="6" t="s">
        <v>1510</v>
      </c>
    </row>
    <row r="1157" ht="12.75" customHeight="1">
      <c r="A1157" s="6" t="s">
        <v>5898</v>
      </c>
      <c r="B1157" s="6" t="s">
        <v>764</v>
      </c>
    </row>
    <row r="1158" ht="12.75" customHeight="1">
      <c r="A1158" s="6" t="s">
        <v>5899</v>
      </c>
      <c r="B1158" s="6" t="s">
        <v>357</v>
      </c>
    </row>
    <row r="1159" ht="12.75" customHeight="1">
      <c r="A1159" s="6" t="s">
        <v>5900</v>
      </c>
      <c r="B1159" s="6" t="s">
        <v>2048</v>
      </c>
    </row>
    <row r="1160" ht="12.75" customHeight="1">
      <c r="A1160" s="6" t="s">
        <v>5901</v>
      </c>
      <c r="B1160" s="6" t="s">
        <v>2057</v>
      </c>
    </row>
    <row r="1161" ht="12.75" customHeight="1">
      <c r="A1161" s="6" t="s">
        <v>5902</v>
      </c>
      <c r="B1161" s="6" t="s">
        <v>3049</v>
      </c>
    </row>
    <row r="1162" ht="12.75" customHeight="1">
      <c r="A1162" s="6" t="s">
        <v>5903</v>
      </c>
      <c r="B1162" s="6" t="s">
        <v>5904</v>
      </c>
    </row>
    <row r="1163" ht="12.75" customHeight="1">
      <c r="A1163" s="6" t="s">
        <v>5905</v>
      </c>
      <c r="B1163" s="6" t="s">
        <v>2827</v>
      </c>
    </row>
    <row r="1164" ht="12.75" customHeight="1">
      <c r="A1164" s="6" t="s">
        <v>5906</v>
      </c>
      <c r="B1164" s="6" t="s">
        <v>5907</v>
      </c>
    </row>
    <row r="1165" ht="12.75" customHeight="1">
      <c r="A1165" s="6" t="s">
        <v>5908</v>
      </c>
      <c r="B1165" s="6" t="s">
        <v>688</v>
      </c>
    </row>
    <row r="1166" ht="12.75" customHeight="1">
      <c r="A1166" s="6" t="s">
        <v>5909</v>
      </c>
      <c r="B1166" s="6" t="s">
        <v>1137</v>
      </c>
    </row>
    <row r="1167" ht="12.75" customHeight="1">
      <c r="A1167" s="6" t="s">
        <v>5910</v>
      </c>
      <c r="B1167" s="6" t="s">
        <v>2277</v>
      </c>
    </row>
    <row r="1168" ht="12.75" customHeight="1">
      <c r="A1168" s="6" t="s">
        <v>5911</v>
      </c>
      <c r="B1168" s="6" t="s">
        <v>5912</v>
      </c>
    </row>
    <row r="1169" ht="12.75" customHeight="1">
      <c r="A1169" s="6" t="s">
        <v>5913</v>
      </c>
      <c r="B1169" s="6" t="s">
        <v>5914</v>
      </c>
    </row>
    <row r="1170" ht="12.75" customHeight="1">
      <c r="A1170" s="6" t="s">
        <v>5915</v>
      </c>
      <c r="B1170" s="6" t="s">
        <v>5916</v>
      </c>
    </row>
    <row r="1171" ht="12.75" customHeight="1">
      <c r="A1171" s="6" t="s">
        <v>5917</v>
      </c>
      <c r="B1171" s="6" t="s">
        <v>2384</v>
      </c>
    </row>
    <row r="1172" ht="12.75" customHeight="1">
      <c r="A1172" s="6" t="s">
        <v>5918</v>
      </c>
      <c r="B1172" s="6" t="s">
        <v>5919</v>
      </c>
    </row>
    <row r="1173" ht="12.75" customHeight="1">
      <c r="A1173" s="6" t="s">
        <v>5920</v>
      </c>
    </row>
    <row r="1174" ht="12.75" customHeight="1">
      <c r="A1174" s="6" t="s">
        <v>5921</v>
      </c>
      <c r="B1174" s="6" t="s">
        <v>5922</v>
      </c>
    </row>
    <row r="1175" ht="12.75" customHeight="1">
      <c r="A1175" s="6" t="s">
        <v>5923</v>
      </c>
    </row>
    <row r="1176" ht="12.75" customHeight="1">
      <c r="A1176" s="6" t="s">
        <v>5924</v>
      </c>
    </row>
    <row r="1177" ht="12.75" customHeight="1">
      <c r="A1177" s="6" t="s">
        <v>5925</v>
      </c>
      <c r="B1177" s="6" t="s">
        <v>5926</v>
      </c>
    </row>
    <row r="1178" ht="12.75" customHeight="1">
      <c r="A1178" s="6" t="s">
        <v>5927</v>
      </c>
      <c r="B1178" s="6" t="s">
        <v>2512</v>
      </c>
    </row>
    <row r="1179" ht="12.75" customHeight="1">
      <c r="A1179" s="6" t="s">
        <v>5928</v>
      </c>
      <c r="B1179" s="6" t="s">
        <v>5929</v>
      </c>
    </row>
    <row r="1180" ht="12.75" customHeight="1">
      <c r="A1180" s="6" t="s">
        <v>5930</v>
      </c>
      <c r="B1180" s="6" t="s">
        <v>5931</v>
      </c>
    </row>
    <row r="1181" ht="12.75" customHeight="1">
      <c r="A1181" s="6" t="s">
        <v>5932</v>
      </c>
      <c r="B1181" s="6" t="s">
        <v>5933</v>
      </c>
    </row>
    <row r="1182" ht="12.75" customHeight="1">
      <c r="A1182" s="6" t="s">
        <v>5934</v>
      </c>
      <c r="B1182" s="6" t="s">
        <v>5935</v>
      </c>
    </row>
    <row r="1183" ht="12.75" customHeight="1">
      <c r="A1183" s="6" t="s">
        <v>5936</v>
      </c>
      <c r="B1183" s="6" t="s">
        <v>243</v>
      </c>
    </row>
    <row r="1184" ht="12.75" customHeight="1">
      <c r="A1184" s="6" t="s">
        <v>5937</v>
      </c>
      <c r="B1184" s="6" t="s">
        <v>5938</v>
      </c>
    </row>
    <row r="1185" ht="12.75" customHeight="1">
      <c r="A1185" s="6" t="s">
        <v>5939</v>
      </c>
      <c r="B1185" s="6" t="s">
        <v>5940</v>
      </c>
    </row>
    <row r="1186" ht="12.75" customHeight="1">
      <c r="A1186" s="6" t="s">
        <v>5941</v>
      </c>
      <c r="B1186" s="6" t="s">
        <v>950</v>
      </c>
    </row>
    <row r="1187" ht="12.75" customHeight="1">
      <c r="A1187" s="6" t="s">
        <v>5942</v>
      </c>
      <c r="B1187" s="6" t="s">
        <v>5943</v>
      </c>
    </row>
    <row r="1188" ht="12.75" customHeight="1">
      <c r="A1188" s="6" t="s">
        <v>5944</v>
      </c>
      <c r="B1188" s="6" t="s">
        <v>5945</v>
      </c>
    </row>
    <row r="1189" ht="12.75" customHeight="1">
      <c r="A1189" s="6" t="s">
        <v>5946</v>
      </c>
      <c r="B1189" s="6" t="s">
        <v>5947</v>
      </c>
    </row>
    <row r="1190" ht="12.75" customHeight="1">
      <c r="A1190" s="6" t="s">
        <v>5948</v>
      </c>
      <c r="B1190" s="6" t="s">
        <v>5949</v>
      </c>
    </row>
    <row r="1191" ht="12.75" customHeight="1">
      <c r="A1191" s="6" t="s">
        <v>5950</v>
      </c>
      <c r="B1191" s="6" t="s">
        <v>407</v>
      </c>
    </row>
    <row r="1192" ht="12.75" customHeight="1">
      <c r="A1192" s="6" t="s">
        <v>5951</v>
      </c>
      <c r="B1192" s="6" t="s">
        <v>636</v>
      </c>
    </row>
    <row r="1193" ht="12.75" customHeight="1">
      <c r="A1193" s="6" t="s">
        <v>5952</v>
      </c>
      <c r="B1193" s="6" t="s">
        <v>5953</v>
      </c>
    </row>
    <row r="1194" ht="12.75" customHeight="1">
      <c r="A1194" s="6" t="s">
        <v>5954</v>
      </c>
      <c r="B1194" s="6" t="s">
        <v>5955</v>
      </c>
    </row>
    <row r="1195" ht="12.75" customHeight="1">
      <c r="A1195" s="6" t="s">
        <v>5956</v>
      </c>
      <c r="B1195" s="6" t="s">
        <v>5957</v>
      </c>
    </row>
    <row r="1196" ht="12.75" customHeight="1">
      <c r="A1196" s="6" t="s">
        <v>5958</v>
      </c>
      <c r="B1196" s="6" t="s">
        <v>160</v>
      </c>
    </row>
    <row r="1197" ht="12.75" customHeight="1">
      <c r="A1197" s="6" t="s">
        <v>5959</v>
      </c>
      <c r="B1197" s="6" t="s">
        <v>5960</v>
      </c>
    </row>
    <row r="1198" ht="12.75" customHeight="1">
      <c r="A1198" s="6" t="s">
        <v>5961</v>
      </c>
      <c r="B1198" s="6" t="s">
        <v>1517</v>
      </c>
    </row>
    <row r="1199" ht="12.75" customHeight="1">
      <c r="A1199" s="6" t="s">
        <v>5962</v>
      </c>
      <c r="B1199" s="6" t="s">
        <v>5963</v>
      </c>
    </row>
    <row r="1200" ht="12.75" customHeight="1">
      <c r="A1200" s="6" t="s">
        <v>5964</v>
      </c>
      <c r="B1200" s="6" t="s">
        <v>5965</v>
      </c>
    </row>
    <row r="1201" ht="12.75" customHeight="1">
      <c r="A1201" s="6" t="s">
        <v>5966</v>
      </c>
      <c r="B1201" s="6" t="s">
        <v>1021</v>
      </c>
    </row>
    <row r="1202" ht="12.75" customHeight="1">
      <c r="A1202" s="6" t="s">
        <v>5967</v>
      </c>
      <c r="B1202" s="6" t="s">
        <v>5968</v>
      </c>
    </row>
    <row r="1203" ht="12.75" customHeight="1">
      <c r="A1203" s="6" t="s">
        <v>5969</v>
      </c>
      <c r="B1203" s="6" t="s">
        <v>5970</v>
      </c>
    </row>
    <row r="1204" ht="12.75" customHeight="1">
      <c r="A1204" s="6" t="s">
        <v>5971</v>
      </c>
      <c r="B1204" s="6" t="s">
        <v>5972</v>
      </c>
    </row>
    <row r="1205" ht="12.75" customHeight="1">
      <c r="A1205" s="6" t="s">
        <v>5973</v>
      </c>
      <c r="B1205" s="6" t="s">
        <v>2452</v>
      </c>
    </row>
    <row r="1206" ht="12.75" customHeight="1">
      <c r="A1206" s="6" t="s">
        <v>5974</v>
      </c>
      <c r="B1206" s="6" t="s">
        <v>1948</v>
      </c>
    </row>
    <row r="1207" ht="12.75" customHeight="1">
      <c r="A1207" s="6" t="s">
        <v>5975</v>
      </c>
      <c r="B1207" s="6" t="s">
        <v>5976</v>
      </c>
    </row>
    <row r="1208" ht="12.75" customHeight="1">
      <c r="A1208" s="6" t="s">
        <v>5977</v>
      </c>
      <c r="B1208" s="6" t="s">
        <v>5978</v>
      </c>
    </row>
    <row r="1209" ht="12.75" customHeight="1">
      <c r="A1209" s="6" t="s">
        <v>5979</v>
      </c>
      <c r="B1209" s="6" t="s">
        <v>2349</v>
      </c>
    </row>
    <row r="1210" ht="12.75" customHeight="1">
      <c r="A1210" s="6" t="s">
        <v>5980</v>
      </c>
      <c r="B1210" s="6" t="s">
        <v>2530</v>
      </c>
    </row>
    <row r="1211" ht="12.75" customHeight="1">
      <c r="A1211" s="6" t="s">
        <v>5981</v>
      </c>
      <c r="B1211" s="6" t="s">
        <v>2699</v>
      </c>
    </row>
    <row r="1212" ht="12.75" customHeight="1">
      <c r="A1212" s="6" t="s">
        <v>5982</v>
      </c>
      <c r="B1212" s="6" t="s">
        <v>5983</v>
      </c>
    </row>
    <row r="1213" ht="12.75" customHeight="1">
      <c r="A1213" s="6" t="s">
        <v>5984</v>
      </c>
      <c r="B1213" s="6" t="s">
        <v>5985</v>
      </c>
    </row>
    <row r="1214" ht="12.75" customHeight="1">
      <c r="A1214" s="6" t="s">
        <v>5986</v>
      </c>
      <c r="B1214" s="6" t="s">
        <v>5987</v>
      </c>
    </row>
    <row r="1215" ht="12.75" customHeight="1">
      <c r="A1215" s="6" t="s">
        <v>5988</v>
      </c>
      <c r="B1215" s="6" t="s">
        <v>5989</v>
      </c>
    </row>
    <row r="1216" ht="12.75" customHeight="1">
      <c r="A1216" s="6" t="s">
        <v>5990</v>
      </c>
      <c r="B1216" s="6" t="s">
        <v>3413</v>
      </c>
    </row>
    <row r="1217" ht="12.75" customHeight="1">
      <c r="A1217" s="6" t="s">
        <v>5991</v>
      </c>
      <c r="B1217" s="6" t="s">
        <v>953</v>
      </c>
    </row>
    <row r="1218" ht="12.75" customHeight="1">
      <c r="A1218" s="6" t="s">
        <v>5992</v>
      </c>
      <c r="B1218" s="6" t="s">
        <v>459</v>
      </c>
    </row>
    <row r="1219" ht="12.75" customHeight="1">
      <c r="A1219" s="6" t="s">
        <v>5993</v>
      </c>
      <c r="B1219" s="6" t="s">
        <v>5994</v>
      </c>
    </row>
    <row r="1220" ht="12.75" customHeight="1">
      <c r="A1220" s="6" t="s">
        <v>5995</v>
      </c>
      <c r="B1220" s="6" t="s">
        <v>5996</v>
      </c>
    </row>
    <row r="1221" ht="12.75" customHeight="1">
      <c r="A1221" s="6" t="s">
        <v>5997</v>
      </c>
      <c r="B1221" s="6" t="s">
        <v>3370</v>
      </c>
    </row>
    <row r="1222" ht="12.75" customHeight="1">
      <c r="A1222" s="6" t="s">
        <v>5998</v>
      </c>
      <c r="B1222" s="6" t="s">
        <v>5999</v>
      </c>
    </row>
    <row r="1223" ht="12.75" customHeight="1">
      <c r="A1223" s="6" t="s">
        <v>6000</v>
      </c>
      <c r="B1223" s="6" t="s">
        <v>6001</v>
      </c>
    </row>
    <row r="1224" ht="12.75" customHeight="1">
      <c r="A1224" s="6" t="s">
        <v>6002</v>
      </c>
      <c r="B1224" s="6" t="s">
        <v>201</v>
      </c>
    </row>
    <row r="1225" ht="12.75" customHeight="1">
      <c r="A1225" s="6" t="s">
        <v>6003</v>
      </c>
      <c r="B1225" s="6" t="s">
        <v>6004</v>
      </c>
    </row>
    <row r="1226" ht="12.75" customHeight="1">
      <c r="A1226" s="6" t="s">
        <v>6005</v>
      </c>
      <c r="B1226" s="6" t="s">
        <v>3016</v>
      </c>
    </row>
    <row r="1227" ht="12.75" customHeight="1">
      <c r="A1227" s="6" t="s">
        <v>6006</v>
      </c>
      <c r="B1227" s="6" t="s">
        <v>6007</v>
      </c>
    </row>
    <row r="1228" ht="12.75" customHeight="1">
      <c r="A1228" s="6" t="s">
        <v>6008</v>
      </c>
    </row>
    <row r="1229" ht="12.75" customHeight="1">
      <c r="A1229" s="6" t="s">
        <v>6009</v>
      </c>
      <c r="B1229" s="6" t="s">
        <v>6010</v>
      </c>
    </row>
    <row r="1230" ht="12.75" customHeight="1">
      <c r="A1230" s="6" t="s">
        <v>6011</v>
      </c>
      <c r="B1230" s="6" t="s">
        <v>6012</v>
      </c>
    </row>
    <row r="1231" ht="12.75" customHeight="1">
      <c r="A1231" s="6" t="s">
        <v>6013</v>
      </c>
      <c r="B1231" s="6" t="s">
        <v>6014</v>
      </c>
    </row>
    <row r="1232" ht="12.75" customHeight="1">
      <c r="A1232" s="6" t="s">
        <v>6015</v>
      </c>
      <c r="B1232" s="6" t="s">
        <v>6016</v>
      </c>
    </row>
    <row r="1233" ht="12.75" customHeight="1">
      <c r="A1233" s="6" t="s">
        <v>6017</v>
      </c>
      <c r="B1233" s="6" t="s">
        <v>6018</v>
      </c>
    </row>
    <row r="1234" ht="12.75" customHeight="1">
      <c r="A1234" s="6" t="s">
        <v>6019</v>
      </c>
      <c r="B1234" s="6" t="s">
        <v>6020</v>
      </c>
    </row>
    <row r="1235" ht="12.75" customHeight="1">
      <c r="A1235" s="6" t="s">
        <v>6021</v>
      </c>
      <c r="B1235" s="6" t="s">
        <v>403</v>
      </c>
    </row>
    <row r="1236" ht="12.75" customHeight="1">
      <c r="A1236" s="6" t="s">
        <v>6022</v>
      </c>
      <c r="B1236" s="6" t="s">
        <v>6023</v>
      </c>
    </row>
    <row r="1237" ht="12.75" customHeight="1">
      <c r="A1237" s="6" t="s">
        <v>6024</v>
      </c>
      <c r="B1237" s="6" t="s">
        <v>851</v>
      </c>
    </row>
    <row r="1238" ht="12.75" customHeight="1">
      <c r="A1238" s="6" t="s">
        <v>6025</v>
      </c>
      <c r="B1238" s="6" t="s">
        <v>6026</v>
      </c>
    </row>
    <row r="1239" ht="12.75" customHeight="1">
      <c r="A1239" s="6" t="s">
        <v>6027</v>
      </c>
      <c r="B1239" s="6" t="s">
        <v>6028</v>
      </c>
    </row>
    <row r="1240" ht="12.75" customHeight="1">
      <c r="A1240" s="6" t="s">
        <v>6029</v>
      </c>
      <c r="B1240" s="6" t="s">
        <v>6030</v>
      </c>
    </row>
    <row r="1241" ht="12.75" customHeight="1">
      <c r="A1241" s="6" t="s">
        <v>6031</v>
      </c>
      <c r="B1241" s="6" t="s">
        <v>6032</v>
      </c>
    </row>
    <row r="1242" ht="12.75" customHeight="1">
      <c r="A1242" s="6" t="s">
        <v>6033</v>
      </c>
      <c r="B1242" s="6" t="s">
        <v>6034</v>
      </c>
    </row>
    <row r="1243" ht="12.75" customHeight="1">
      <c r="A1243" s="6" t="s">
        <v>6035</v>
      </c>
      <c r="B1243" s="6" t="s">
        <v>6036</v>
      </c>
    </row>
    <row r="1244" ht="12.75" customHeight="1">
      <c r="A1244" s="6" t="s">
        <v>6037</v>
      </c>
      <c r="B1244" s="6" t="s">
        <v>6038</v>
      </c>
    </row>
    <row r="1245" ht="12.75" customHeight="1">
      <c r="A1245" s="6" t="s">
        <v>6039</v>
      </c>
      <c r="B1245" s="6" t="s">
        <v>6040</v>
      </c>
    </row>
    <row r="1246" ht="12.75" customHeight="1">
      <c r="A1246" s="6" t="s">
        <v>6041</v>
      </c>
      <c r="B1246" s="6" t="s">
        <v>6042</v>
      </c>
    </row>
    <row r="1247" ht="12.75" customHeight="1">
      <c r="A1247" s="6" t="s">
        <v>6043</v>
      </c>
      <c r="B1247" s="6" t="s">
        <v>6044</v>
      </c>
    </row>
    <row r="1248" ht="12.75" customHeight="1">
      <c r="A1248" s="6" t="s">
        <v>6045</v>
      </c>
      <c r="B1248" s="6" t="s">
        <v>6046</v>
      </c>
    </row>
    <row r="1249" ht="12.75" customHeight="1">
      <c r="A1249" s="6" t="s">
        <v>6047</v>
      </c>
      <c r="B1249" s="6" t="s">
        <v>6048</v>
      </c>
    </row>
    <row r="1250" ht="12.75" customHeight="1">
      <c r="A1250" s="6" t="s">
        <v>6049</v>
      </c>
      <c r="B1250" s="6" t="s">
        <v>2418</v>
      </c>
    </row>
    <row r="1251" ht="12.75" customHeight="1">
      <c r="A1251" s="6" t="s">
        <v>6050</v>
      </c>
      <c r="B1251" s="6" t="s">
        <v>6051</v>
      </c>
    </row>
    <row r="1252" ht="12.75" customHeight="1">
      <c r="A1252" s="6" t="s">
        <v>6052</v>
      </c>
      <c r="B1252" s="6" t="s">
        <v>6053</v>
      </c>
    </row>
    <row r="1253" ht="12.75" customHeight="1">
      <c r="A1253" s="6" t="s">
        <v>6054</v>
      </c>
      <c r="B1253" s="6" t="s">
        <v>6055</v>
      </c>
    </row>
    <row r="1254" ht="12.75" customHeight="1">
      <c r="A1254" s="6" t="s">
        <v>6056</v>
      </c>
      <c r="B1254" s="6" t="s">
        <v>6057</v>
      </c>
    </row>
    <row r="1255" ht="12.75" customHeight="1">
      <c r="A1255" s="6" t="s">
        <v>6058</v>
      </c>
      <c r="B1255" s="6" t="s">
        <v>6059</v>
      </c>
    </row>
    <row r="1256" ht="12.75" customHeight="1">
      <c r="A1256" s="6" t="s">
        <v>6060</v>
      </c>
      <c r="B1256" s="6" t="s">
        <v>6061</v>
      </c>
    </row>
    <row r="1257" ht="12.75" customHeight="1">
      <c r="A1257" s="6" t="s">
        <v>6062</v>
      </c>
    </row>
    <row r="1258" ht="12.75" customHeight="1">
      <c r="A1258" s="6" t="s">
        <v>6063</v>
      </c>
      <c r="B1258" s="6" t="s">
        <v>6064</v>
      </c>
    </row>
    <row r="1259" ht="12.75" customHeight="1">
      <c r="A1259" s="6" t="s">
        <v>6065</v>
      </c>
      <c r="B1259" s="6" t="s">
        <v>6066</v>
      </c>
    </row>
    <row r="1260" ht="12.75" customHeight="1">
      <c r="A1260" s="6" t="s">
        <v>6067</v>
      </c>
      <c r="B1260" s="6" t="s">
        <v>6068</v>
      </c>
    </row>
    <row r="1261" ht="12.75" customHeight="1">
      <c r="A1261" s="6" t="s">
        <v>6069</v>
      </c>
      <c r="B1261" s="6" t="s">
        <v>6070</v>
      </c>
    </row>
    <row r="1262" ht="12.75" customHeight="1">
      <c r="A1262" s="6" t="s">
        <v>6071</v>
      </c>
      <c r="B1262" s="6" t="s">
        <v>6072</v>
      </c>
    </row>
    <row r="1263" ht="12.75" customHeight="1">
      <c r="A1263" s="6" t="s">
        <v>6073</v>
      </c>
      <c r="B1263" s="6" t="s">
        <v>6074</v>
      </c>
    </row>
    <row r="1264" ht="12.75" customHeight="1">
      <c r="A1264" s="6" t="s">
        <v>6075</v>
      </c>
      <c r="B1264" s="6" t="s">
        <v>6076</v>
      </c>
    </row>
    <row r="1265" ht="12.75" customHeight="1">
      <c r="A1265" s="6" t="s">
        <v>6077</v>
      </c>
      <c r="B1265" s="6" t="s">
        <v>6078</v>
      </c>
    </row>
    <row r="1266" ht="12.75" customHeight="1">
      <c r="A1266" s="6" t="s">
        <v>6079</v>
      </c>
      <c r="B1266" s="6" t="s">
        <v>6080</v>
      </c>
    </row>
    <row r="1267" ht="12.75" customHeight="1">
      <c r="A1267" s="6" t="s">
        <v>6081</v>
      </c>
      <c r="B1267" s="6" t="s">
        <v>6082</v>
      </c>
    </row>
    <row r="1268" ht="12.75" customHeight="1">
      <c r="A1268" s="6" t="s">
        <v>6083</v>
      </c>
      <c r="B1268" s="6" t="s">
        <v>6084</v>
      </c>
    </row>
    <row r="1269" ht="12.75" customHeight="1">
      <c r="A1269" s="6" t="s">
        <v>6085</v>
      </c>
      <c r="B1269" s="6" t="s">
        <v>6086</v>
      </c>
    </row>
    <row r="1270" ht="12.75" customHeight="1">
      <c r="A1270" s="6" t="s">
        <v>6087</v>
      </c>
      <c r="B1270" s="6" t="s">
        <v>3589</v>
      </c>
    </row>
    <row r="1271" ht="12.75" customHeight="1">
      <c r="A1271" s="6" t="s">
        <v>6088</v>
      </c>
      <c r="B1271" s="6" t="s">
        <v>6089</v>
      </c>
    </row>
    <row r="1272" ht="12.75" customHeight="1">
      <c r="A1272" s="6" t="s">
        <v>6090</v>
      </c>
      <c r="B1272" s="6" t="s">
        <v>6091</v>
      </c>
    </row>
    <row r="1273" ht="12.75" customHeight="1">
      <c r="A1273" s="6" t="s">
        <v>6092</v>
      </c>
      <c r="B1273" s="6" t="s">
        <v>6093</v>
      </c>
    </row>
    <row r="1274" ht="12.75" customHeight="1">
      <c r="A1274" s="6" t="s">
        <v>6094</v>
      </c>
      <c r="B1274" s="6" t="s">
        <v>6095</v>
      </c>
    </row>
    <row r="1275" ht="12.75" customHeight="1">
      <c r="A1275" s="6" t="s">
        <v>6096</v>
      </c>
      <c r="B1275" s="6" t="s">
        <v>6097</v>
      </c>
    </row>
    <row r="1276" ht="12.75" customHeight="1">
      <c r="A1276" s="6" t="s">
        <v>6098</v>
      </c>
      <c r="B1276" s="6" t="s">
        <v>6099</v>
      </c>
    </row>
    <row r="1277" ht="12.75" customHeight="1">
      <c r="A1277" s="6" t="s">
        <v>6100</v>
      </c>
      <c r="B1277" s="6" t="s">
        <v>6101</v>
      </c>
    </row>
    <row r="1278" ht="12.75" customHeight="1">
      <c r="A1278" s="6" t="s">
        <v>6102</v>
      </c>
      <c r="B1278" s="6" t="s">
        <v>6103</v>
      </c>
    </row>
    <row r="1279" ht="12.75" customHeight="1">
      <c r="A1279" s="6" t="s">
        <v>6104</v>
      </c>
      <c r="B1279" s="6" t="s">
        <v>1431</v>
      </c>
    </row>
    <row r="1280" ht="12.75" customHeight="1">
      <c r="A1280" s="6" t="s">
        <v>6105</v>
      </c>
      <c r="B1280" s="6" t="s">
        <v>6106</v>
      </c>
    </row>
    <row r="1281" ht="12.75" customHeight="1">
      <c r="A1281" s="6" t="s">
        <v>6107</v>
      </c>
      <c r="B1281" s="6" t="s">
        <v>1191</v>
      </c>
    </row>
    <row r="1282" ht="12.75" customHeight="1">
      <c r="A1282" s="6" t="s">
        <v>6108</v>
      </c>
      <c r="B1282" s="6" t="s">
        <v>111</v>
      </c>
    </row>
    <row r="1283" ht="12.75" customHeight="1">
      <c r="A1283" s="6" t="s">
        <v>6109</v>
      </c>
      <c r="B1283" s="6" t="s">
        <v>6110</v>
      </c>
    </row>
    <row r="1284" ht="12.75" customHeight="1">
      <c r="A1284" s="6" t="s">
        <v>6111</v>
      </c>
      <c r="B1284" s="6" t="s">
        <v>6112</v>
      </c>
    </row>
    <row r="1285" ht="12.75" customHeight="1">
      <c r="A1285" s="6" t="s">
        <v>6113</v>
      </c>
      <c r="B1285" s="6" t="s">
        <v>6114</v>
      </c>
    </row>
    <row r="1286" ht="12.75" customHeight="1">
      <c r="A1286" s="6" t="s">
        <v>6115</v>
      </c>
      <c r="B1286" s="6" t="s">
        <v>6116</v>
      </c>
    </row>
    <row r="1287" ht="12.75" customHeight="1">
      <c r="A1287" s="6" t="s">
        <v>6117</v>
      </c>
      <c r="B1287" s="6" t="s">
        <v>6118</v>
      </c>
    </row>
    <row r="1288" ht="12.75" customHeight="1">
      <c r="A1288" s="6" t="s">
        <v>6119</v>
      </c>
      <c r="B1288" s="6" t="s">
        <v>6120</v>
      </c>
    </row>
    <row r="1289" ht="12.75" customHeight="1">
      <c r="A1289" s="6" t="s">
        <v>6121</v>
      </c>
      <c r="B1289" s="6" t="s">
        <v>6122</v>
      </c>
    </row>
    <row r="1290" ht="12.75" customHeight="1">
      <c r="A1290" s="6" t="s">
        <v>6123</v>
      </c>
      <c r="B1290" s="6" t="s">
        <v>6124</v>
      </c>
    </row>
    <row r="1291" ht="12.75" customHeight="1">
      <c r="A1291" s="6" t="s">
        <v>6125</v>
      </c>
      <c r="B1291" s="6" t="s">
        <v>2753</v>
      </c>
    </row>
    <row r="1292" ht="12.75" customHeight="1">
      <c r="A1292" s="6" t="s">
        <v>6126</v>
      </c>
      <c r="B1292" s="6" t="s">
        <v>6127</v>
      </c>
    </row>
    <row r="1293" ht="12.75" customHeight="1">
      <c r="A1293" s="6" t="s">
        <v>6128</v>
      </c>
      <c r="B1293" s="6" t="s">
        <v>6129</v>
      </c>
    </row>
    <row r="1294" ht="12.75" customHeight="1">
      <c r="A1294" s="6" t="s">
        <v>6130</v>
      </c>
      <c r="B1294" s="6" t="s">
        <v>6131</v>
      </c>
    </row>
    <row r="1295" ht="12.75" customHeight="1">
      <c r="A1295" s="6" t="s">
        <v>6132</v>
      </c>
      <c r="B1295" s="6" t="s">
        <v>268</v>
      </c>
    </row>
    <row r="1296" ht="12.75" customHeight="1">
      <c r="A1296" s="6" t="s">
        <v>6133</v>
      </c>
      <c r="B1296" s="6" t="s">
        <v>1148</v>
      </c>
    </row>
    <row r="1297" ht="12.75" customHeight="1">
      <c r="A1297" s="6" t="s">
        <v>6134</v>
      </c>
      <c r="B1297" s="6" t="s">
        <v>6135</v>
      </c>
    </row>
    <row r="1298" ht="12.75" customHeight="1">
      <c r="A1298" s="6" t="s">
        <v>6136</v>
      </c>
      <c r="B1298" s="6" t="s">
        <v>3646</v>
      </c>
    </row>
    <row r="1299" ht="12.75" customHeight="1">
      <c r="A1299" s="6" t="s">
        <v>6137</v>
      </c>
      <c r="B1299" s="6" t="s">
        <v>1014</v>
      </c>
    </row>
    <row r="1300" ht="12.75" customHeight="1">
      <c r="A1300" s="6" t="s">
        <v>6138</v>
      </c>
      <c r="B1300" s="6" t="s">
        <v>567</v>
      </c>
    </row>
    <row r="1301" ht="12.75" customHeight="1">
      <c r="A1301" s="6" t="s">
        <v>6139</v>
      </c>
      <c r="B1301" s="6" t="s">
        <v>6140</v>
      </c>
    </row>
    <row r="1302" ht="12.75" customHeight="1">
      <c r="A1302" s="6" t="s">
        <v>6141</v>
      </c>
      <c r="B1302" s="6" t="s">
        <v>6142</v>
      </c>
    </row>
    <row r="1303" ht="12.75" customHeight="1">
      <c r="A1303" s="6" t="s">
        <v>6143</v>
      </c>
      <c r="B1303" s="6" t="s">
        <v>6144</v>
      </c>
    </row>
    <row r="1304" ht="12.75" customHeight="1">
      <c r="A1304" s="6" t="s">
        <v>6145</v>
      </c>
      <c r="B1304" s="6" t="s">
        <v>6146</v>
      </c>
    </row>
    <row r="1305" ht="12.75" customHeight="1">
      <c r="A1305" s="6" t="s">
        <v>6147</v>
      </c>
      <c r="B1305" s="6" t="s">
        <v>6148</v>
      </c>
    </row>
    <row r="1306" ht="12.75" customHeight="1">
      <c r="A1306" s="6" t="s">
        <v>6149</v>
      </c>
      <c r="B1306" s="6" t="s">
        <v>6150</v>
      </c>
    </row>
    <row r="1307" ht="12.75" customHeight="1">
      <c r="A1307" s="6" t="s">
        <v>6151</v>
      </c>
      <c r="B1307" s="6" t="s">
        <v>6152</v>
      </c>
    </row>
    <row r="1308" ht="12.75" customHeight="1">
      <c r="A1308" s="6" t="s">
        <v>6153</v>
      </c>
      <c r="B1308" s="6" t="s">
        <v>6154</v>
      </c>
    </row>
    <row r="1309" ht="12.75" customHeight="1">
      <c r="A1309" s="6" t="s">
        <v>6155</v>
      </c>
      <c r="B1309" s="6" t="s">
        <v>6156</v>
      </c>
    </row>
    <row r="1310" ht="12.75" customHeight="1">
      <c r="A1310" s="6" t="s">
        <v>6157</v>
      </c>
      <c r="B1310" s="6" t="s">
        <v>6158</v>
      </c>
    </row>
    <row r="1311" ht="12.75" customHeight="1">
      <c r="A1311" s="6" t="s">
        <v>6159</v>
      </c>
      <c r="B1311" s="6" t="s">
        <v>6160</v>
      </c>
    </row>
    <row r="1312" ht="12.75" customHeight="1">
      <c r="A1312" s="6" t="s">
        <v>6161</v>
      </c>
      <c r="B1312" s="6" t="s">
        <v>6162</v>
      </c>
    </row>
    <row r="1313" ht="12.75" customHeight="1">
      <c r="A1313" s="6" t="s">
        <v>6163</v>
      </c>
      <c r="B1313" s="6" t="s">
        <v>6164</v>
      </c>
    </row>
    <row r="1314" ht="12.75" customHeight="1">
      <c r="A1314" s="6" t="s">
        <v>6165</v>
      </c>
    </row>
    <row r="1315" ht="12.75" customHeight="1">
      <c r="A1315" s="6" t="s">
        <v>6166</v>
      </c>
      <c r="B1315" s="6" t="s">
        <v>6167</v>
      </c>
    </row>
    <row r="1316" ht="12.75" customHeight="1">
      <c r="A1316" s="6" t="s">
        <v>6168</v>
      </c>
      <c r="B1316" s="6" t="s">
        <v>6169</v>
      </c>
    </row>
    <row r="1317" ht="12.75" customHeight="1">
      <c r="A1317" s="6" t="s">
        <v>6170</v>
      </c>
      <c r="B1317" s="6" t="s">
        <v>6171</v>
      </c>
    </row>
    <row r="1318" ht="12.75" customHeight="1">
      <c r="A1318" s="6" t="s">
        <v>6172</v>
      </c>
      <c r="B1318" s="6" t="s">
        <v>6173</v>
      </c>
    </row>
    <row r="1319" ht="12.75" customHeight="1">
      <c r="A1319" s="6" t="s">
        <v>6174</v>
      </c>
      <c r="B1319" s="6" t="s">
        <v>6175</v>
      </c>
    </row>
    <row r="1320" ht="12.75" customHeight="1">
      <c r="A1320" s="6" t="s">
        <v>6176</v>
      </c>
      <c r="B1320" s="6" t="s">
        <v>6177</v>
      </c>
    </row>
    <row r="1321" ht="12.75" customHeight="1">
      <c r="A1321" s="6" t="s">
        <v>6178</v>
      </c>
      <c r="B1321" s="6" t="s">
        <v>6179</v>
      </c>
    </row>
    <row r="1322" ht="12.75" customHeight="1">
      <c r="A1322" s="6" t="s">
        <v>6180</v>
      </c>
      <c r="B1322" s="6" t="s">
        <v>6181</v>
      </c>
    </row>
    <row r="1323" ht="12.75" customHeight="1">
      <c r="A1323" s="6" t="s">
        <v>6182</v>
      </c>
      <c r="B1323" s="6" t="s">
        <v>6183</v>
      </c>
    </row>
    <row r="1324" ht="12.75" customHeight="1">
      <c r="A1324" s="6" t="s">
        <v>6184</v>
      </c>
      <c r="B1324" s="6" t="s">
        <v>6185</v>
      </c>
    </row>
    <row r="1325" ht="12.75" customHeight="1">
      <c r="A1325" s="6" t="s">
        <v>6186</v>
      </c>
      <c r="B1325" s="6" t="s">
        <v>6187</v>
      </c>
    </row>
    <row r="1326" ht="12.75" customHeight="1">
      <c r="A1326" s="6" t="s">
        <v>6188</v>
      </c>
      <c r="B1326" s="6" t="s">
        <v>6189</v>
      </c>
    </row>
    <row r="1327" ht="12.75" customHeight="1">
      <c r="A1327" s="6" t="s">
        <v>6190</v>
      </c>
      <c r="B1327" s="6" t="s">
        <v>6191</v>
      </c>
    </row>
    <row r="1328" ht="12.75" customHeight="1">
      <c r="A1328" s="6" t="s">
        <v>6192</v>
      </c>
      <c r="B1328" s="6" t="s">
        <v>6193</v>
      </c>
    </row>
    <row r="1329" ht="12.75" customHeight="1">
      <c r="A1329" s="6" t="s">
        <v>6194</v>
      </c>
      <c r="B1329" s="6" t="s">
        <v>3007</v>
      </c>
    </row>
    <row r="1330" ht="12.75" customHeight="1">
      <c r="A1330" s="6" t="s">
        <v>6195</v>
      </c>
      <c r="B1330" s="6" t="s">
        <v>6196</v>
      </c>
    </row>
    <row r="1331" ht="12.75" customHeight="1">
      <c r="A1331" s="6" t="s">
        <v>6197</v>
      </c>
      <c r="B1331" s="6" t="s">
        <v>6198</v>
      </c>
    </row>
    <row r="1332" ht="12.75" customHeight="1">
      <c r="A1332" s="6" t="s">
        <v>6199</v>
      </c>
      <c r="B1332" s="6" t="s">
        <v>6200</v>
      </c>
    </row>
    <row r="1333" ht="12.75" customHeight="1">
      <c r="A1333" s="6" t="s">
        <v>6201</v>
      </c>
      <c r="B1333" s="6" t="s">
        <v>6202</v>
      </c>
    </row>
    <row r="1334" ht="12.75" customHeight="1">
      <c r="A1334" s="6" t="s">
        <v>6203</v>
      </c>
      <c r="B1334" s="6" t="s">
        <v>6204</v>
      </c>
    </row>
    <row r="1335" ht="12.75" customHeight="1">
      <c r="A1335" s="6" t="s">
        <v>6205</v>
      </c>
      <c r="B1335" s="6" t="s">
        <v>6206</v>
      </c>
    </row>
    <row r="1336" ht="12.75" customHeight="1">
      <c r="A1336" s="6" t="s">
        <v>6207</v>
      </c>
      <c r="B1336" s="6" t="s">
        <v>6208</v>
      </c>
    </row>
    <row r="1337" ht="12.75" customHeight="1">
      <c r="A1337" s="6" t="s">
        <v>6209</v>
      </c>
      <c r="B1337" s="6" t="s">
        <v>6210</v>
      </c>
    </row>
    <row r="1338" ht="12.75" customHeight="1">
      <c r="A1338" s="6" t="s">
        <v>6211</v>
      </c>
      <c r="B1338" s="6" t="s">
        <v>6212</v>
      </c>
    </row>
    <row r="1339" ht="12.75" customHeight="1">
      <c r="A1339" s="6" t="s">
        <v>6213</v>
      </c>
      <c r="B1339" s="6" t="s">
        <v>6214</v>
      </c>
    </row>
    <row r="1340" ht="12.75" customHeight="1">
      <c r="A1340" s="6" t="s">
        <v>6215</v>
      </c>
      <c r="B1340" s="6" t="s">
        <v>6216</v>
      </c>
    </row>
    <row r="1341" ht="12.75" customHeight="1">
      <c r="A1341" s="6" t="s">
        <v>6217</v>
      </c>
      <c r="B1341" s="6" t="s">
        <v>6218</v>
      </c>
    </row>
    <row r="1342" ht="12.75" customHeight="1">
      <c r="A1342" s="6" t="s">
        <v>6219</v>
      </c>
      <c r="B1342" s="6" t="s">
        <v>6220</v>
      </c>
    </row>
    <row r="1343" ht="12.75" customHeight="1">
      <c r="A1343" s="6" t="s">
        <v>6221</v>
      </c>
      <c r="B1343" s="6" t="s">
        <v>6222</v>
      </c>
    </row>
    <row r="1344" ht="12.75" customHeight="1">
      <c r="A1344" s="6" t="s">
        <v>6223</v>
      </c>
      <c r="B1344" s="6" t="s">
        <v>6224</v>
      </c>
    </row>
    <row r="1345" ht="12.75" customHeight="1">
      <c r="A1345" s="6" t="s">
        <v>6225</v>
      </c>
      <c r="B1345" s="6" t="s">
        <v>6226</v>
      </c>
    </row>
    <row r="1346" ht="12.75" customHeight="1">
      <c r="A1346" s="6" t="s">
        <v>6227</v>
      </c>
      <c r="B1346" s="6" t="s">
        <v>6228</v>
      </c>
    </row>
    <row r="1347" ht="12.75" customHeight="1">
      <c r="A1347" s="6" t="s">
        <v>6229</v>
      </c>
      <c r="B1347" s="6" t="s">
        <v>6230</v>
      </c>
    </row>
    <row r="1348" ht="12.75" customHeight="1">
      <c r="A1348" s="6" t="s">
        <v>6231</v>
      </c>
      <c r="B1348" s="6" t="s">
        <v>86</v>
      </c>
    </row>
    <row r="1349" ht="12.75" customHeight="1">
      <c r="A1349" s="6" t="s">
        <v>6232</v>
      </c>
      <c r="B1349" s="6" t="s">
        <v>6233</v>
      </c>
    </row>
    <row r="1350" ht="12.75" customHeight="1">
      <c r="A1350" s="6" t="s">
        <v>6234</v>
      </c>
      <c r="B1350" s="6" t="s">
        <v>6235</v>
      </c>
    </row>
    <row r="1351" ht="12.75" customHeight="1">
      <c r="A1351" s="6" t="s">
        <v>6236</v>
      </c>
      <c r="B1351" s="6" t="s">
        <v>2761</v>
      </c>
    </row>
    <row r="1352" ht="12.75" customHeight="1">
      <c r="A1352" s="6" t="s">
        <v>6237</v>
      </c>
      <c r="B1352" s="6" t="s">
        <v>6238</v>
      </c>
    </row>
    <row r="1353" ht="12.75" customHeight="1">
      <c r="A1353" s="6" t="s">
        <v>6239</v>
      </c>
      <c r="B1353" s="6" t="s">
        <v>6240</v>
      </c>
    </row>
    <row r="1354" ht="12.75" customHeight="1">
      <c r="A1354" s="6" t="s">
        <v>6241</v>
      </c>
    </row>
    <row r="1355" ht="12.75" customHeight="1">
      <c r="A1355" s="6" t="s">
        <v>6242</v>
      </c>
      <c r="B1355" s="6" t="s">
        <v>6243</v>
      </c>
    </row>
    <row r="1356" ht="12.75" customHeight="1">
      <c r="A1356" s="6" t="s">
        <v>6244</v>
      </c>
      <c r="B1356" s="6" t="s">
        <v>6245</v>
      </c>
    </row>
    <row r="1357" ht="12.75" customHeight="1">
      <c r="A1357" s="6" t="s">
        <v>6246</v>
      </c>
      <c r="B1357" s="6" t="s">
        <v>6247</v>
      </c>
    </row>
    <row r="1358" ht="12.75" customHeight="1">
      <c r="A1358" s="6" t="s">
        <v>6248</v>
      </c>
      <c r="B1358" s="6" t="s">
        <v>1679</v>
      </c>
    </row>
    <row r="1359" ht="12.75" customHeight="1">
      <c r="A1359" s="6" t="s">
        <v>6249</v>
      </c>
      <c r="B1359" s="6" t="s">
        <v>6250</v>
      </c>
    </row>
    <row r="1360" ht="12.75" customHeight="1">
      <c r="A1360" s="6" t="s">
        <v>6251</v>
      </c>
      <c r="B1360" s="6" t="s">
        <v>6252</v>
      </c>
    </row>
    <row r="1361" ht="12.75" customHeight="1">
      <c r="A1361" s="6" t="s">
        <v>6253</v>
      </c>
      <c r="B1361" s="6" t="s">
        <v>6254</v>
      </c>
    </row>
    <row r="1362" ht="12.75" customHeight="1">
      <c r="A1362" s="6" t="s">
        <v>6255</v>
      </c>
      <c r="B1362" s="6" t="s">
        <v>6256</v>
      </c>
    </row>
    <row r="1363" ht="12.75" customHeight="1">
      <c r="A1363" s="6" t="s">
        <v>6257</v>
      </c>
      <c r="B1363" s="6" t="s">
        <v>6258</v>
      </c>
    </row>
    <row r="1364" ht="12.75" customHeight="1">
      <c r="A1364" s="6" t="s">
        <v>6259</v>
      </c>
      <c r="B1364" s="6" t="s">
        <v>6260</v>
      </c>
    </row>
    <row r="1365" ht="12.75" customHeight="1">
      <c r="A1365" s="6" t="s">
        <v>6261</v>
      </c>
      <c r="B1365" s="6" t="s">
        <v>6262</v>
      </c>
    </row>
    <row r="1366" ht="12.75" customHeight="1">
      <c r="A1366" s="6" t="s">
        <v>6263</v>
      </c>
      <c r="B1366" s="6" t="s">
        <v>6264</v>
      </c>
    </row>
    <row r="1367" ht="12.75" customHeight="1">
      <c r="A1367" s="6" t="s">
        <v>6265</v>
      </c>
      <c r="B1367" s="6" t="s">
        <v>6266</v>
      </c>
    </row>
    <row r="1368" ht="12.75" customHeight="1">
      <c r="A1368" s="6" t="s">
        <v>6267</v>
      </c>
      <c r="B1368" s="6" t="s">
        <v>6268</v>
      </c>
    </row>
    <row r="1369" ht="12.75" customHeight="1">
      <c r="A1369" s="6" t="s">
        <v>6269</v>
      </c>
      <c r="B1369" s="6" t="s">
        <v>6270</v>
      </c>
    </row>
    <row r="1370" ht="12.75" customHeight="1">
      <c r="A1370" s="6" t="s">
        <v>6271</v>
      </c>
      <c r="B1370" s="6" t="s">
        <v>6272</v>
      </c>
    </row>
    <row r="1371" ht="12.75" customHeight="1">
      <c r="A1371" s="6" t="s">
        <v>6273</v>
      </c>
      <c r="B1371" s="6" t="s">
        <v>6272</v>
      </c>
    </row>
    <row r="1372" ht="12.75" customHeight="1">
      <c r="A1372" s="6" t="s">
        <v>6274</v>
      </c>
      <c r="B1372" s="6" t="s">
        <v>6275</v>
      </c>
    </row>
    <row r="1373" ht="12.75" customHeight="1">
      <c r="A1373" s="6" t="s">
        <v>6276</v>
      </c>
      <c r="B1373" s="6" t="s">
        <v>6277</v>
      </c>
    </row>
    <row r="1374" ht="12.75" customHeight="1">
      <c r="A1374" s="6" t="s">
        <v>6278</v>
      </c>
      <c r="B1374" s="6" t="s">
        <v>6279</v>
      </c>
    </row>
    <row r="1375" ht="12.75" customHeight="1">
      <c r="A1375" s="6" t="s">
        <v>6280</v>
      </c>
      <c r="B1375" s="6" t="s">
        <v>6281</v>
      </c>
    </row>
    <row r="1376" ht="12.75" customHeight="1">
      <c r="A1376" s="6" t="s">
        <v>6282</v>
      </c>
      <c r="B1376" s="6" t="s">
        <v>6283</v>
      </c>
    </row>
    <row r="1377" ht="12.75" customHeight="1">
      <c r="A1377" s="6" t="s">
        <v>6284</v>
      </c>
      <c r="B1377" s="6" t="s">
        <v>6285</v>
      </c>
    </row>
    <row r="1378" ht="12.75" customHeight="1">
      <c r="A1378" s="6" t="s">
        <v>6286</v>
      </c>
      <c r="B1378" s="6" t="s">
        <v>6287</v>
      </c>
    </row>
    <row r="1379" ht="12.75" customHeight="1">
      <c r="A1379" s="6" t="s">
        <v>6288</v>
      </c>
      <c r="B1379" s="6" t="s">
        <v>6289</v>
      </c>
    </row>
    <row r="1380" ht="12.75" customHeight="1">
      <c r="A1380" s="6" t="s">
        <v>6290</v>
      </c>
      <c r="B1380" s="6" t="s">
        <v>6291</v>
      </c>
    </row>
    <row r="1381" ht="12.75" customHeight="1">
      <c r="A1381" s="6" t="s">
        <v>6292</v>
      </c>
      <c r="B1381" s="6" t="s">
        <v>6293</v>
      </c>
    </row>
    <row r="1382" ht="12.75" customHeight="1">
      <c r="A1382" s="6" t="s">
        <v>6294</v>
      </c>
      <c r="B1382" s="6" t="s">
        <v>6295</v>
      </c>
    </row>
    <row r="1383" ht="12.75" customHeight="1">
      <c r="A1383" s="6" t="s">
        <v>6296</v>
      </c>
      <c r="B1383" s="6" t="s">
        <v>6297</v>
      </c>
    </row>
    <row r="1384" ht="12.75" customHeight="1">
      <c r="A1384" s="6" t="s">
        <v>6298</v>
      </c>
      <c r="B1384" s="6" t="s">
        <v>6299</v>
      </c>
    </row>
    <row r="1385" ht="12.75" customHeight="1">
      <c r="A1385" s="6" t="s">
        <v>6300</v>
      </c>
      <c r="B1385" s="6" t="s">
        <v>6301</v>
      </c>
    </row>
    <row r="1386" ht="12.75" customHeight="1">
      <c r="A1386" s="6" t="s">
        <v>6302</v>
      </c>
      <c r="B1386" s="6" t="s">
        <v>6303</v>
      </c>
    </row>
    <row r="1387" ht="12.75" customHeight="1">
      <c r="A1387" s="6" t="s">
        <v>6304</v>
      </c>
      <c r="B1387" s="6" t="s">
        <v>6305</v>
      </c>
    </row>
    <row r="1388" ht="12.75" customHeight="1">
      <c r="A1388" s="6" t="s">
        <v>6306</v>
      </c>
      <c r="B1388" s="6" t="s">
        <v>785</v>
      </c>
    </row>
    <row r="1389" ht="12.75" customHeight="1">
      <c r="A1389" s="6" t="s">
        <v>6307</v>
      </c>
      <c r="B1389" s="6" t="s">
        <v>6308</v>
      </c>
    </row>
    <row r="1390" ht="12.75" customHeight="1">
      <c r="A1390" s="6" t="s">
        <v>6309</v>
      </c>
      <c r="B1390" s="6" t="s">
        <v>6310</v>
      </c>
    </row>
    <row r="1391" ht="12.75" customHeight="1">
      <c r="A1391" s="6" t="s">
        <v>6311</v>
      </c>
      <c r="B1391" s="6" t="s">
        <v>6312</v>
      </c>
    </row>
    <row r="1392" ht="12.75" customHeight="1">
      <c r="A1392" s="6" t="s">
        <v>6313</v>
      </c>
      <c r="B1392" s="6" t="s">
        <v>6314</v>
      </c>
    </row>
    <row r="1393" ht="12.75" customHeight="1">
      <c r="A1393" s="6" t="s">
        <v>6315</v>
      </c>
      <c r="B1393" s="6" t="s">
        <v>379</v>
      </c>
    </row>
    <row r="1394" ht="12.75" customHeight="1">
      <c r="A1394" s="6" t="s">
        <v>6316</v>
      </c>
      <c r="B1394" s="6" t="s">
        <v>2223</v>
      </c>
    </row>
    <row r="1395" ht="12.75" customHeight="1">
      <c r="A1395" s="6" t="s">
        <v>6317</v>
      </c>
      <c r="B1395" s="6" t="s">
        <v>1619</v>
      </c>
    </row>
    <row r="1396" ht="12.75" customHeight="1">
      <c r="A1396" s="6" t="s">
        <v>6318</v>
      </c>
      <c r="B1396" s="6" t="s">
        <v>3349</v>
      </c>
    </row>
    <row r="1397" ht="12.75" customHeight="1">
      <c r="A1397" s="6" t="s">
        <v>6319</v>
      </c>
      <c r="B1397" s="6" t="s">
        <v>6320</v>
      </c>
    </row>
    <row r="1398" ht="12.75" customHeight="1">
      <c r="A1398" s="6" t="s">
        <v>6321</v>
      </c>
      <c r="B1398" s="6" t="s">
        <v>1953</v>
      </c>
    </row>
    <row r="1399" ht="12.75" customHeight="1">
      <c r="A1399" s="6" t="s">
        <v>6322</v>
      </c>
      <c r="B1399" s="6" t="s">
        <v>6323</v>
      </c>
    </row>
    <row r="1400" ht="12.75" customHeight="1">
      <c r="A1400" s="6" t="s">
        <v>6324</v>
      </c>
      <c r="B1400" s="6" t="s">
        <v>3166</v>
      </c>
    </row>
    <row r="1401" ht="12.75" customHeight="1">
      <c r="A1401" s="6" t="s">
        <v>6325</v>
      </c>
      <c r="B1401" s="6" t="s">
        <v>6326</v>
      </c>
    </row>
    <row r="1402" ht="12.75" customHeight="1">
      <c r="A1402" s="6" t="s">
        <v>6327</v>
      </c>
      <c r="B1402" s="6" t="s">
        <v>6328</v>
      </c>
    </row>
    <row r="1403" ht="12.75" customHeight="1">
      <c r="A1403" s="6" t="s">
        <v>6329</v>
      </c>
      <c r="B1403" s="6" t="s">
        <v>6330</v>
      </c>
    </row>
    <row r="1404" ht="12.75" customHeight="1">
      <c r="A1404" s="6" t="s">
        <v>6331</v>
      </c>
      <c r="B1404" s="6" t="s">
        <v>6332</v>
      </c>
    </row>
    <row r="1405" ht="12.75" customHeight="1">
      <c r="A1405" s="6" t="s">
        <v>6333</v>
      </c>
      <c r="B1405" s="6" t="s">
        <v>6334</v>
      </c>
    </row>
    <row r="1406" ht="12.75" customHeight="1">
      <c r="A1406" s="6" t="s">
        <v>6335</v>
      </c>
      <c r="B1406" s="6" t="s">
        <v>6336</v>
      </c>
    </row>
    <row r="1407" ht="12.75" customHeight="1">
      <c r="A1407" s="6" t="s">
        <v>6337</v>
      </c>
      <c r="B1407" s="6" t="s">
        <v>6338</v>
      </c>
    </row>
    <row r="1408" ht="12.75" customHeight="1">
      <c r="A1408" s="6" t="s">
        <v>6339</v>
      </c>
      <c r="B1408" s="6" t="s">
        <v>6340</v>
      </c>
    </row>
    <row r="1409" ht="12.75" customHeight="1">
      <c r="A1409" s="6" t="s">
        <v>6341</v>
      </c>
      <c r="B1409" s="6" t="s">
        <v>6342</v>
      </c>
    </row>
    <row r="1410" ht="12.75" customHeight="1">
      <c r="A1410" s="6" t="s">
        <v>6343</v>
      </c>
      <c r="B1410" s="6" t="s">
        <v>6344</v>
      </c>
    </row>
    <row r="1411" ht="12.75" customHeight="1">
      <c r="A1411" s="6" t="s">
        <v>6345</v>
      </c>
      <c r="B1411" s="6" t="s">
        <v>6346</v>
      </c>
    </row>
    <row r="1412" ht="12.75" customHeight="1">
      <c r="A1412" s="6" t="s">
        <v>6347</v>
      </c>
      <c r="B1412" s="6" t="s">
        <v>6348</v>
      </c>
    </row>
    <row r="1413" ht="12.75" customHeight="1">
      <c r="A1413" s="6" t="s">
        <v>6349</v>
      </c>
      <c r="B1413" s="6" t="s">
        <v>6350</v>
      </c>
    </row>
    <row r="1414" ht="12.75" customHeight="1">
      <c r="A1414" s="6" t="s">
        <v>6351</v>
      </c>
      <c r="B1414" s="6" t="s">
        <v>396</v>
      </c>
    </row>
    <row r="1415" ht="12.75" customHeight="1">
      <c r="A1415" s="6" t="s">
        <v>6352</v>
      </c>
      <c r="B1415" s="6" t="s">
        <v>6353</v>
      </c>
    </row>
    <row r="1416" ht="12.75" customHeight="1">
      <c r="A1416" s="6" t="s">
        <v>6354</v>
      </c>
      <c r="B1416" s="6" t="s">
        <v>6355</v>
      </c>
    </row>
    <row r="1417" ht="12.75" customHeight="1">
      <c r="A1417" s="6" t="s">
        <v>6356</v>
      </c>
      <c r="B1417" s="6" t="s">
        <v>6357</v>
      </c>
    </row>
    <row r="1418" ht="12.75" customHeight="1">
      <c r="A1418" s="6" t="s">
        <v>6358</v>
      </c>
      <c r="B1418" s="6" t="s">
        <v>6359</v>
      </c>
    </row>
    <row r="1419" ht="12.75" customHeight="1">
      <c r="A1419" s="6" t="s">
        <v>6360</v>
      </c>
      <c r="B1419" s="6" t="s">
        <v>3738</v>
      </c>
    </row>
    <row r="1420" ht="12.75" customHeight="1">
      <c r="A1420" s="6" t="s">
        <v>6361</v>
      </c>
      <c r="B1420" s="6" t="s">
        <v>6362</v>
      </c>
    </row>
    <row r="1421" ht="12.75" customHeight="1">
      <c r="A1421" s="6" t="s">
        <v>6363</v>
      </c>
      <c r="B1421" s="6" t="s">
        <v>6364</v>
      </c>
    </row>
    <row r="1422" ht="12.75" customHeight="1">
      <c r="A1422" s="6" t="s">
        <v>6365</v>
      </c>
      <c r="B1422" s="6" t="s">
        <v>6366</v>
      </c>
    </row>
    <row r="1423" ht="12.75" customHeight="1">
      <c r="A1423" s="6" t="s">
        <v>6367</v>
      </c>
      <c r="B1423" s="6" t="s">
        <v>6368</v>
      </c>
    </row>
    <row r="1424" ht="12.75" customHeight="1">
      <c r="A1424" s="6" t="s">
        <v>6369</v>
      </c>
      <c r="B1424" s="6" t="s">
        <v>6370</v>
      </c>
    </row>
    <row r="1425" ht="12.75" customHeight="1">
      <c r="A1425" s="6" t="s">
        <v>6371</v>
      </c>
      <c r="B1425" s="6" t="s">
        <v>6372</v>
      </c>
    </row>
    <row r="1426" ht="12.75" customHeight="1">
      <c r="A1426" s="6" t="s">
        <v>6373</v>
      </c>
      <c r="B1426" s="6" t="s">
        <v>6374</v>
      </c>
    </row>
    <row r="1427" ht="12.75" customHeight="1">
      <c r="A1427" s="6" t="s">
        <v>6375</v>
      </c>
      <c r="B1427" s="6" t="s">
        <v>6376</v>
      </c>
    </row>
    <row r="1428" ht="12.75" customHeight="1">
      <c r="A1428" s="6" t="s">
        <v>6377</v>
      </c>
      <c r="B1428" s="6" t="s">
        <v>6378</v>
      </c>
    </row>
    <row r="1429" ht="12.75" customHeight="1">
      <c r="A1429" s="6" t="s">
        <v>6379</v>
      </c>
      <c r="B1429" s="6" t="s">
        <v>6380</v>
      </c>
    </row>
    <row r="1430" ht="12.75" customHeight="1">
      <c r="A1430" s="6" t="s">
        <v>6381</v>
      </c>
      <c r="B1430" s="6" t="s">
        <v>6382</v>
      </c>
    </row>
    <row r="1431" ht="12.75" customHeight="1">
      <c r="A1431" s="6" t="s">
        <v>6383</v>
      </c>
      <c r="B1431" s="6" t="s">
        <v>6384</v>
      </c>
    </row>
    <row r="1432" ht="12.75" customHeight="1">
      <c r="A1432" s="6" t="s">
        <v>6385</v>
      </c>
      <c r="B1432" s="6" t="s">
        <v>6386</v>
      </c>
    </row>
    <row r="1433" ht="12.75" customHeight="1">
      <c r="A1433" s="6" t="s">
        <v>6387</v>
      </c>
      <c r="B1433" s="6" t="s">
        <v>6388</v>
      </c>
    </row>
    <row r="1434" ht="12.75" customHeight="1">
      <c r="A1434" s="6" t="s">
        <v>6389</v>
      </c>
      <c r="B1434" s="6" t="s">
        <v>6390</v>
      </c>
    </row>
    <row r="1435" ht="12.75" customHeight="1">
      <c r="A1435" s="6" t="s">
        <v>6391</v>
      </c>
      <c r="B1435" s="6" t="s">
        <v>6392</v>
      </c>
    </row>
    <row r="1436" ht="12.75" customHeight="1">
      <c r="A1436" s="6" t="s">
        <v>6393</v>
      </c>
      <c r="B1436" s="6" t="s">
        <v>6394</v>
      </c>
    </row>
    <row r="1437" ht="12.75" customHeight="1">
      <c r="A1437" s="6" t="s">
        <v>6395</v>
      </c>
      <c r="B1437" s="6" t="s">
        <v>6396</v>
      </c>
    </row>
    <row r="1438" ht="12.75" customHeight="1">
      <c r="A1438" s="6" t="s">
        <v>6397</v>
      </c>
      <c r="B1438" s="6" t="s">
        <v>6398</v>
      </c>
    </row>
    <row r="1439" ht="12.75" customHeight="1">
      <c r="A1439" s="6" t="s">
        <v>6399</v>
      </c>
      <c r="B1439" s="6" t="s">
        <v>6400</v>
      </c>
    </row>
    <row r="1440" ht="12.75" customHeight="1">
      <c r="A1440" s="6" t="s">
        <v>6401</v>
      </c>
      <c r="B1440" s="6" t="s">
        <v>6402</v>
      </c>
    </row>
    <row r="1441" ht="12.75" customHeight="1">
      <c r="A1441" s="6" t="s">
        <v>6403</v>
      </c>
      <c r="B1441" s="6" t="s">
        <v>6404</v>
      </c>
    </row>
    <row r="1442" ht="12.75" customHeight="1">
      <c r="A1442" s="6" t="s">
        <v>6405</v>
      </c>
      <c r="B1442" s="6" t="s">
        <v>6406</v>
      </c>
    </row>
    <row r="1443" ht="12.75" customHeight="1">
      <c r="A1443" s="6" t="s">
        <v>6407</v>
      </c>
      <c r="B1443" s="6" t="s">
        <v>6408</v>
      </c>
    </row>
    <row r="1444" ht="12.75" customHeight="1">
      <c r="A1444" s="6" t="s">
        <v>6409</v>
      </c>
      <c r="B1444" s="6" t="s">
        <v>6410</v>
      </c>
    </row>
    <row r="1445" ht="12.75" customHeight="1">
      <c r="A1445" s="6" t="s">
        <v>6411</v>
      </c>
      <c r="B1445" s="6" t="s">
        <v>6412</v>
      </c>
    </row>
    <row r="1446" ht="12.75" customHeight="1">
      <c r="A1446" s="6" t="s">
        <v>6413</v>
      </c>
      <c r="B1446" s="6" t="s">
        <v>6414</v>
      </c>
    </row>
    <row r="1447" ht="12.75" customHeight="1">
      <c r="A1447" s="6" t="s">
        <v>6415</v>
      </c>
      <c r="B1447" s="6" t="s">
        <v>6416</v>
      </c>
    </row>
    <row r="1448" ht="12.75" customHeight="1">
      <c r="A1448" s="6" t="s">
        <v>6417</v>
      </c>
      <c r="B1448" s="6" t="s">
        <v>6418</v>
      </c>
    </row>
    <row r="1449" ht="12.75" customHeight="1">
      <c r="A1449" s="6" t="s">
        <v>6419</v>
      </c>
      <c r="B1449" s="6" t="s">
        <v>6420</v>
      </c>
    </row>
    <row r="1450" ht="12.75" customHeight="1">
      <c r="A1450" s="6" t="s">
        <v>6421</v>
      </c>
    </row>
    <row r="1451" ht="12.75" customHeight="1">
      <c r="A1451" s="6" t="s">
        <v>6422</v>
      </c>
      <c r="B1451" s="6" t="s">
        <v>6423</v>
      </c>
    </row>
    <row r="1452" ht="12.75" customHeight="1">
      <c r="A1452" s="6" t="s">
        <v>6424</v>
      </c>
      <c r="B1452" s="6" t="s">
        <v>6425</v>
      </c>
    </row>
    <row r="1453" ht="12.75" customHeight="1">
      <c r="A1453" s="6" t="s">
        <v>6426</v>
      </c>
      <c r="B1453" s="6" t="s">
        <v>6427</v>
      </c>
    </row>
    <row r="1454" ht="12.75" customHeight="1">
      <c r="A1454" s="6" t="s">
        <v>6428</v>
      </c>
      <c r="B1454" s="6" t="s">
        <v>6429</v>
      </c>
    </row>
    <row r="1455" ht="12.75" customHeight="1">
      <c r="A1455" s="6" t="s">
        <v>6430</v>
      </c>
      <c r="B1455" s="6" t="s">
        <v>6431</v>
      </c>
    </row>
    <row r="1456" ht="12.75" customHeight="1">
      <c r="A1456" s="6" t="s">
        <v>6432</v>
      </c>
      <c r="B1456" s="6" t="s">
        <v>6433</v>
      </c>
    </row>
    <row r="1457" ht="12.75" customHeight="1">
      <c r="A1457" s="6" t="s">
        <v>6434</v>
      </c>
      <c r="B1457" s="6" t="s">
        <v>6435</v>
      </c>
    </row>
    <row r="1458" ht="12.75" customHeight="1">
      <c r="A1458" s="6" t="s">
        <v>6436</v>
      </c>
      <c r="B1458" s="6" t="s">
        <v>6437</v>
      </c>
    </row>
    <row r="1459" ht="12.75" customHeight="1">
      <c r="A1459" s="6" t="s">
        <v>6438</v>
      </c>
      <c r="B1459" s="6" t="s">
        <v>6439</v>
      </c>
    </row>
    <row r="1460" ht="12.75" customHeight="1">
      <c r="A1460" s="6" t="s">
        <v>6440</v>
      </c>
      <c r="B1460" s="6" t="s">
        <v>6441</v>
      </c>
    </row>
    <row r="1461" ht="12.75" customHeight="1">
      <c r="A1461" s="6" t="s">
        <v>6442</v>
      </c>
      <c r="B1461" s="6" t="s">
        <v>6443</v>
      </c>
    </row>
    <row r="1462" ht="12.75" customHeight="1">
      <c r="A1462" s="6" t="s">
        <v>6444</v>
      </c>
      <c r="B1462" s="6" t="s">
        <v>6445</v>
      </c>
    </row>
    <row r="1463" ht="12.75" customHeight="1">
      <c r="A1463" s="6" t="s">
        <v>6446</v>
      </c>
      <c r="B1463" s="6" t="s">
        <v>6447</v>
      </c>
    </row>
    <row r="1464" ht="12.75" customHeight="1">
      <c r="A1464" s="6" t="s">
        <v>6448</v>
      </c>
      <c r="B1464" s="6" t="s">
        <v>6449</v>
      </c>
    </row>
    <row r="1465" ht="12.75" customHeight="1">
      <c r="A1465" s="6" t="s">
        <v>6450</v>
      </c>
      <c r="B1465" s="6" t="s">
        <v>6451</v>
      </c>
    </row>
    <row r="1466" ht="12.75" customHeight="1">
      <c r="A1466" s="6" t="s">
        <v>6452</v>
      </c>
      <c r="B1466" s="6" t="s">
        <v>6453</v>
      </c>
    </row>
    <row r="1467" ht="12.75" customHeight="1">
      <c r="A1467" s="6" t="s">
        <v>6454</v>
      </c>
      <c r="B1467" s="6" t="s">
        <v>6455</v>
      </c>
    </row>
    <row r="1468" ht="12.75" customHeight="1">
      <c r="A1468" s="6" t="s">
        <v>6456</v>
      </c>
      <c r="B1468" s="6" t="s">
        <v>6457</v>
      </c>
    </row>
    <row r="1469" ht="12.75" customHeight="1">
      <c r="A1469" s="6" t="s">
        <v>6458</v>
      </c>
    </row>
    <row r="1470" ht="12.75" customHeight="1">
      <c r="A1470" s="6" t="s">
        <v>6459</v>
      </c>
      <c r="B1470" s="6" t="s">
        <v>6460</v>
      </c>
    </row>
    <row r="1471" ht="12.75" customHeight="1">
      <c r="A1471" s="6" t="s">
        <v>6461</v>
      </c>
      <c r="B1471" s="6" t="s">
        <v>6462</v>
      </c>
    </row>
    <row r="1472" ht="12.75" customHeight="1">
      <c r="A1472" s="6" t="s">
        <v>6463</v>
      </c>
      <c r="B1472" s="6" t="s">
        <v>6464</v>
      </c>
    </row>
    <row r="1473" ht="12.75" customHeight="1">
      <c r="A1473" s="6" t="s">
        <v>6465</v>
      </c>
      <c r="B1473" s="6" t="s">
        <v>6466</v>
      </c>
    </row>
    <row r="1474" ht="12.75" customHeight="1">
      <c r="A1474" s="6" t="s">
        <v>6467</v>
      </c>
      <c r="B1474" s="6" t="s">
        <v>6468</v>
      </c>
    </row>
    <row r="1475" ht="12.75" customHeight="1">
      <c r="A1475" s="6" t="s">
        <v>6469</v>
      </c>
      <c r="B1475" s="6" t="s">
        <v>6470</v>
      </c>
    </row>
    <row r="1476" ht="12.75" customHeight="1">
      <c r="A1476" s="6" t="s">
        <v>6471</v>
      </c>
      <c r="B1476" s="6" t="s">
        <v>6472</v>
      </c>
    </row>
    <row r="1477" ht="12.75" customHeight="1">
      <c r="A1477" s="6" t="s">
        <v>6473</v>
      </c>
      <c r="B1477" s="6" t="s">
        <v>6474</v>
      </c>
    </row>
    <row r="1478" ht="12.75" customHeight="1">
      <c r="A1478" s="6" t="s">
        <v>6475</v>
      </c>
      <c r="B1478" s="6" t="s">
        <v>6476</v>
      </c>
    </row>
    <row r="1479" ht="12.75" customHeight="1">
      <c r="A1479" s="6" t="s">
        <v>6477</v>
      </c>
      <c r="B1479" s="6" t="s">
        <v>6478</v>
      </c>
    </row>
    <row r="1480" ht="12.75" customHeight="1">
      <c r="A1480" s="6" t="s">
        <v>6479</v>
      </c>
      <c r="B1480" s="6" t="s">
        <v>6480</v>
      </c>
    </row>
    <row r="1481" ht="12.75" customHeight="1">
      <c r="A1481" s="6" t="s">
        <v>6481</v>
      </c>
      <c r="B1481" s="6" t="s">
        <v>6482</v>
      </c>
    </row>
    <row r="1482" ht="12.75" customHeight="1">
      <c r="A1482" s="6" t="s">
        <v>6483</v>
      </c>
      <c r="B1482" s="6" t="s">
        <v>6484</v>
      </c>
    </row>
    <row r="1483" ht="12.75" customHeight="1">
      <c r="A1483" s="6" t="s">
        <v>6485</v>
      </c>
      <c r="B1483" s="6" t="s">
        <v>6486</v>
      </c>
    </row>
    <row r="1484" ht="12.75" customHeight="1">
      <c r="A1484" s="6" t="s">
        <v>6487</v>
      </c>
      <c r="B1484" s="6" t="s">
        <v>6488</v>
      </c>
    </row>
    <row r="1485" ht="12.75" customHeight="1">
      <c r="A1485" s="6" t="s">
        <v>6489</v>
      </c>
      <c r="B1485" s="6" t="s">
        <v>6490</v>
      </c>
    </row>
    <row r="1486" ht="12.75" customHeight="1">
      <c r="A1486" s="6" t="s">
        <v>6491</v>
      </c>
      <c r="B1486" s="6" t="s">
        <v>6492</v>
      </c>
    </row>
    <row r="1487" ht="12.75" customHeight="1">
      <c r="A1487" s="6" t="s">
        <v>6493</v>
      </c>
      <c r="B1487" s="6" t="s">
        <v>6494</v>
      </c>
    </row>
    <row r="1488" ht="12.75" customHeight="1">
      <c r="A1488" s="6" t="s">
        <v>6495</v>
      </c>
    </row>
    <row r="1489" ht="12.75" customHeight="1">
      <c r="A1489" s="6" t="s">
        <v>6496</v>
      </c>
      <c r="B1489" s="6" t="s">
        <v>6497</v>
      </c>
    </row>
    <row r="1490" ht="12.75" customHeight="1">
      <c r="A1490" s="6" t="s">
        <v>6498</v>
      </c>
      <c r="B1490" s="6" t="s">
        <v>6499</v>
      </c>
    </row>
    <row r="1491" ht="12.75" customHeight="1">
      <c r="A1491" s="6" t="s">
        <v>6500</v>
      </c>
      <c r="B1491" s="6" t="s">
        <v>6501</v>
      </c>
    </row>
    <row r="1492" ht="12.75" customHeight="1">
      <c r="A1492" s="6" t="s">
        <v>6502</v>
      </c>
      <c r="B1492" s="6" t="s">
        <v>6503</v>
      </c>
    </row>
    <row r="1493" ht="12.75" customHeight="1">
      <c r="A1493" s="6" t="s">
        <v>6504</v>
      </c>
      <c r="B1493" s="6" t="s">
        <v>6505</v>
      </c>
    </row>
    <row r="1494" ht="12.75" customHeight="1">
      <c r="A1494" s="6" t="s">
        <v>6506</v>
      </c>
      <c r="B1494" s="6" t="s">
        <v>6507</v>
      </c>
    </row>
    <row r="1495" ht="12.75" customHeight="1">
      <c r="A1495" s="6" t="s">
        <v>6508</v>
      </c>
      <c r="B1495" s="6" t="s">
        <v>6509</v>
      </c>
    </row>
    <row r="1496" ht="12.75" customHeight="1">
      <c r="A1496" s="6" t="s">
        <v>6510</v>
      </c>
      <c r="B1496" s="6" t="s">
        <v>6511</v>
      </c>
    </row>
    <row r="1497" ht="12.75" customHeight="1">
      <c r="A1497" s="6" t="s">
        <v>6512</v>
      </c>
      <c r="B1497" s="6" t="s">
        <v>6513</v>
      </c>
    </row>
    <row r="1498" ht="12.75" customHeight="1">
      <c r="A1498" s="6" t="s">
        <v>6514</v>
      </c>
      <c r="B1498" s="6" t="s">
        <v>6515</v>
      </c>
    </row>
    <row r="1499" ht="12.75" customHeight="1">
      <c r="A1499" s="6" t="s">
        <v>6516</v>
      </c>
      <c r="B1499" s="6" t="s">
        <v>6517</v>
      </c>
    </row>
    <row r="1500" ht="12.75" customHeight="1">
      <c r="A1500" s="6" t="s">
        <v>6518</v>
      </c>
      <c r="B1500" s="6" t="s">
        <v>6519</v>
      </c>
    </row>
    <row r="1501" ht="12.75" customHeight="1">
      <c r="A1501" s="6" t="s">
        <v>6520</v>
      </c>
      <c r="B1501" s="6" t="s">
        <v>6521</v>
      </c>
    </row>
    <row r="1502" ht="12.75" customHeight="1">
      <c r="A1502" s="6" t="s">
        <v>6522</v>
      </c>
      <c r="B1502" s="6" t="s">
        <v>6523</v>
      </c>
    </row>
    <row r="1503" ht="12.75" customHeight="1">
      <c r="A1503" s="6" t="s">
        <v>6524</v>
      </c>
      <c r="B1503" s="6" t="s">
        <v>6525</v>
      </c>
    </row>
    <row r="1504" ht="12.75" customHeight="1">
      <c r="A1504" s="6" t="s">
        <v>6526</v>
      </c>
      <c r="B1504" s="6" t="s">
        <v>6527</v>
      </c>
    </row>
    <row r="1505" ht="12.75" customHeight="1">
      <c r="A1505" s="6" t="s">
        <v>6528</v>
      </c>
      <c r="B1505" s="6" t="s">
        <v>6529</v>
      </c>
    </row>
    <row r="1506" ht="12.75" customHeight="1">
      <c r="A1506" s="6" t="s">
        <v>6530</v>
      </c>
      <c r="B1506" s="6" t="s">
        <v>6531</v>
      </c>
    </row>
    <row r="1507" ht="12.75" customHeight="1">
      <c r="A1507" s="6" t="s">
        <v>6532</v>
      </c>
      <c r="B1507" s="6" t="s">
        <v>6533</v>
      </c>
    </row>
    <row r="1508" ht="12.75" customHeight="1">
      <c r="A1508" s="6" t="s">
        <v>6534</v>
      </c>
      <c r="B1508" s="6" t="s">
        <v>6535</v>
      </c>
    </row>
    <row r="1509" ht="12.75" customHeight="1">
      <c r="A1509" s="6" t="s">
        <v>6536</v>
      </c>
      <c r="B1509" s="6" t="s">
        <v>6537</v>
      </c>
    </row>
    <row r="1510" ht="12.75" customHeight="1">
      <c r="A1510" s="6" t="s">
        <v>6538</v>
      </c>
      <c r="B1510" s="6" t="s">
        <v>6539</v>
      </c>
    </row>
    <row r="1511" ht="12.75" customHeight="1">
      <c r="A1511" s="6" t="s">
        <v>6540</v>
      </c>
    </row>
    <row r="1512" ht="12.75" customHeight="1">
      <c r="A1512" s="6" t="s">
        <v>6541</v>
      </c>
      <c r="B1512" s="6" t="s">
        <v>6542</v>
      </c>
    </row>
    <row r="1513" ht="12.75" customHeight="1">
      <c r="A1513" s="6" t="s">
        <v>6543</v>
      </c>
      <c r="B1513" s="6" t="s">
        <v>6544</v>
      </c>
    </row>
    <row r="1514" ht="12.75" customHeight="1">
      <c r="A1514" s="6" t="s">
        <v>6545</v>
      </c>
    </row>
    <row r="1515" ht="12.75" customHeight="1">
      <c r="A1515" s="6" t="s">
        <v>6546</v>
      </c>
      <c r="B1515" s="6" t="s">
        <v>6547</v>
      </c>
    </row>
    <row r="1516" ht="12.75" customHeight="1">
      <c r="A1516" s="6" t="s">
        <v>6548</v>
      </c>
      <c r="B1516" s="6" t="s">
        <v>6549</v>
      </c>
    </row>
    <row r="1517" ht="12.75" customHeight="1">
      <c r="A1517" s="6" t="s">
        <v>6550</v>
      </c>
      <c r="B1517" s="6" t="s">
        <v>6551</v>
      </c>
    </row>
    <row r="1518" ht="12.75" customHeight="1">
      <c r="A1518" s="6" t="s">
        <v>6552</v>
      </c>
      <c r="B1518" s="6" t="s">
        <v>6553</v>
      </c>
    </row>
    <row r="1519" ht="12.75" customHeight="1">
      <c r="A1519" s="6" t="s">
        <v>6554</v>
      </c>
      <c r="B1519" s="6" t="s">
        <v>6555</v>
      </c>
    </row>
    <row r="1520" ht="12.75" customHeight="1">
      <c r="A1520" s="6" t="s">
        <v>6556</v>
      </c>
      <c r="B1520" s="6" t="s">
        <v>6557</v>
      </c>
    </row>
    <row r="1521" ht="12.75" customHeight="1">
      <c r="A1521" s="6" t="s">
        <v>6558</v>
      </c>
      <c r="B1521" s="6" t="s">
        <v>6559</v>
      </c>
    </row>
    <row r="1522" ht="12.75" customHeight="1">
      <c r="A1522" s="6" t="s">
        <v>6560</v>
      </c>
      <c r="B1522" s="6" t="s">
        <v>6561</v>
      </c>
    </row>
    <row r="1523" ht="12.75" customHeight="1">
      <c r="A1523" s="6" t="s">
        <v>6562</v>
      </c>
      <c r="B1523" s="6" t="s">
        <v>6563</v>
      </c>
    </row>
    <row r="1524" ht="12.75" customHeight="1">
      <c r="A1524" s="6" t="s">
        <v>6564</v>
      </c>
      <c r="B1524" s="6" t="s">
        <v>6565</v>
      </c>
    </row>
    <row r="1525" ht="12.75" customHeight="1">
      <c r="A1525" s="6" t="s">
        <v>6566</v>
      </c>
      <c r="B1525" s="6" t="s">
        <v>6567</v>
      </c>
    </row>
    <row r="1526" ht="12.75" customHeight="1">
      <c r="A1526" s="6" t="s">
        <v>6568</v>
      </c>
      <c r="B1526" s="6" t="s">
        <v>6569</v>
      </c>
    </row>
    <row r="1527" ht="12.75" customHeight="1">
      <c r="A1527" s="6" t="s">
        <v>6570</v>
      </c>
      <c r="B1527" s="6" t="s">
        <v>6571</v>
      </c>
    </row>
    <row r="1528" ht="12.75" customHeight="1">
      <c r="A1528" s="6" t="s">
        <v>6572</v>
      </c>
      <c r="B1528" s="6" t="s">
        <v>6573</v>
      </c>
    </row>
    <row r="1529" ht="12.75" customHeight="1">
      <c r="A1529" s="6" t="s">
        <v>6574</v>
      </c>
      <c r="B1529" s="6" t="s">
        <v>6575</v>
      </c>
    </row>
    <row r="1530" ht="12.75" customHeight="1">
      <c r="A1530" s="6" t="s">
        <v>6576</v>
      </c>
      <c r="B1530" s="6" t="s">
        <v>6577</v>
      </c>
    </row>
    <row r="1531" ht="12.75" customHeight="1">
      <c r="A1531" s="6" t="s">
        <v>6578</v>
      </c>
      <c r="B1531" s="6" t="s">
        <v>6579</v>
      </c>
    </row>
    <row r="1532" ht="12.75" customHeight="1">
      <c r="A1532" s="6" t="s">
        <v>6580</v>
      </c>
      <c r="B1532" s="6" t="s">
        <v>6581</v>
      </c>
    </row>
    <row r="1533" ht="12.75" customHeight="1">
      <c r="A1533" s="6" t="s">
        <v>6582</v>
      </c>
      <c r="B1533" s="6" t="s">
        <v>6583</v>
      </c>
    </row>
    <row r="1534" ht="12.75" customHeight="1">
      <c r="A1534" s="6" t="s">
        <v>6584</v>
      </c>
      <c r="B1534" s="6" t="s">
        <v>6585</v>
      </c>
    </row>
    <row r="1535" ht="12.75" customHeight="1">
      <c r="A1535" s="6" t="s">
        <v>6586</v>
      </c>
      <c r="B1535" s="6" t="s">
        <v>6587</v>
      </c>
    </row>
    <row r="1536" ht="12.75" customHeight="1">
      <c r="A1536" s="6" t="s">
        <v>6588</v>
      </c>
      <c r="B1536" s="6" t="s">
        <v>6589</v>
      </c>
    </row>
    <row r="1537" ht="12.75" customHeight="1">
      <c r="A1537" s="6" t="s">
        <v>6590</v>
      </c>
      <c r="B1537" s="6" t="s">
        <v>6591</v>
      </c>
    </row>
    <row r="1538" ht="12.75" customHeight="1">
      <c r="A1538" s="6" t="s">
        <v>6592</v>
      </c>
      <c r="B1538" s="6" t="s">
        <v>6593</v>
      </c>
    </row>
    <row r="1539" ht="12.75" customHeight="1">
      <c r="A1539" s="6" t="s">
        <v>6594</v>
      </c>
      <c r="B1539" s="6" t="s">
        <v>6595</v>
      </c>
    </row>
    <row r="1540" ht="12.75" customHeight="1">
      <c r="A1540" s="6" t="s">
        <v>6596</v>
      </c>
      <c r="B1540" s="6" t="s">
        <v>6597</v>
      </c>
    </row>
    <row r="1541" ht="12.75" customHeight="1">
      <c r="A1541" s="6" t="s">
        <v>6598</v>
      </c>
      <c r="B1541" s="6" t="s">
        <v>6599</v>
      </c>
    </row>
    <row r="1542" ht="12.75" customHeight="1">
      <c r="A1542" s="6" t="s">
        <v>6600</v>
      </c>
      <c r="B1542" s="6" t="s">
        <v>6601</v>
      </c>
    </row>
    <row r="1543" ht="12.75" customHeight="1">
      <c r="A1543" s="6" t="s">
        <v>6602</v>
      </c>
      <c r="B1543" s="6" t="s">
        <v>6603</v>
      </c>
    </row>
    <row r="1544" ht="12.75" customHeight="1">
      <c r="A1544" s="6" t="s">
        <v>6604</v>
      </c>
      <c r="B1544" s="6" t="s">
        <v>6605</v>
      </c>
    </row>
    <row r="1545" ht="12.75" customHeight="1">
      <c r="A1545" s="6" t="s">
        <v>6606</v>
      </c>
      <c r="B1545" s="6" t="s">
        <v>6607</v>
      </c>
    </row>
    <row r="1546" ht="12.75" customHeight="1">
      <c r="A1546" s="6" t="s">
        <v>6608</v>
      </c>
      <c r="B1546" s="6" t="s">
        <v>6609</v>
      </c>
    </row>
    <row r="1547" ht="12.75" customHeight="1">
      <c r="A1547" s="6" t="s">
        <v>6610</v>
      </c>
      <c r="B1547" s="6" t="s">
        <v>6611</v>
      </c>
    </row>
    <row r="1548" ht="12.75" customHeight="1">
      <c r="A1548" s="6" t="s">
        <v>6612</v>
      </c>
      <c r="B1548" s="6" t="s">
        <v>6613</v>
      </c>
    </row>
    <row r="1549" ht="12.75" customHeight="1">
      <c r="A1549" s="6" t="s">
        <v>6614</v>
      </c>
      <c r="B1549" s="6" t="s">
        <v>6615</v>
      </c>
    </row>
    <row r="1550" ht="12.75" customHeight="1">
      <c r="A1550" s="6" t="s">
        <v>6616</v>
      </c>
      <c r="B1550" s="6" t="s">
        <v>6617</v>
      </c>
    </row>
    <row r="1551" ht="12.75" customHeight="1">
      <c r="A1551" s="6" t="s">
        <v>6618</v>
      </c>
      <c r="B1551" s="6" t="s">
        <v>6619</v>
      </c>
    </row>
    <row r="1552" ht="12.75" customHeight="1">
      <c r="A1552" s="6" t="s">
        <v>6620</v>
      </c>
      <c r="B1552" s="6" t="s">
        <v>6621</v>
      </c>
    </row>
    <row r="1553" ht="12.75" customHeight="1">
      <c r="A1553" s="6" t="s">
        <v>6622</v>
      </c>
      <c r="B1553" s="6" t="s">
        <v>6623</v>
      </c>
    </row>
    <row r="1554" ht="12.75" customHeight="1">
      <c r="A1554" s="6" t="s">
        <v>6624</v>
      </c>
      <c r="B1554" s="6" t="s">
        <v>6625</v>
      </c>
    </row>
    <row r="1555" ht="12.75" customHeight="1">
      <c r="A1555" s="6" t="s">
        <v>6626</v>
      </c>
      <c r="B1555" s="6" t="s">
        <v>6627</v>
      </c>
    </row>
    <row r="1556" ht="12.75" customHeight="1">
      <c r="A1556" s="6" t="s">
        <v>6628</v>
      </c>
      <c r="B1556" s="6" t="s">
        <v>6629</v>
      </c>
    </row>
    <row r="1557" ht="12.75" customHeight="1">
      <c r="A1557" s="6" t="s">
        <v>6630</v>
      </c>
      <c r="B1557" s="6" t="s">
        <v>6631</v>
      </c>
    </row>
    <row r="1558" ht="12.75" customHeight="1">
      <c r="A1558" s="6" t="s">
        <v>6632</v>
      </c>
      <c r="B1558" s="6" t="s">
        <v>6633</v>
      </c>
    </row>
    <row r="1559" ht="12.75" customHeight="1">
      <c r="A1559" s="6" t="s">
        <v>6634</v>
      </c>
      <c r="B1559" s="6" t="s">
        <v>6635</v>
      </c>
    </row>
    <row r="1560" ht="12.75" customHeight="1">
      <c r="A1560" s="6" t="s">
        <v>6636</v>
      </c>
      <c r="B1560" s="6" t="s">
        <v>6637</v>
      </c>
    </row>
    <row r="1561" ht="12.75" customHeight="1">
      <c r="A1561" s="6" t="s">
        <v>6638</v>
      </c>
      <c r="B1561" s="6" t="s">
        <v>6639</v>
      </c>
    </row>
    <row r="1562" ht="12.75" customHeight="1">
      <c r="A1562" s="6" t="s">
        <v>6640</v>
      </c>
      <c r="B1562" s="6" t="s">
        <v>6641</v>
      </c>
    </row>
    <row r="1563" ht="12.75" customHeight="1">
      <c r="A1563" s="6" t="s">
        <v>6642</v>
      </c>
      <c r="B1563" s="6" t="s">
        <v>6643</v>
      </c>
    </row>
    <row r="1564" ht="12.75" customHeight="1">
      <c r="A1564" s="6" t="s">
        <v>6644</v>
      </c>
      <c r="B1564" s="6" t="s">
        <v>6645</v>
      </c>
    </row>
    <row r="1565" ht="12.75" customHeight="1">
      <c r="A1565" s="6" t="s">
        <v>6646</v>
      </c>
      <c r="B1565" s="6" t="s">
        <v>6647</v>
      </c>
    </row>
    <row r="1566" ht="12.75" customHeight="1">
      <c r="A1566" s="6" t="s">
        <v>6648</v>
      </c>
      <c r="B1566" s="6" t="s">
        <v>6649</v>
      </c>
    </row>
    <row r="1567" ht="12.75" customHeight="1">
      <c r="A1567" s="6" t="s">
        <v>6650</v>
      </c>
      <c r="B1567" s="6" t="s">
        <v>6651</v>
      </c>
    </row>
    <row r="1568" ht="12.75" customHeight="1">
      <c r="A1568" s="6" t="s">
        <v>6652</v>
      </c>
      <c r="B1568" s="6" t="s">
        <v>6653</v>
      </c>
    </row>
    <row r="1569" ht="12.75" customHeight="1">
      <c r="A1569" s="6" t="s">
        <v>6654</v>
      </c>
      <c r="B1569" s="6" t="s">
        <v>6655</v>
      </c>
    </row>
    <row r="1570" ht="12.75" customHeight="1">
      <c r="A1570" s="6" t="s">
        <v>6656</v>
      </c>
      <c r="B1570" s="6" t="s">
        <v>6657</v>
      </c>
    </row>
    <row r="1571" ht="12.75" customHeight="1">
      <c r="A1571" s="6" t="s">
        <v>6658</v>
      </c>
      <c r="B1571" s="6" t="s">
        <v>6659</v>
      </c>
    </row>
    <row r="1572" ht="12.75" customHeight="1">
      <c r="A1572" s="6" t="s">
        <v>6660</v>
      </c>
      <c r="B1572" s="6" t="s">
        <v>6661</v>
      </c>
    </row>
    <row r="1573" ht="12.75" customHeight="1">
      <c r="A1573" s="6" t="s">
        <v>6662</v>
      </c>
      <c r="B1573" s="6" t="s">
        <v>6663</v>
      </c>
    </row>
    <row r="1574" ht="12.75" customHeight="1">
      <c r="A1574" s="6" t="s">
        <v>6664</v>
      </c>
      <c r="B1574" s="6" t="s">
        <v>6665</v>
      </c>
    </row>
    <row r="1575" ht="12.75" customHeight="1">
      <c r="A1575" s="6" t="s">
        <v>6666</v>
      </c>
      <c r="B1575" s="6" t="s">
        <v>6667</v>
      </c>
    </row>
    <row r="1576" ht="12.75" customHeight="1">
      <c r="A1576" s="6" t="s">
        <v>6668</v>
      </c>
      <c r="B1576" s="6" t="s">
        <v>6669</v>
      </c>
    </row>
    <row r="1577" ht="12.75" customHeight="1">
      <c r="A1577" s="6" t="s">
        <v>6670</v>
      </c>
      <c r="B1577" s="6" t="s">
        <v>6671</v>
      </c>
    </row>
    <row r="1578" ht="12.75" customHeight="1">
      <c r="A1578" s="6" t="s">
        <v>6672</v>
      </c>
      <c r="B1578" s="6" t="s">
        <v>6673</v>
      </c>
    </row>
    <row r="1579" ht="12.75" customHeight="1">
      <c r="A1579" s="6" t="s">
        <v>6674</v>
      </c>
      <c r="B1579" s="6" t="s">
        <v>6675</v>
      </c>
    </row>
    <row r="1580" ht="12.75" customHeight="1">
      <c r="A1580" s="6" t="s">
        <v>6676</v>
      </c>
      <c r="B1580" s="6" t="s">
        <v>6677</v>
      </c>
    </row>
    <row r="1581" ht="12.75" customHeight="1">
      <c r="A1581" s="6" t="s">
        <v>6678</v>
      </c>
      <c r="B1581" s="6" t="s">
        <v>6679</v>
      </c>
    </row>
    <row r="1582" ht="12.75" customHeight="1">
      <c r="A1582" s="6" t="s">
        <v>6680</v>
      </c>
      <c r="B1582" s="6" t="s">
        <v>6681</v>
      </c>
    </row>
    <row r="1583" ht="12.75" customHeight="1">
      <c r="A1583" s="6" t="s">
        <v>6682</v>
      </c>
      <c r="B1583" s="6" t="s">
        <v>6683</v>
      </c>
    </row>
    <row r="1584" ht="12.75" customHeight="1">
      <c r="A1584" s="6" t="s">
        <v>6684</v>
      </c>
      <c r="B1584" s="6" t="s">
        <v>6685</v>
      </c>
    </row>
    <row r="1585" ht="12.75" customHeight="1">
      <c r="A1585" s="6" t="s">
        <v>6686</v>
      </c>
      <c r="B1585" s="6" t="s">
        <v>6687</v>
      </c>
    </row>
    <row r="1586" ht="12.75" customHeight="1">
      <c r="A1586" s="6" t="s">
        <v>6688</v>
      </c>
      <c r="B1586" s="6" t="s">
        <v>6689</v>
      </c>
    </row>
    <row r="1587" ht="12.75" customHeight="1">
      <c r="A1587" s="6" t="s">
        <v>6690</v>
      </c>
      <c r="B1587" s="6" t="s">
        <v>6691</v>
      </c>
    </row>
    <row r="1588" ht="12.75" customHeight="1">
      <c r="A1588" s="6" t="s">
        <v>6692</v>
      </c>
      <c r="B1588" s="6" t="s">
        <v>6693</v>
      </c>
    </row>
    <row r="1589" ht="12.75" customHeight="1">
      <c r="A1589" s="6" t="s">
        <v>6694</v>
      </c>
      <c r="B1589" s="6" t="s">
        <v>6695</v>
      </c>
    </row>
    <row r="1590" ht="12.75" customHeight="1">
      <c r="A1590" s="6" t="s">
        <v>6696</v>
      </c>
      <c r="B1590" s="6" t="s">
        <v>6697</v>
      </c>
    </row>
    <row r="1591" ht="12.75" customHeight="1">
      <c r="A1591" s="6" t="s">
        <v>6698</v>
      </c>
      <c r="B1591" s="6" t="s">
        <v>6699</v>
      </c>
    </row>
    <row r="1592" ht="12.75" customHeight="1">
      <c r="A1592" s="6" t="s">
        <v>6700</v>
      </c>
      <c r="B1592" s="6" t="s">
        <v>6701</v>
      </c>
    </row>
    <row r="1593" ht="12.75" customHeight="1">
      <c r="A1593" s="6" t="s">
        <v>6702</v>
      </c>
      <c r="B1593" s="6" t="s">
        <v>6703</v>
      </c>
    </row>
    <row r="1594" ht="12.75" customHeight="1">
      <c r="A1594" s="6" t="s">
        <v>6704</v>
      </c>
      <c r="B1594" s="6" t="s">
        <v>6705</v>
      </c>
    </row>
    <row r="1595" ht="12.75" customHeight="1">
      <c r="A1595" s="6" t="s">
        <v>6706</v>
      </c>
      <c r="B1595" s="6" t="s">
        <v>6707</v>
      </c>
    </row>
    <row r="1596" ht="12.75" customHeight="1">
      <c r="A1596" s="6" t="s">
        <v>6708</v>
      </c>
      <c r="B1596" s="6" t="s">
        <v>6709</v>
      </c>
    </row>
    <row r="1597" ht="12.75" customHeight="1">
      <c r="A1597" s="6" t="s">
        <v>6710</v>
      </c>
      <c r="B1597" s="6" t="s">
        <v>6711</v>
      </c>
    </row>
    <row r="1598" ht="12.75" customHeight="1">
      <c r="A1598" s="6" t="s">
        <v>6712</v>
      </c>
      <c r="B1598" s="6" t="s">
        <v>6713</v>
      </c>
    </row>
    <row r="1599" ht="12.75" customHeight="1">
      <c r="A1599" s="6" t="s">
        <v>6714</v>
      </c>
      <c r="B1599" s="6" t="s">
        <v>6715</v>
      </c>
    </row>
    <row r="1600" ht="12.75" customHeight="1">
      <c r="A1600" s="6" t="s">
        <v>6716</v>
      </c>
      <c r="B1600" s="6" t="s">
        <v>6717</v>
      </c>
    </row>
    <row r="1601" ht="12.75" customHeight="1">
      <c r="A1601" s="6" t="s">
        <v>6718</v>
      </c>
      <c r="B1601" s="6" t="s">
        <v>6719</v>
      </c>
    </row>
    <row r="1602" ht="12.75" customHeight="1">
      <c r="A1602" s="6" t="s">
        <v>6720</v>
      </c>
      <c r="B1602" s="6" t="s">
        <v>6721</v>
      </c>
    </row>
    <row r="1603" ht="12.75" customHeight="1">
      <c r="A1603" s="6" t="s">
        <v>6722</v>
      </c>
      <c r="B1603" s="6" t="s">
        <v>6723</v>
      </c>
    </row>
    <row r="1604" ht="12.75" customHeight="1">
      <c r="A1604" s="6" t="s">
        <v>6724</v>
      </c>
      <c r="B1604" s="6" t="s">
        <v>6725</v>
      </c>
    </row>
    <row r="1605" ht="12.75" customHeight="1">
      <c r="A1605" s="6" t="s">
        <v>6726</v>
      </c>
      <c r="B1605" s="6" t="s">
        <v>6727</v>
      </c>
    </row>
    <row r="1606" ht="12.75" customHeight="1">
      <c r="A1606" s="6" t="s">
        <v>6728</v>
      </c>
      <c r="B1606" s="6" t="s">
        <v>6729</v>
      </c>
    </row>
    <row r="1607" ht="12.75" customHeight="1">
      <c r="A1607" s="6" t="s">
        <v>6730</v>
      </c>
      <c r="B1607" s="6" t="s">
        <v>6731</v>
      </c>
    </row>
    <row r="1608" ht="12.75" customHeight="1">
      <c r="A1608" s="6" t="s">
        <v>6732</v>
      </c>
      <c r="B1608" s="6" t="s">
        <v>6733</v>
      </c>
    </row>
    <row r="1609" ht="12.75" customHeight="1">
      <c r="A1609" s="6" t="s">
        <v>6734</v>
      </c>
      <c r="B1609" s="6" t="s">
        <v>6735</v>
      </c>
    </row>
    <row r="1610" ht="12.75" customHeight="1">
      <c r="A1610" s="6" t="s">
        <v>6736</v>
      </c>
      <c r="B1610" s="6" t="s">
        <v>6737</v>
      </c>
    </row>
    <row r="1611" ht="12.75" customHeight="1">
      <c r="A1611" s="6" t="s">
        <v>6738</v>
      </c>
      <c r="B1611" s="6" t="s">
        <v>6739</v>
      </c>
    </row>
    <row r="1612" ht="12.75" customHeight="1">
      <c r="A1612" s="6" t="s">
        <v>6740</v>
      </c>
      <c r="B1612" s="6" t="s">
        <v>6741</v>
      </c>
    </row>
    <row r="1613" ht="12.75" customHeight="1">
      <c r="A1613" s="6" t="s">
        <v>6742</v>
      </c>
      <c r="B1613" s="6" t="s">
        <v>6743</v>
      </c>
    </row>
    <row r="1614" ht="12.75" customHeight="1">
      <c r="A1614" s="6" t="s">
        <v>6744</v>
      </c>
      <c r="B1614" s="6" t="s">
        <v>6745</v>
      </c>
    </row>
    <row r="1615" ht="12.75" customHeight="1">
      <c r="A1615" s="6" t="s">
        <v>6746</v>
      </c>
      <c r="B1615" s="6" t="s">
        <v>6747</v>
      </c>
    </row>
    <row r="1616" ht="12.75" customHeight="1">
      <c r="A1616" s="6" t="s">
        <v>6748</v>
      </c>
      <c r="B1616" s="6" t="s">
        <v>6749</v>
      </c>
    </row>
    <row r="1617" ht="12.75" customHeight="1">
      <c r="A1617" s="6" t="s">
        <v>6750</v>
      </c>
      <c r="B1617" s="6" t="s">
        <v>6751</v>
      </c>
    </row>
    <row r="1618" ht="12.75" customHeight="1">
      <c r="A1618" s="6" t="s">
        <v>6752</v>
      </c>
      <c r="B1618" s="6" t="s">
        <v>6753</v>
      </c>
    </row>
    <row r="1619" ht="12.75" customHeight="1">
      <c r="A1619" s="6" t="s">
        <v>6754</v>
      </c>
      <c r="B1619" s="6" t="s">
        <v>6755</v>
      </c>
    </row>
    <row r="1620" ht="12.75" customHeight="1">
      <c r="A1620" s="6" t="s">
        <v>6756</v>
      </c>
      <c r="B1620" s="6" t="s">
        <v>6757</v>
      </c>
    </row>
    <row r="1621" ht="12.75" customHeight="1">
      <c r="A1621" s="6" t="s">
        <v>6758</v>
      </c>
      <c r="B1621" s="6" t="s">
        <v>6759</v>
      </c>
    </row>
    <row r="1622" ht="12.75" customHeight="1">
      <c r="A1622" s="6" t="s">
        <v>6760</v>
      </c>
      <c r="B1622" s="6" t="s">
        <v>6761</v>
      </c>
    </row>
    <row r="1623" ht="12.75" customHeight="1">
      <c r="A1623" s="6" t="s">
        <v>6762</v>
      </c>
      <c r="B1623" s="6" t="s">
        <v>6763</v>
      </c>
    </row>
    <row r="1624" ht="12.75" customHeight="1">
      <c r="A1624" s="6" t="s">
        <v>6764</v>
      </c>
      <c r="B1624" s="6" t="s">
        <v>6765</v>
      </c>
    </row>
    <row r="1625" ht="12.75" customHeight="1">
      <c r="A1625" s="6" t="s">
        <v>6766</v>
      </c>
      <c r="B1625" s="6" t="s">
        <v>6767</v>
      </c>
    </row>
    <row r="1626" ht="12.75" customHeight="1">
      <c r="A1626" s="6" t="s">
        <v>6768</v>
      </c>
      <c r="B1626" s="6" t="s">
        <v>6769</v>
      </c>
    </row>
    <row r="1627" ht="12.75" customHeight="1">
      <c r="A1627" s="6" t="s">
        <v>6770</v>
      </c>
      <c r="B1627" s="6" t="s">
        <v>6771</v>
      </c>
    </row>
    <row r="1628" ht="12.75" customHeight="1">
      <c r="A1628" s="6" t="s">
        <v>6772</v>
      </c>
      <c r="B1628" s="6" t="s">
        <v>6773</v>
      </c>
    </row>
    <row r="1629" ht="12.75" customHeight="1">
      <c r="A1629" s="6" t="s">
        <v>6774</v>
      </c>
      <c r="B1629" s="6" t="s">
        <v>6775</v>
      </c>
    </row>
    <row r="1630" ht="12.75" customHeight="1">
      <c r="A1630" s="6" t="s">
        <v>6776</v>
      </c>
      <c r="B1630" s="6" t="s">
        <v>6777</v>
      </c>
    </row>
    <row r="1631" ht="12.75" customHeight="1">
      <c r="A1631" s="6" t="s">
        <v>6778</v>
      </c>
      <c r="B1631" s="6" t="s">
        <v>6779</v>
      </c>
    </row>
    <row r="1632" ht="12.75" customHeight="1">
      <c r="A1632" s="6" t="s">
        <v>6780</v>
      </c>
      <c r="B1632" s="6" t="s">
        <v>6781</v>
      </c>
    </row>
    <row r="1633" ht="12.75" customHeight="1">
      <c r="A1633" s="6" t="s">
        <v>6782</v>
      </c>
      <c r="B1633" s="6" t="s">
        <v>6783</v>
      </c>
    </row>
    <row r="1634" ht="12.75" customHeight="1">
      <c r="A1634" s="6" t="s">
        <v>6784</v>
      </c>
      <c r="B1634" s="6" t="s">
        <v>6785</v>
      </c>
    </row>
    <row r="1635" ht="12.75" customHeight="1">
      <c r="A1635" s="6" t="s">
        <v>6786</v>
      </c>
      <c r="B1635" s="6" t="s">
        <v>6787</v>
      </c>
    </row>
    <row r="1636" ht="12.75" customHeight="1">
      <c r="A1636" s="6" t="s">
        <v>6788</v>
      </c>
      <c r="B1636" s="6" t="s">
        <v>6789</v>
      </c>
    </row>
    <row r="1637" ht="12.75" customHeight="1">
      <c r="A1637" s="6" t="s">
        <v>6790</v>
      </c>
      <c r="B1637" s="6" t="s">
        <v>6791</v>
      </c>
    </row>
    <row r="1638" ht="12.75" customHeight="1">
      <c r="A1638" s="6" t="s">
        <v>6792</v>
      </c>
      <c r="B1638" s="6" t="s">
        <v>6793</v>
      </c>
    </row>
    <row r="1639" ht="12.75" customHeight="1">
      <c r="A1639" s="6" t="s">
        <v>6794</v>
      </c>
      <c r="B1639" s="6" t="s">
        <v>6795</v>
      </c>
    </row>
    <row r="1640" ht="12.75" customHeight="1">
      <c r="A1640" s="6" t="s">
        <v>6796</v>
      </c>
      <c r="B1640" s="6" t="s">
        <v>6797</v>
      </c>
    </row>
    <row r="1641" ht="12.75" customHeight="1">
      <c r="A1641" s="6" t="s">
        <v>6798</v>
      </c>
      <c r="B1641" s="6" t="s">
        <v>6799</v>
      </c>
    </row>
    <row r="1642" ht="12.75" customHeight="1">
      <c r="A1642" s="6" t="s">
        <v>6800</v>
      </c>
      <c r="B1642" s="6" t="s">
        <v>6801</v>
      </c>
    </row>
    <row r="1643" ht="12.75" customHeight="1">
      <c r="A1643" s="6" t="s">
        <v>6802</v>
      </c>
      <c r="B1643" s="6" t="s">
        <v>6803</v>
      </c>
    </row>
    <row r="1644" ht="12.75" customHeight="1">
      <c r="A1644" s="6" t="s">
        <v>6804</v>
      </c>
      <c r="B1644" s="6" t="s">
        <v>6805</v>
      </c>
    </row>
    <row r="1645" ht="12.75" customHeight="1">
      <c r="A1645" s="6" t="s">
        <v>6806</v>
      </c>
      <c r="B1645" s="6" t="s">
        <v>6807</v>
      </c>
    </row>
    <row r="1646" ht="12.75" customHeight="1">
      <c r="A1646" s="6" t="s">
        <v>6808</v>
      </c>
      <c r="B1646" s="6" t="s">
        <v>6809</v>
      </c>
    </row>
    <row r="1647" ht="12.75" customHeight="1">
      <c r="A1647" s="6" t="s">
        <v>6810</v>
      </c>
      <c r="B1647" s="6" t="s">
        <v>6811</v>
      </c>
    </row>
    <row r="1648" ht="12.75" customHeight="1">
      <c r="A1648" s="6" t="s">
        <v>6812</v>
      </c>
      <c r="B1648" s="6" t="s">
        <v>6813</v>
      </c>
    </row>
    <row r="1649" ht="12.75" customHeight="1">
      <c r="A1649" s="6" t="s">
        <v>6814</v>
      </c>
      <c r="B1649" s="6" t="s">
        <v>6815</v>
      </c>
    </row>
    <row r="1650" ht="12.75" customHeight="1">
      <c r="A1650" s="6" t="s">
        <v>6816</v>
      </c>
      <c r="B1650" s="6" t="s">
        <v>6817</v>
      </c>
    </row>
    <row r="1651" ht="12.75" customHeight="1">
      <c r="A1651" s="6" t="s">
        <v>6818</v>
      </c>
      <c r="B1651" s="6" t="s">
        <v>6819</v>
      </c>
    </row>
    <row r="1652" ht="12.75" customHeight="1">
      <c r="A1652" s="6" t="s">
        <v>6820</v>
      </c>
      <c r="B1652" s="6" t="s">
        <v>6821</v>
      </c>
    </row>
    <row r="1653" ht="12.75" customHeight="1">
      <c r="A1653" s="6" t="s">
        <v>6822</v>
      </c>
      <c r="B1653" s="6" t="s">
        <v>6823</v>
      </c>
    </row>
    <row r="1654" ht="12.75" customHeight="1">
      <c r="A1654" s="6" t="s">
        <v>6824</v>
      </c>
      <c r="B1654" s="6" t="s">
        <v>6825</v>
      </c>
    </row>
    <row r="1655" ht="12.75" customHeight="1">
      <c r="A1655" s="6" t="s">
        <v>6826</v>
      </c>
      <c r="B1655" s="6" t="s">
        <v>6827</v>
      </c>
    </row>
    <row r="1656" ht="12.75" customHeight="1">
      <c r="A1656" s="6" t="s">
        <v>6828</v>
      </c>
      <c r="B1656" s="6" t="s">
        <v>6829</v>
      </c>
    </row>
    <row r="1657" ht="12.75" customHeight="1">
      <c r="A1657" s="6" t="s">
        <v>6830</v>
      </c>
      <c r="B1657" s="6" t="s">
        <v>6831</v>
      </c>
    </row>
    <row r="1658" ht="12.75" customHeight="1">
      <c r="A1658" s="6" t="s">
        <v>6832</v>
      </c>
      <c r="B1658" s="6" t="s">
        <v>6833</v>
      </c>
    </row>
    <row r="1659" ht="12.75" customHeight="1">
      <c r="A1659" s="6" t="s">
        <v>6834</v>
      </c>
      <c r="B1659" s="6" t="s">
        <v>6835</v>
      </c>
    </row>
    <row r="1660" ht="12.75" customHeight="1">
      <c r="A1660" s="6" t="s">
        <v>6836</v>
      </c>
      <c r="B1660" s="6" t="s">
        <v>6837</v>
      </c>
    </row>
    <row r="1661" ht="12.75" customHeight="1">
      <c r="A1661" s="6" t="s">
        <v>6838</v>
      </c>
      <c r="B1661" s="6" t="s">
        <v>6839</v>
      </c>
    </row>
    <row r="1662" ht="12.75" customHeight="1">
      <c r="A1662" s="6" t="s">
        <v>6840</v>
      </c>
      <c r="B1662" s="6" t="s">
        <v>6841</v>
      </c>
    </row>
    <row r="1663" ht="12.75" customHeight="1">
      <c r="A1663" s="6" t="s">
        <v>6842</v>
      </c>
      <c r="B1663" s="6" t="s">
        <v>6843</v>
      </c>
    </row>
    <row r="1664" ht="12.75" customHeight="1">
      <c r="A1664" s="6" t="s">
        <v>6844</v>
      </c>
      <c r="B1664" s="6" t="s">
        <v>6845</v>
      </c>
    </row>
    <row r="1665" ht="12.75" customHeight="1">
      <c r="A1665" s="6" t="s">
        <v>6846</v>
      </c>
      <c r="B1665" s="6" t="s">
        <v>6847</v>
      </c>
    </row>
    <row r="1666" ht="12.75" customHeight="1">
      <c r="A1666" s="6" t="s">
        <v>6848</v>
      </c>
      <c r="B1666" s="6" t="s">
        <v>6849</v>
      </c>
    </row>
    <row r="1667" ht="12.75" customHeight="1">
      <c r="A1667" s="6" t="s">
        <v>6850</v>
      </c>
      <c r="B1667" s="6" t="s">
        <v>6851</v>
      </c>
    </row>
    <row r="1668" ht="12.75" customHeight="1">
      <c r="A1668" s="6" t="s">
        <v>6852</v>
      </c>
      <c r="B1668" s="6" t="s">
        <v>6853</v>
      </c>
    </row>
    <row r="1669" ht="12.75" customHeight="1">
      <c r="A1669" s="6" t="s">
        <v>6854</v>
      </c>
      <c r="B1669" s="6" t="s">
        <v>6855</v>
      </c>
    </row>
    <row r="1670" ht="12.75" customHeight="1">
      <c r="A1670" s="6" t="s">
        <v>6856</v>
      </c>
      <c r="B1670" s="6" t="s">
        <v>6857</v>
      </c>
    </row>
    <row r="1671" ht="12.75" customHeight="1">
      <c r="A1671" s="6" t="s">
        <v>6858</v>
      </c>
      <c r="B1671" s="6" t="s">
        <v>6859</v>
      </c>
    </row>
    <row r="1672" ht="12.75" customHeight="1">
      <c r="A1672" s="6" t="s">
        <v>6860</v>
      </c>
      <c r="B1672" s="6" t="s">
        <v>6861</v>
      </c>
    </row>
    <row r="1673" ht="12.75" customHeight="1">
      <c r="A1673" s="6" t="s">
        <v>6862</v>
      </c>
      <c r="B1673" s="6" t="s">
        <v>6863</v>
      </c>
    </row>
    <row r="1674" ht="12.75" customHeight="1">
      <c r="A1674" s="6" t="s">
        <v>6864</v>
      </c>
      <c r="B1674" s="6" t="s">
        <v>6865</v>
      </c>
    </row>
    <row r="1675" ht="12.75" customHeight="1">
      <c r="A1675" s="6" t="s">
        <v>6866</v>
      </c>
    </row>
    <row r="1676" ht="12.75" customHeight="1">
      <c r="A1676" s="6" t="s">
        <v>6867</v>
      </c>
    </row>
    <row r="1677" ht="12.75" customHeight="1">
      <c r="A1677" s="6" t="s">
        <v>6868</v>
      </c>
      <c r="B1677" s="6" t="s">
        <v>6869</v>
      </c>
    </row>
    <row r="1678" ht="12.75" customHeight="1">
      <c r="A1678" s="6" t="s">
        <v>6870</v>
      </c>
      <c r="B1678" s="6" t="s">
        <v>6871</v>
      </c>
    </row>
    <row r="1679" ht="12.75" customHeight="1">
      <c r="A1679" s="6" t="s">
        <v>6872</v>
      </c>
      <c r="B1679" s="6" t="s">
        <v>6873</v>
      </c>
    </row>
    <row r="1680" ht="12.75" customHeight="1">
      <c r="A1680" s="6" t="s">
        <v>6874</v>
      </c>
      <c r="B1680" s="6" t="s">
        <v>6875</v>
      </c>
    </row>
    <row r="1681" ht="12.75" customHeight="1">
      <c r="A1681" s="6" t="s">
        <v>6876</v>
      </c>
      <c r="B1681" s="6" t="s">
        <v>6877</v>
      </c>
    </row>
    <row r="1682" ht="12.75" customHeight="1">
      <c r="A1682" s="6" t="s">
        <v>6878</v>
      </c>
      <c r="B1682" s="6" t="s">
        <v>6879</v>
      </c>
    </row>
    <row r="1683" ht="12.75" customHeight="1">
      <c r="A1683" s="6" t="s">
        <v>6880</v>
      </c>
      <c r="B1683" s="6" t="s">
        <v>6881</v>
      </c>
    </row>
    <row r="1684" ht="12.75" customHeight="1">
      <c r="A1684" s="6" t="s">
        <v>6882</v>
      </c>
      <c r="B1684" s="6" t="s">
        <v>6883</v>
      </c>
    </row>
    <row r="1685" ht="12.75" customHeight="1">
      <c r="A1685" s="6" t="s">
        <v>6884</v>
      </c>
      <c r="B1685" s="6" t="s">
        <v>6885</v>
      </c>
    </row>
    <row r="1686" ht="12.75" customHeight="1">
      <c r="A1686" s="6" t="s">
        <v>6886</v>
      </c>
      <c r="B1686" s="6" t="s">
        <v>6887</v>
      </c>
    </row>
    <row r="1687" ht="12.75" customHeight="1">
      <c r="A1687" s="6" t="s">
        <v>6888</v>
      </c>
      <c r="B1687" s="6" t="s">
        <v>6889</v>
      </c>
    </row>
    <row r="1688" ht="12.75" customHeight="1">
      <c r="A1688" s="6" t="s">
        <v>6890</v>
      </c>
      <c r="B1688" s="6" t="s">
        <v>6891</v>
      </c>
    </row>
    <row r="1689" ht="12.75" customHeight="1">
      <c r="A1689" s="6" t="s">
        <v>6892</v>
      </c>
      <c r="B1689" s="6" t="s">
        <v>6893</v>
      </c>
    </row>
    <row r="1690" ht="12.75" customHeight="1">
      <c r="A1690" s="6" t="s">
        <v>6894</v>
      </c>
      <c r="B1690" s="6" t="s">
        <v>6895</v>
      </c>
    </row>
    <row r="1691" ht="12.75" customHeight="1">
      <c r="A1691" s="6" t="s">
        <v>6896</v>
      </c>
      <c r="B1691" s="6" t="s">
        <v>6897</v>
      </c>
    </row>
    <row r="1692" ht="12.75" customHeight="1">
      <c r="A1692" s="6" t="s">
        <v>6898</v>
      </c>
      <c r="B1692" s="6" t="s">
        <v>6899</v>
      </c>
    </row>
    <row r="1693" ht="12.75" customHeight="1">
      <c r="A1693" s="6" t="s">
        <v>6900</v>
      </c>
      <c r="B1693" s="6" t="s">
        <v>6901</v>
      </c>
    </row>
    <row r="1694" ht="12.75" customHeight="1">
      <c r="A1694" s="6" t="s">
        <v>6902</v>
      </c>
      <c r="B1694" s="6" t="s">
        <v>6903</v>
      </c>
    </row>
    <row r="1695" ht="12.75" customHeight="1">
      <c r="A1695" s="6" t="s">
        <v>6904</v>
      </c>
      <c r="B1695" s="6" t="s">
        <v>6905</v>
      </c>
    </row>
    <row r="1696" ht="12.75" customHeight="1">
      <c r="A1696" s="6" t="s">
        <v>6906</v>
      </c>
      <c r="B1696" s="6" t="s">
        <v>6907</v>
      </c>
    </row>
    <row r="1697" ht="12.75" customHeight="1">
      <c r="A1697" s="6" t="s">
        <v>6908</v>
      </c>
      <c r="B1697" s="6" t="s">
        <v>6909</v>
      </c>
    </row>
    <row r="1698" ht="12.75" customHeight="1">
      <c r="A1698" s="6" t="s">
        <v>6910</v>
      </c>
      <c r="B1698" s="6" t="s">
        <v>6911</v>
      </c>
    </row>
    <row r="1699" ht="12.75" customHeight="1">
      <c r="A1699" s="6" t="s">
        <v>6912</v>
      </c>
      <c r="B1699" s="6" t="s">
        <v>6913</v>
      </c>
    </row>
    <row r="1700" ht="12.75" customHeight="1">
      <c r="A1700" s="6" t="s">
        <v>6914</v>
      </c>
      <c r="B1700" s="6" t="s">
        <v>6915</v>
      </c>
    </row>
    <row r="1701" ht="12.75" customHeight="1">
      <c r="A1701" s="6" t="s">
        <v>6916</v>
      </c>
      <c r="B1701" s="6" t="s">
        <v>2362</v>
      </c>
    </row>
    <row r="1702" ht="12.75" customHeight="1">
      <c r="A1702" s="6" t="s">
        <v>6917</v>
      </c>
      <c r="B1702" s="6" t="s">
        <v>6918</v>
      </c>
    </row>
    <row r="1703" ht="12.75" customHeight="1">
      <c r="A1703" s="6" t="s">
        <v>6919</v>
      </c>
      <c r="B1703" s="6" t="s">
        <v>6920</v>
      </c>
    </row>
    <row r="1704" ht="12.75" customHeight="1">
      <c r="A1704" s="6" t="s">
        <v>6921</v>
      </c>
      <c r="B1704" s="6" t="s">
        <v>6922</v>
      </c>
    </row>
    <row r="1705" ht="12.75" customHeight="1">
      <c r="A1705" s="6" t="s">
        <v>6923</v>
      </c>
      <c r="B1705" s="6" t="s">
        <v>6924</v>
      </c>
    </row>
    <row r="1706" ht="12.75" customHeight="1">
      <c r="A1706" s="6" t="s">
        <v>6925</v>
      </c>
      <c r="B1706" s="6" t="s">
        <v>6926</v>
      </c>
    </row>
    <row r="1707" ht="12.75" customHeight="1">
      <c r="A1707" s="6" t="s">
        <v>6927</v>
      </c>
      <c r="B1707" s="6" t="s">
        <v>6928</v>
      </c>
    </row>
    <row r="1708" ht="12.75" customHeight="1">
      <c r="A1708" s="6" t="s">
        <v>6929</v>
      </c>
      <c r="B1708" s="6" t="s">
        <v>6930</v>
      </c>
    </row>
    <row r="1709" ht="12.75" customHeight="1">
      <c r="A1709" s="6" t="s">
        <v>6931</v>
      </c>
    </row>
    <row r="1710" ht="12.75" customHeight="1">
      <c r="A1710" s="6" t="s">
        <v>6932</v>
      </c>
      <c r="B1710" s="6" t="s">
        <v>6599</v>
      </c>
    </row>
    <row r="1711" ht="12.75" customHeight="1">
      <c r="A1711" s="6" t="s">
        <v>6933</v>
      </c>
      <c r="B1711" s="6" t="s">
        <v>6934</v>
      </c>
    </row>
    <row r="1712" ht="12.75" customHeight="1">
      <c r="A1712" s="6" t="s">
        <v>6935</v>
      </c>
      <c r="B1712" s="6" t="s">
        <v>6936</v>
      </c>
    </row>
    <row r="1713" ht="12.75" customHeight="1">
      <c r="A1713" s="6" t="s">
        <v>6937</v>
      </c>
      <c r="B1713" s="6" t="s">
        <v>6938</v>
      </c>
    </row>
    <row r="1714" ht="12.75" customHeight="1">
      <c r="A1714" s="6" t="s">
        <v>6939</v>
      </c>
    </row>
    <row r="1715" ht="12.75" customHeight="1">
      <c r="A1715" s="6" t="s">
        <v>6940</v>
      </c>
      <c r="B1715" s="6" t="s">
        <v>6941</v>
      </c>
    </row>
    <row r="1716" ht="12.75" customHeight="1">
      <c r="A1716" s="6" t="s">
        <v>6942</v>
      </c>
      <c r="B1716" s="6" t="s">
        <v>6943</v>
      </c>
    </row>
    <row r="1717" ht="12.75" customHeight="1">
      <c r="A1717" s="6" t="s">
        <v>6944</v>
      </c>
      <c r="B1717" s="6" t="s">
        <v>6945</v>
      </c>
    </row>
    <row r="1718" ht="12.75" customHeight="1">
      <c r="A1718" s="6" t="s">
        <v>6946</v>
      </c>
      <c r="B1718" s="6" t="s">
        <v>6947</v>
      </c>
    </row>
    <row r="1719" ht="12.75" customHeight="1">
      <c r="A1719" s="6" t="s">
        <v>6948</v>
      </c>
    </row>
    <row r="1720" ht="12.75" customHeight="1">
      <c r="A1720" s="6" t="s">
        <v>6949</v>
      </c>
      <c r="B1720" s="6" t="s">
        <v>6950</v>
      </c>
    </row>
    <row r="1721" ht="12.75" customHeight="1">
      <c r="A1721" s="6" t="s">
        <v>6951</v>
      </c>
      <c r="B1721" s="6" t="s">
        <v>6952</v>
      </c>
    </row>
    <row r="1722" ht="12.75" customHeight="1">
      <c r="A1722" s="6" t="s">
        <v>6953</v>
      </c>
      <c r="B1722" s="6" t="s">
        <v>6954</v>
      </c>
    </row>
    <row r="1723" ht="12.75" customHeight="1">
      <c r="A1723" s="6" t="s">
        <v>6955</v>
      </c>
      <c r="B1723" s="6" t="s">
        <v>6956</v>
      </c>
    </row>
    <row r="1724" ht="12.75" customHeight="1">
      <c r="A1724" s="6" t="s">
        <v>6957</v>
      </c>
      <c r="B1724" s="6" t="s">
        <v>6958</v>
      </c>
    </row>
    <row r="1725" ht="12.75" customHeight="1">
      <c r="A1725" s="6" t="s">
        <v>6959</v>
      </c>
      <c r="B1725" s="6" t="s">
        <v>6960</v>
      </c>
    </row>
    <row r="1726" ht="12.75" customHeight="1">
      <c r="A1726" s="6" t="s">
        <v>6961</v>
      </c>
      <c r="B1726" s="6" t="s">
        <v>6962</v>
      </c>
    </row>
    <row r="1727" ht="12.75" customHeight="1">
      <c r="A1727" s="6" t="s">
        <v>6963</v>
      </c>
      <c r="B1727" s="6" t="s">
        <v>6964</v>
      </c>
    </row>
    <row r="1728" ht="12.75" customHeight="1">
      <c r="A1728" s="6" t="s">
        <v>6965</v>
      </c>
      <c r="B1728" s="6" t="s">
        <v>6966</v>
      </c>
    </row>
    <row r="1729" ht="12.75" customHeight="1">
      <c r="A1729" s="6" t="s">
        <v>6967</v>
      </c>
      <c r="B1729" s="6" t="s">
        <v>6968</v>
      </c>
    </row>
    <row r="1730" ht="12.75" customHeight="1">
      <c r="A1730" s="6" t="s">
        <v>6969</v>
      </c>
      <c r="B1730" s="6" t="s">
        <v>6970</v>
      </c>
    </row>
    <row r="1731" ht="12.75" customHeight="1">
      <c r="A1731" s="6" t="s">
        <v>6971</v>
      </c>
      <c r="B1731" s="6" t="s">
        <v>6972</v>
      </c>
    </row>
    <row r="1732" ht="12.75" customHeight="1">
      <c r="A1732" s="6" t="s">
        <v>6973</v>
      </c>
      <c r="B1732" s="6" t="s">
        <v>6974</v>
      </c>
    </row>
    <row r="1733" ht="12.75" customHeight="1">
      <c r="A1733" s="6" t="s">
        <v>6975</v>
      </c>
      <c r="B1733" s="6" t="s">
        <v>6976</v>
      </c>
    </row>
    <row r="1734" ht="12.75" customHeight="1">
      <c r="A1734" s="6" t="s">
        <v>6977</v>
      </c>
      <c r="B1734" s="6" t="s">
        <v>6978</v>
      </c>
    </row>
    <row r="1735" ht="12.75" customHeight="1">
      <c r="A1735" s="6" t="s">
        <v>6979</v>
      </c>
      <c r="B1735" s="6" t="s">
        <v>6980</v>
      </c>
    </row>
    <row r="1736" ht="12.75" customHeight="1">
      <c r="A1736" s="6" t="s">
        <v>6981</v>
      </c>
      <c r="B1736" s="6" t="s">
        <v>6982</v>
      </c>
    </row>
    <row r="1737" ht="12.75" customHeight="1">
      <c r="A1737" s="6" t="s">
        <v>6983</v>
      </c>
      <c r="B1737" s="6" t="s">
        <v>6984</v>
      </c>
    </row>
    <row r="1738" ht="12.75" customHeight="1">
      <c r="A1738" s="6" t="s">
        <v>6985</v>
      </c>
      <c r="B1738" s="6" t="s">
        <v>6986</v>
      </c>
    </row>
    <row r="1739" ht="12.75" customHeight="1">
      <c r="A1739" s="6" t="s">
        <v>6987</v>
      </c>
      <c r="B1739" s="6" t="s">
        <v>6988</v>
      </c>
    </row>
    <row r="1740" ht="12.75" customHeight="1">
      <c r="A1740" s="6" t="s">
        <v>6989</v>
      </c>
      <c r="B1740" s="6" t="s">
        <v>6990</v>
      </c>
    </row>
    <row r="1741" ht="12.75" customHeight="1">
      <c r="A1741" s="6" t="s">
        <v>6991</v>
      </c>
      <c r="B1741" s="6" t="s">
        <v>6992</v>
      </c>
    </row>
    <row r="1742" ht="12.75" customHeight="1">
      <c r="A1742" s="6" t="s">
        <v>6993</v>
      </c>
      <c r="B1742" s="6" t="s">
        <v>6994</v>
      </c>
    </row>
    <row r="1743" ht="12.75" customHeight="1">
      <c r="A1743" s="6" t="s">
        <v>6995</v>
      </c>
      <c r="B1743" s="6" t="s">
        <v>6996</v>
      </c>
    </row>
    <row r="1744" ht="12.75" customHeight="1">
      <c r="A1744" s="6" t="s">
        <v>6997</v>
      </c>
    </row>
    <row r="1745" ht="12.75" customHeight="1">
      <c r="A1745" s="6" t="s">
        <v>6998</v>
      </c>
      <c r="B1745" s="6" t="s">
        <v>6999</v>
      </c>
    </row>
    <row r="1746" ht="12.75" customHeight="1">
      <c r="A1746" s="6" t="s">
        <v>7000</v>
      </c>
      <c r="B1746" s="6" t="s">
        <v>7001</v>
      </c>
    </row>
    <row r="1747" ht="12.75" customHeight="1">
      <c r="A1747" s="6" t="s">
        <v>7002</v>
      </c>
      <c r="B1747" s="6" t="s">
        <v>7003</v>
      </c>
    </row>
    <row r="1748" ht="12.75" customHeight="1">
      <c r="A1748" s="6" t="s">
        <v>7004</v>
      </c>
      <c r="B1748" s="6" t="s">
        <v>7005</v>
      </c>
    </row>
    <row r="1749" ht="12.75" customHeight="1">
      <c r="A1749" s="6" t="s">
        <v>7006</v>
      </c>
      <c r="B1749" s="6" t="s">
        <v>7007</v>
      </c>
    </row>
    <row r="1750" ht="12.75" customHeight="1">
      <c r="A1750" s="6" t="s">
        <v>7008</v>
      </c>
      <c r="B1750" s="6" t="s">
        <v>7009</v>
      </c>
    </row>
    <row r="1751" ht="12.75" customHeight="1">
      <c r="A1751" s="6" t="s">
        <v>7010</v>
      </c>
      <c r="B1751" s="6" t="s">
        <v>7011</v>
      </c>
    </row>
    <row r="1752" ht="12.75" customHeight="1">
      <c r="A1752" s="6" t="s">
        <v>7012</v>
      </c>
      <c r="B1752" s="6" t="s">
        <v>7013</v>
      </c>
    </row>
    <row r="1753" ht="12.75" customHeight="1">
      <c r="A1753" s="6" t="s">
        <v>7014</v>
      </c>
      <c r="B1753" s="6" t="s">
        <v>7015</v>
      </c>
    </row>
    <row r="1754" ht="12.75" customHeight="1">
      <c r="A1754" s="6" t="s">
        <v>7016</v>
      </c>
      <c r="B1754" s="6" t="s">
        <v>7017</v>
      </c>
    </row>
    <row r="1755" ht="12.75" customHeight="1">
      <c r="A1755" s="6" t="s">
        <v>7018</v>
      </c>
      <c r="B1755" s="6" t="s">
        <v>7019</v>
      </c>
    </row>
    <row r="1756" ht="12.75" customHeight="1">
      <c r="A1756" s="6" t="s">
        <v>7020</v>
      </c>
      <c r="B1756" s="6" t="s">
        <v>7021</v>
      </c>
    </row>
    <row r="1757" ht="12.75" customHeight="1">
      <c r="A1757" s="6" t="s">
        <v>7022</v>
      </c>
      <c r="B1757" s="6" t="s">
        <v>7023</v>
      </c>
    </row>
    <row r="1758" ht="12.75" customHeight="1">
      <c r="A1758" s="6" t="s">
        <v>7024</v>
      </c>
      <c r="B1758" s="6" t="s">
        <v>7025</v>
      </c>
    </row>
    <row r="1759" ht="12.75" customHeight="1">
      <c r="A1759" s="6" t="s">
        <v>7026</v>
      </c>
    </row>
    <row r="1760" ht="12.75" customHeight="1">
      <c r="A1760" s="6" t="s">
        <v>7027</v>
      </c>
      <c r="B1760" s="6" t="s">
        <v>7028</v>
      </c>
    </row>
    <row r="1761" ht="12.75" customHeight="1">
      <c r="A1761" s="6" t="s">
        <v>7029</v>
      </c>
      <c r="B1761" s="6" t="s">
        <v>7030</v>
      </c>
    </row>
    <row r="1762" ht="12.75" customHeight="1">
      <c r="A1762" s="6" t="s">
        <v>7031</v>
      </c>
      <c r="B1762" s="6" t="s">
        <v>7032</v>
      </c>
    </row>
    <row r="1763" ht="12.75" customHeight="1">
      <c r="A1763" s="6" t="s">
        <v>7033</v>
      </c>
      <c r="B1763" s="6" t="s">
        <v>7034</v>
      </c>
    </row>
    <row r="1764" ht="12.75" customHeight="1">
      <c r="A1764" s="6" t="s">
        <v>7035</v>
      </c>
      <c r="B1764" s="6" t="s">
        <v>7036</v>
      </c>
    </row>
    <row r="1765" ht="12.75" customHeight="1">
      <c r="A1765" s="6" t="s">
        <v>7037</v>
      </c>
      <c r="B1765" s="6" t="s">
        <v>2942</v>
      </c>
    </row>
    <row r="1766" ht="12.75" customHeight="1">
      <c r="A1766" s="6" t="s">
        <v>7038</v>
      </c>
      <c r="B1766" s="6" t="s">
        <v>1084</v>
      </c>
    </row>
    <row r="1767" ht="12.75" customHeight="1">
      <c r="A1767" s="6" t="s">
        <v>7039</v>
      </c>
    </row>
    <row r="1768" ht="12.75" customHeight="1">
      <c r="A1768" s="6" t="s">
        <v>7040</v>
      </c>
      <c r="B1768" s="6" t="s">
        <v>125</v>
      </c>
    </row>
    <row r="1769" ht="12.75" customHeight="1">
      <c r="A1769" s="6" t="s">
        <v>7041</v>
      </c>
      <c r="B1769" s="6" t="s">
        <v>1318</v>
      </c>
    </row>
    <row r="1770" ht="12.75" customHeight="1">
      <c r="A1770" s="6" t="s">
        <v>7042</v>
      </c>
      <c r="B1770" s="6" t="s">
        <v>7043</v>
      </c>
    </row>
    <row r="1771" ht="12.75" customHeight="1">
      <c r="A1771" s="6" t="s">
        <v>7044</v>
      </c>
      <c r="B1771" s="6" t="s">
        <v>342</v>
      </c>
    </row>
    <row r="1772" ht="12.75" customHeight="1">
      <c r="A1772" s="6" t="s">
        <v>7045</v>
      </c>
      <c r="B1772" s="6" t="s">
        <v>3410</v>
      </c>
    </row>
    <row r="1773" ht="12.75" customHeight="1">
      <c r="A1773" s="6" t="s">
        <v>7046</v>
      </c>
      <c r="B1773" s="6" t="s">
        <v>365</v>
      </c>
    </row>
    <row r="1774" ht="12.75" customHeight="1">
      <c r="A1774" s="6" t="s">
        <v>7047</v>
      </c>
    </row>
    <row r="1775" ht="12.75" customHeight="1">
      <c r="A1775" s="6" t="s">
        <v>7048</v>
      </c>
      <c r="B1775" s="6" t="s">
        <v>7049</v>
      </c>
    </row>
    <row r="1776" ht="12.75" customHeight="1">
      <c r="A1776" s="6" t="s">
        <v>7050</v>
      </c>
      <c r="B1776" s="6" t="s">
        <v>7051</v>
      </c>
    </row>
    <row r="1777" ht="12.75" customHeight="1">
      <c r="A1777" s="6" t="s">
        <v>7052</v>
      </c>
      <c r="B1777" s="6" t="s">
        <v>7053</v>
      </c>
    </row>
    <row r="1778" ht="12.75" customHeight="1">
      <c r="A1778" s="6" t="s">
        <v>7054</v>
      </c>
      <c r="B1778" s="6" t="s">
        <v>7055</v>
      </c>
    </row>
    <row r="1779" ht="12.75" customHeight="1">
      <c r="A1779" s="6" t="s">
        <v>7056</v>
      </c>
      <c r="B1779" s="6" t="s">
        <v>7057</v>
      </c>
    </row>
    <row r="1780" ht="12.75" customHeight="1">
      <c r="A1780" s="6" t="s">
        <v>7058</v>
      </c>
      <c r="B1780" s="6" t="s">
        <v>7059</v>
      </c>
    </row>
    <row r="1781" ht="12.75" customHeight="1">
      <c r="A1781" s="6" t="s">
        <v>7060</v>
      </c>
      <c r="B1781" s="6" t="s">
        <v>7061</v>
      </c>
    </row>
    <row r="1782" ht="12.75" customHeight="1">
      <c r="A1782" s="6" t="s">
        <v>7062</v>
      </c>
      <c r="B1782" s="6" t="s">
        <v>7063</v>
      </c>
    </row>
    <row r="1783" ht="12.75" customHeight="1">
      <c r="A1783" s="6" t="s">
        <v>7064</v>
      </c>
      <c r="B1783" s="6" t="s">
        <v>7065</v>
      </c>
    </row>
    <row r="1784" ht="12.75" customHeight="1">
      <c r="A1784" s="6" t="s">
        <v>7066</v>
      </c>
      <c r="B1784" s="6" t="s">
        <v>7067</v>
      </c>
    </row>
    <row r="1785" ht="12.75" customHeight="1">
      <c r="A1785" s="6" t="s">
        <v>7068</v>
      </c>
      <c r="B1785" s="6" t="s">
        <v>7069</v>
      </c>
    </row>
    <row r="1786" ht="12.75" customHeight="1">
      <c r="A1786" s="6" t="s">
        <v>7070</v>
      </c>
      <c r="B1786" s="6" t="s">
        <v>239</v>
      </c>
    </row>
    <row r="1787" ht="12.75" customHeight="1">
      <c r="A1787" s="6" t="s">
        <v>7071</v>
      </c>
    </row>
    <row r="1788" ht="12.75" customHeight="1">
      <c r="A1788" s="6" t="s">
        <v>7072</v>
      </c>
      <c r="B1788" s="6" t="s">
        <v>7073</v>
      </c>
    </row>
    <row r="1789" ht="12.75" customHeight="1">
      <c r="A1789" s="6" t="s">
        <v>7074</v>
      </c>
      <c r="B1789" s="6" t="s">
        <v>7075</v>
      </c>
    </row>
    <row r="1790" ht="12.75" customHeight="1">
      <c r="A1790" s="6" t="s">
        <v>7076</v>
      </c>
      <c r="B1790" s="6" t="s">
        <v>7077</v>
      </c>
    </row>
    <row r="1791" ht="12.75" customHeight="1">
      <c r="A1791" s="6" t="s">
        <v>7078</v>
      </c>
      <c r="B1791" s="6" t="s">
        <v>7079</v>
      </c>
    </row>
    <row r="1792" ht="12.75" customHeight="1">
      <c r="A1792" s="6" t="s">
        <v>7080</v>
      </c>
      <c r="B1792" s="6" t="s">
        <v>7081</v>
      </c>
    </row>
    <row r="1793" ht="12.75" customHeight="1">
      <c r="A1793" s="6" t="s">
        <v>7082</v>
      </c>
      <c r="B1793" s="6" t="s">
        <v>7083</v>
      </c>
    </row>
    <row r="1794" ht="12.75" customHeight="1">
      <c r="A1794" s="6" t="s">
        <v>7084</v>
      </c>
      <c r="B1794" s="6" t="s">
        <v>7085</v>
      </c>
    </row>
    <row r="1795" ht="12.75" customHeight="1">
      <c r="A1795" s="6" t="s">
        <v>7086</v>
      </c>
      <c r="B1795" s="6" t="s">
        <v>7087</v>
      </c>
    </row>
    <row r="1796" ht="12.75" customHeight="1">
      <c r="A1796" s="6" t="s">
        <v>7088</v>
      </c>
      <c r="B1796" s="6" t="s">
        <v>7089</v>
      </c>
    </row>
    <row r="1797" ht="12.75" customHeight="1">
      <c r="A1797" s="6" t="s">
        <v>7090</v>
      </c>
      <c r="B1797" s="6" t="s">
        <v>7091</v>
      </c>
    </row>
    <row r="1798" ht="12.75" customHeight="1">
      <c r="A1798" s="6" t="s">
        <v>7092</v>
      </c>
      <c r="B1798" s="6" t="s">
        <v>7093</v>
      </c>
    </row>
    <row r="1799" ht="12.75" customHeight="1">
      <c r="A1799" s="6" t="s">
        <v>7094</v>
      </c>
      <c r="B1799" s="6" t="s">
        <v>7095</v>
      </c>
    </row>
    <row r="1800" ht="12.75" customHeight="1">
      <c r="A1800" s="6" t="s">
        <v>7096</v>
      </c>
      <c r="B1800" s="6" t="s">
        <v>7097</v>
      </c>
    </row>
    <row r="1801" ht="12.75" customHeight="1">
      <c r="A1801" s="6" t="s">
        <v>7098</v>
      </c>
      <c r="B1801" s="6" t="s">
        <v>7099</v>
      </c>
    </row>
    <row r="1802" ht="12.75" customHeight="1">
      <c r="A1802" s="6" t="s">
        <v>7100</v>
      </c>
      <c r="B1802" s="6" t="s">
        <v>7101</v>
      </c>
    </row>
    <row r="1803" ht="12.75" customHeight="1">
      <c r="A1803" s="6" t="s">
        <v>7102</v>
      </c>
      <c r="B1803" s="6" t="s">
        <v>7103</v>
      </c>
    </row>
    <row r="1804" ht="12.75" customHeight="1">
      <c r="A1804" s="6" t="s">
        <v>7104</v>
      </c>
      <c r="B1804" s="6" t="s">
        <v>7105</v>
      </c>
    </row>
    <row r="1805" ht="12.75" customHeight="1">
      <c r="A1805" s="6" t="s">
        <v>7106</v>
      </c>
      <c r="B1805" s="6" t="s">
        <v>7107</v>
      </c>
    </row>
    <row r="1806" ht="12.75" customHeight="1">
      <c r="A1806" s="6" t="s">
        <v>7108</v>
      </c>
      <c r="B1806" s="6" t="s">
        <v>7109</v>
      </c>
    </row>
    <row r="1807" ht="12.75" customHeight="1">
      <c r="A1807" s="6" t="s">
        <v>7110</v>
      </c>
      <c r="B1807" s="6" t="s">
        <v>7111</v>
      </c>
    </row>
    <row r="1808" ht="12.75" customHeight="1">
      <c r="A1808" s="6" t="s">
        <v>7112</v>
      </c>
      <c r="B1808" s="6" t="s">
        <v>7113</v>
      </c>
    </row>
    <row r="1809" ht="12.75" customHeight="1">
      <c r="A1809" s="6" t="s">
        <v>7114</v>
      </c>
      <c r="B1809" s="6" t="s">
        <v>7115</v>
      </c>
    </row>
    <row r="1810" ht="12.75" customHeight="1">
      <c r="A1810" s="6" t="s">
        <v>7116</v>
      </c>
      <c r="B1810" s="6" t="s">
        <v>1904</v>
      </c>
    </row>
    <row r="1811" ht="12.75" customHeight="1">
      <c r="A1811" s="6" t="s">
        <v>7117</v>
      </c>
      <c r="B1811" s="6" t="s">
        <v>7118</v>
      </c>
    </row>
    <row r="1812" ht="12.75" customHeight="1">
      <c r="A1812" s="6" t="s">
        <v>7119</v>
      </c>
      <c r="B1812" s="6" t="s">
        <v>7120</v>
      </c>
    </row>
    <row r="1813" ht="12.75" customHeight="1">
      <c r="A1813" s="6" t="s">
        <v>7121</v>
      </c>
      <c r="B1813" s="6" t="s">
        <v>7122</v>
      </c>
    </row>
    <row r="1814" ht="12.75" customHeight="1">
      <c r="A1814" s="6" t="s">
        <v>7123</v>
      </c>
      <c r="B1814" s="6" t="s">
        <v>7124</v>
      </c>
    </row>
    <row r="1815" ht="12.75" customHeight="1">
      <c r="A1815" s="6" t="s">
        <v>7125</v>
      </c>
      <c r="B1815" s="6" t="s">
        <v>7126</v>
      </c>
    </row>
    <row r="1816" ht="12.75" customHeight="1">
      <c r="A1816" s="6" t="s">
        <v>7127</v>
      </c>
      <c r="B1816" s="6" t="s">
        <v>7128</v>
      </c>
    </row>
    <row r="1817" ht="12.75" customHeight="1">
      <c r="A1817" s="6" t="s">
        <v>7129</v>
      </c>
      <c r="B1817" s="6" t="s">
        <v>7130</v>
      </c>
    </row>
    <row r="1818" ht="12.75" customHeight="1">
      <c r="A1818" s="6" t="s">
        <v>7131</v>
      </c>
      <c r="B1818" s="6" t="s">
        <v>7132</v>
      </c>
    </row>
    <row r="1819" ht="12.75" customHeight="1">
      <c r="A1819" s="6" t="s">
        <v>7133</v>
      </c>
      <c r="B1819" s="6" t="s">
        <v>7134</v>
      </c>
    </row>
    <row r="1820" ht="12.75" customHeight="1">
      <c r="A1820" s="6" t="s">
        <v>7135</v>
      </c>
      <c r="B1820" s="6" t="s">
        <v>2519</v>
      </c>
    </row>
    <row r="1821" ht="12.75" customHeight="1">
      <c r="A1821" s="6" t="s">
        <v>7136</v>
      </c>
      <c r="B1821" s="6" t="s">
        <v>2323</v>
      </c>
    </row>
    <row r="1822" ht="12.75" customHeight="1">
      <c r="A1822" s="6" t="s">
        <v>7137</v>
      </c>
      <c r="B1822" s="6" t="s">
        <v>7138</v>
      </c>
    </row>
    <row r="1823" ht="12.75" customHeight="1">
      <c r="A1823" s="6" t="s">
        <v>7139</v>
      </c>
      <c r="B1823" s="6" t="s">
        <v>7140</v>
      </c>
    </row>
    <row r="1824" ht="12.75" customHeight="1">
      <c r="A1824" s="6" t="s">
        <v>7141</v>
      </c>
      <c r="B1824" s="6" t="s">
        <v>7142</v>
      </c>
    </row>
    <row r="1825" ht="12.75" customHeight="1">
      <c r="A1825" s="6" t="s">
        <v>7143</v>
      </c>
      <c r="B1825" s="6" t="s">
        <v>7144</v>
      </c>
    </row>
    <row r="1826" ht="12.75" customHeight="1">
      <c r="A1826" s="6" t="s">
        <v>7145</v>
      </c>
      <c r="B1826" s="6" t="s">
        <v>7146</v>
      </c>
    </row>
    <row r="1827" ht="12.75" customHeight="1">
      <c r="A1827" s="6" t="s">
        <v>7147</v>
      </c>
      <c r="B1827" s="6" t="s">
        <v>7148</v>
      </c>
    </row>
    <row r="1828" ht="12.75" customHeight="1">
      <c r="A1828" s="6" t="s">
        <v>7149</v>
      </c>
      <c r="B1828" s="6" t="s">
        <v>7150</v>
      </c>
    </row>
    <row r="1829" ht="12.75" customHeight="1">
      <c r="A1829" s="6" t="s">
        <v>7151</v>
      </c>
      <c r="B1829" s="6" t="s">
        <v>7152</v>
      </c>
    </row>
    <row r="1830" ht="12.75" customHeight="1">
      <c r="A1830" s="6" t="s">
        <v>7153</v>
      </c>
      <c r="B1830" s="6" t="s">
        <v>7154</v>
      </c>
    </row>
    <row r="1831" ht="12.75" customHeight="1">
      <c r="A1831" s="6" t="s">
        <v>7155</v>
      </c>
      <c r="B1831" s="6" t="s">
        <v>89</v>
      </c>
    </row>
    <row r="1832" ht="12.75" customHeight="1">
      <c r="A1832" s="6" t="s">
        <v>7156</v>
      </c>
      <c r="B1832" s="6" t="s">
        <v>7157</v>
      </c>
    </row>
    <row r="1833" ht="12.75" customHeight="1">
      <c r="A1833" s="6" t="s">
        <v>7158</v>
      </c>
      <c r="B1833" s="6" t="s">
        <v>7159</v>
      </c>
    </row>
    <row r="1834" ht="12.75" customHeight="1">
      <c r="A1834" s="6" t="s">
        <v>7160</v>
      </c>
      <c r="B1834" s="6" t="s">
        <v>7161</v>
      </c>
    </row>
    <row r="1835" ht="12.75" customHeight="1">
      <c r="A1835" s="6" t="s">
        <v>7162</v>
      </c>
      <c r="B1835" s="6" t="s">
        <v>7163</v>
      </c>
    </row>
    <row r="1836" ht="12.75" customHeight="1">
      <c r="A1836" s="6" t="s">
        <v>7164</v>
      </c>
      <c r="B1836" s="6" t="s">
        <v>7165</v>
      </c>
    </row>
    <row r="1837" ht="12.75" customHeight="1">
      <c r="A1837" s="6" t="s">
        <v>7166</v>
      </c>
      <c r="B1837" s="6" t="s">
        <v>7167</v>
      </c>
    </row>
    <row r="1838" ht="12.75" customHeight="1">
      <c r="A1838" s="6" t="s">
        <v>7168</v>
      </c>
      <c r="B1838" s="6" t="s">
        <v>7169</v>
      </c>
    </row>
    <row r="1839" ht="12.75" customHeight="1">
      <c r="A1839" s="6" t="s">
        <v>7170</v>
      </c>
      <c r="B1839" s="6" t="s">
        <v>7171</v>
      </c>
    </row>
    <row r="1840" ht="12.75" customHeight="1">
      <c r="A1840" s="6" t="s">
        <v>7172</v>
      </c>
      <c r="B1840" s="6" t="s">
        <v>7173</v>
      </c>
    </row>
    <row r="1841" ht="12.75" customHeight="1">
      <c r="A1841" s="6" t="s">
        <v>7174</v>
      </c>
      <c r="B1841" s="6" t="s">
        <v>7175</v>
      </c>
    </row>
    <row r="1842" ht="12.75" customHeight="1">
      <c r="A1842" s="6" t="s">
        <v>7176</v>
      </c>
      <c r="B1842" s="6" t="s">
        <v>7177</v>
      </c>
    </row>
    <row r="1843" ht="12.75" customHeight="1">
      <c r="A1843" s="6" t="s">
        <v>7178</v>
      </c>
      <c r="B1843" s="6" t="s">
        <v>7179</v>
      </c>
    </row>
    <row r="1844" ht="12.75" customHeight="1">
      <c r="A1844" s="6" t="s">
        <v>7180</v>
      </c>
      <c r="B1844" s="6" t="s">
        <v>7181</v>
      </c>
    </row>
    <row r="1845" ht="12.75" customHeight="1">
      <c r="A1845" s="6" t="s">
        <v>7182</v>
      </c>
      <c r="B1845" s="6" t="s">
        <v>7183</v>
      </c>
    </row>
    <row r="1846" ht="12.75" customHeight="1">
      <c r="A1846" s="6" t="s">
        <v>7184</v>
      </c>
      <c r="B1846" s="6" t="s">
        <v>7185</v>
      </c>
    </row>
    <row r="1847" ht="12.75" customHeight="1">
      <c r="A1847" s="6" t="s">
        <v>7186</v>
      </c>
      <c r="B1847" s="6" t="s">
        <v>7187</v>
      </c>
    </row>
    <row r="1848" ht="12.75" customHeight="1">
      <c r="A1848" s="6" t="s">
        <v>7188</v>
      </c>
      <c r="B1848" s="6" t="s">
        <v>7189</v>
      </c>
    </row>
    <row r="1849" ht="12.75" customHeight="1">
      <c r="A1849" s="6" t="s">
        <v>7190</v>
      </c>
      <c r="B1849" s="6" t="s">
        <v>7191</v>
      </c>
    </row>
    <row r="1850" ht="12.75" customHeight="1">
      <c r="A1850" s="6" t="s">
        <v>7192</v>
      </c>
      <c r="B1850" s="6" t="s">
        <v>7193</v>
      </c>
    </row>
    <row r="1851" ht="12.75" customHeight="1">
      <c r="A1851" s="6" t="s">
        <v>7194</v>
      </c>
      <c r="B1851" s="6" t="s">
        <v>7195</v>
      </c>
    </row>
    <row r="1852" ht="12.75" customHeight="1">
      <c r="A1852" s="6" t="s">
        <v>7196</v>
      </c>
      <c r="B1852" s="6" t="s">
        <v>7197</v>
      </c>
    </row>
    <row r="1853" ht="12.75" customHeight="1">
      <c r="A1853" s="6" t="s">
        <v>7198</v>
      </c>
      <c r="B1853" s="6" t="s">
        <v>7199</v>
      </c>
    </row>
    <row r="1854" ht="12.75" customHeight="1">
      <c r="A1854" s="6" t="s">
        <v>7200</v>
      </c>
      <c r="B1854" s="6" t="s">
        <v>7201</v>
      </c>
    </row>
    <row r="1855" ht="12.75" customHeight="1">
      <c r="A1855" s="6" t="s">
        <v>7202</v>
      </c>
      <c r="B1855" s="6" t="s">
        <v>7203</v>
      </c>
    </row>
    <row r="1856" ht="12.75" customHeight="1">
      <c r="A1856" s="6" t="s">
        <v>7204</v>
      </c>
      <c r="B1856" s="6" t="s">
        <v>7205</v>
      </c>
    </row>
    <row r="1857" ht="12.75" customHeight="1">
      <c r="A1857" s="6" t="s">
        <v>7206</v>
      </c>
      <c r="B1857" s="6" t="s">
        <v>7207</v>
      </c>
    </row>
    <row r="1858" ht="12.75" customHeight="1">
      <c r="A1858" s="6" t="s">
        <v>7208</v>
      </c>
      <c r="B1858" s="6" t="s">
        <v>7209</v>
      </c>
    </row>
    <row r="1859" ht="12.75" customHeight="1">
      <c r="A1859" s="6" t="s">
        <v>7210</v>
      </c>
      <c r="B1859" s="6" t="s">
        <v>1674</v>
      </c>
    </row>
    <row r="1860" ht="12.75" customHeight="1">
      <c r="A1860" s="6" t="s">
        <v>7211</v>
      </c>
      <c r="B1860" s="6" t="s">
        <v>928</v>
      </c>
    </row>
    <row r="1861" ht="12.75" customHeight="1">
      <c r="A1861" s="6" t="s">
        <v>7212</v>
      </c>
      <c r="B1861" s="6" t="s">
        <v>7213</v>
      </c>
    </row>
    <row r="1862" ht="12.75" customHeight="1">
      <c r="A1862" s="6" t="s">
        <v>7214</v>
      </c>
      <c r="B1862" s="6" t="s">
        <v>7215</v>
      </c>
    </row>
    <row r="1863" ht="12.75" customHeight="1">
      <c r="A1863" s="6" t="s">
        <v>7216</v>
      </c>
      <c r="B1863" s="6" t="s">
        <v>1602</v>
      </c>
    </row>
    <row r="1864" ht="12.75" customHeight="1">
      <c r="A1864" s="6" t="s">
        <v>7217</v>
      </c>
      <c r="B1864" s="6" t="s">
        <v>7218</v>
      </c>
    </row>
    <row r="1865" ht="12.75" customHeight="1">
      <c r="A1865" s="6" t="s">
        <v>7219</v>
      </c>
      <c r="B1865" s="6" t="s">
        <v>7220</v>
      </c>
    </row>
    <row r="1866" ht="12.75" customHeight="1">
      <c r="A1866" s="6" t="s">
        <v>7221</v>
      </c>
      <c r="B1866" s="6" t="s">
        <v>7222</v>
      </c>
    </row>
    <row r="1867" ht="12.75" customHeight="1">
      <c r="A1867" s="6" t="s">
        <v>7223</v>
      </c>
      <c r="B1867" s="6" t="s">
        <v>7224</v>
      </c>
    </row>
    <row r="1868" ht="12.75" customHeight="1">
      <c r="A1868" s="6" t="s">
        <v>7225</v>
      </c>
      <c r="B1868" s="6" t="s">
        <v>7226</v>
      </c>
    </row>
    <row r="1869" ht="12.75" customHeight="1">
      <c r="A1869" s="6" t="s">
        <v>7227</v>
      </c>
      <c r="B1869" s="6" t="s">
        <v>7228</v>
      </c>
    </row>
    <row r="1870" ht="12.75" customHeight="1">
      <c r="A1870" s="6" t="s">
        <v>7229</v>
      </c>
      <c r="B1870" s="6" t="s">
        <v>7230</v>
      </c>
    </row>
    <row r="1871" ht="12.75" customHeight="1">
      <c r="A1871" s="6" t="s">
        <v>7231</v>
      </c>
      <c r="B1871" s="6" t="s">
        <v>7232</v>
      </c>
    </row>
    <row r="1872" ht="12.75" customHeight="1">
      <c r="A1872" s="6" t="s">
        <v>7233</v>
      </c>
      <c r="B1872" s="6" t="s">
        <v>7234</v>
      </c>
    </row>
    <row r="1873" ht="12.75" customHeight="1">
      <c r="A1873" s="6" t="s">
        <v>7235</v>
      </c>
      <c r="B1873" s="6" t="s">
        <v>7236</v>
      </c>
    </row>
    <row r="1874" ht="12.75" customHeight="1">
      <c r="A1874" s="6" t="s">
        <v>7237</v>
      </c>
      <c r="B1874" s="6" t="s">
        <v>7238</v>
      </c>
    </row>
    <row r="1875" ht="12.75" customHeight="1">
      <c r="A1875" s="6" t="s">
        <v>7239</v>
      </c>
    </row>
    <row r="1876" ht="12.75" customHeight="1">
      <c r="A1876" s="6" t="s">
        <v>7240</v>
      </c>
      <c r="B1876" s="6" t="s">
        <v>7241</v>
      </c>
    </row>
    <row r="1877" ht="12.75" customHeight="1">
      <c r="A1877" s="6" t="s">
        <v>7242</v>
      </c>
      <c r="B1877" s="6" t="s">
        <v>7243</v>
      </c>
    </row>
    <row r="1878" ht="12.75" customHeight="1">
      <c r="A1878" s="6" t="s">
        <v>7244</v>
      </c>
      <c r="B1878" s="6" t="s">
        <v>337</v>
      </c>
    </row>
    <row r="1879" ht="12.75" customHeight="1">
      <c r="A1879" s="6" t="s">
        <v>7245</v>
      </c>
      <c r="B1879" s="6" t="s">
        <v>3345</v>
      </c>
    </row>
    <row r="1880" ht="12.75" customHeight="1">
      <c r="A1880" s="6" t="s">
        <v>7246</v>
      </c>
      <c r="B1880" s="6" t="s">
        <v>7247</v>
      </c>
    </row>
    <row r="1881" ht="12.75" customHeight="1">
      <c r="A1881" s="6" t="s">
        <v>7248</v>
      </c>
      <c r="B1881" s="6" t="s">
        <v>1054</v>
      </c>
    </row>
    <row r="1882" ht="12.75" customHeight="1">
      <c r="A1882" s="6" t="s">
        <v>7249</v>
      </c>
      <c r="B1882" s="6" t="s">
        <v>1542</v>
      </c>
    </row>
    <row r="1883" ht="12.75" customHeight="1">
      <c r="A1883" s="6" t="s">
        <v>7250</v>
      </c>
      <c r="B1883" s="6" t="s">
        <v>1188</v>
      </c>
    </row>
    <row r="1884" ht="12.75" customHeight="1">
      <c r="A1884" s="6" t="s">
        <v>7251</v>
      </c>
      <c r="B1884" s="6" t="s">
        <v>3750</v>
      </c>
    </row>
    <row r="1885" ht="12.75" customHeight="1">
      <c r="A1885" s="6" t="s">
        <v>7252</v>
      </c>
      <c r="B1885" s="6" t="s">
        <v>1470</v>
      </c>
    </row>
    <row r="1886" ht="12.75" customHeight="1">
      <c r="A1886" s="6" t="s">
        <v>7253</v>
      </c>
      <c r="B1886" s="6" t="s">
        <v>92</v>
      </c>
    </row>
    <row r="1887" ht="12.75" customHeight="1">
      <c r="A1887" s="6" t="s">
        <v>7254</v>
      </c>
      <c r="B1887" s="6" t="s">
        <v>7255</v>
      </c>
    </row>
    <row r="1888" ht="12.75" customHeight="1">
      <c r="A1888" s="6" t="s">
        <v>7256</v>
      </c>
      <c r="B1888" s="6" t="s">
        <v>7257</v>
      </c>
    </row>
    <row r="1889" ht="12.75" customHeight="1">
      <c r="A1889" s="6" t="s">
        <v>7258</v>
      </c>
      <c r="B1889" s="6" t="s">
        <v>7259</v>
      </c>
    </row>
    <row r="1890" ht="12.75" customHeight="1">
      <c r="A1890" s="6" t="s">
        <v>7260</v>
      </c>
      <c r="B1890" s="6" t="s">
        <v>7261</v>
      </c>
    </row>
    <row r="1891" ht="12.75" customHeight="1">
      <c r="A1891" s="6" t="s">
        <v>7262</v>
      </c>
      <c r="B1891" s="6" t="s">
        <v>7263</v>
      </c>
    </row>
    <row r="1892" ht="12.75" customHeight="1">
      <c r="A1892" s="6" t="s">
        <v>7264</v>
      </c>
      <c r="B1892" s="6" t="s">
        <v>7265</v>
      </c>
    </row>
    <row r="1893" ht="12.75" customHeight="1">
      <c r="A1893" s="6" t="s">
        <v>7266</v>
      </c>
      <c r="B1893" s="6" t="s">
        <v>7267</v>
      </c>
    </row>
    <row r="1894" ht="12.75" customHeight="1">
      <c r="A1894" s="6" t="s">
        <v>7268</v>
      </c>
      <c r="B1894" s="6" t="s">
        <v>7269</v>
      </c>
    </row>
    <row r="1895" ht="12.75" customHeight="1">
      <c r="A1895" s="6" t="s">
        <v>7270</v>
      </c>
      <c r="B1895" s="6" t="s">
        <v>7271</v>
      </c>
    </row>
    <row r="1896" ht="12.75" customHeight="1">
      <c r="A1896" s="6" t="s">
        <v>7272</v>
      </c>
      <c r="B1896" s="6" t="s">
        <v>438</v>
      </c>
    </row>
    <row r="1897" ht="12.75" customHeight="1">
      <c r="A1897" s="6" t="s">
        <v>7273</v>
      </c>
      <c r="B1897" s="6" t="s">
        <v>2655</v>
      </c>
    </row>
    <row r="1898" ht="12.75" customHeight="1">
      <c r="A1898" s="6" t="s">
        <v>7274</v>
      </c>
      <c r="B1898" s="6" t="s">
        <v>1405</v>
      </c>
    </row>
    <row r="1899" ht="12.75" customHeight="1">
      <c r="A1899" s="6" t="s">
        <v>7275</v>
      </c>
      <c r="B1899" s="6" t="s">
        <v>435</v>
      </c>
    </row>
    <row r="1900" ht="12.75" customHeight="1">
      <c r="A1900" s="6" t="s">
        <v>7276</v>
      </c>
      <c r="B1900" s="6" t="s">
        <v>1407</v>
      </c>
    </row>
    <row r="1901" ht="12.75" customHeight="1">
      <c r="A1901" s="6" t="s">
        <v>7277</v>
      </c>
      <c r="B1901" s="6" t="s">
        <v>3119</v>
      </c>
    </row>
    <row r="1902" ht="12.75" customHeight="1">
      <c r="A1902" s="6" t="s">
        <v>7278</v>
      </c>
      <c r="B1902" s="6" t="s">
        <v>7279</v>
      </c>
    </row>
    <row r="1903" ht="12.75" customHeight="1">
      <c r="A1903" s="6" t="s">
        <v>7280</v>
      </c>
      <c r="B1903" s="6" t="s">
        <v>7281</v>
      </c>
    </row>
    <row r="1904" ht="12.75" customHeight="1">
      <c r="A1904" s="6" t="s">
        <v>7282</v>
      </c>
      <c r="B1904" s="6" t="s">
        <v>556</v>
      </c>
    </row>
    <row r="1905" ht="12.75" customHeight="1">
      <c r="A1905" s="6" t="s">
        <v>7283</v>
      </c>
      <c r="B1905" s="6" t="s">
        <v>7284</v>
      </c>
    </row>
    <row r="1906" ht="12.75" customHeight="1">
      <c r="A1906" s="6" t="s">
        <v>7285</v>
      </c>
      <c r="B1906" s="6" t="s">
        <v>559</v>
      </c>
    </row>
    <row r="1907" ht="12.75" customHeight="1">
      <c r="A1907" s="6" t="s">
        <v>7286</v>
      </c>
      <c r="B1907" s="6" t="s">
        <v>7287</v>
      </c>
    </row>
    <row r="1908" ht="12.75" customHeight="1">
      <c r="A1908" s="6" t="s">
        <v>7288</v>
      </c>
      <c r="B1908" s="6" t="s">
        <v>7289</v>
      </c>
    </row>
    <row r="1909" ht="12.75" customHeight="1">
      <c r="A1909" s="6" t="s">
        <v>7290</v>
      </c>
      <c r="B1909" s="6" t="s">
        <v>511</v>
      </c>
    </row>
    <row r="1910" ht="12.75" customHeight="1">
      <c r="A1910" s="6" t="s">
        <v>7291</v>
      </c>
      <c r="B1910" s="6" t="s">
        <v>7292</v>
      </c>
    </row>
    <row r="1911" ht="12.75" customHeight="1">
      <c r="A1911" s="6" t="s">
        <v>7293</v>
      </c>
      <c r="B1911" s="6" t="s">
        <v>3104</v>
      </c>
    </row>
    <row r="1912" ht="12.75" customHeight="1">
      <c r="A1912" s="6" t="s">
        <v>7294</v>
      </c>
      <c r="B1912" s="6" t="s">
        <v>7295</v>
      </c>
    </row>
    <row r="1913" ht="12.75" customHeight="1">
      <c r="A1913" s="6" t="s">
        <v>7296</v>
      </c>
      <c r="B1913" s="6" t="s">
        <v>7297</v>
      </c>
    </row>
    <row r="1914" ht="12.75" customHeight="1">
      <c r="A1914" s="6" t="s">
        <v>7298</v>
      </c>
      <c r="B1914" s="6" t="s">
        <v>2131</v>
      </c>
    </row>
    <row r="1915" ht="12.75" customHeight="1">
      <c r="A1915" s="6" t="s">
        <v>7299</v>
      </c>
      <c r="B1915" s="6" t="s">
        <v>7300</v>
      </c>
    </row>
    <row r="1916" ht="12.75" customHeight="1">
      <c r="A1916" s="6" t="s">
        <v>7301</v>
      </c>
      <c r="B1916" s="6" t="s">
        <v>1090</v>
      </c>
    </row>
    <row r="1917" ht="12.75" customHeight="1">
      <c r="A1917" s="6" t="s">
        <v>7302</v>
      </c>
      <c r="B1917" s="6" t="s">
        <v>7303</v>
      </c>
    </row>
    <row r="1918" ht="12.75" customHeight="1">
      <c r="A1918" s="6" t="s">
        <v>7304</v>
      </c>
      <c r="B1918" s="6" t="s">
        <v>7305</v>
      </c>
    </row>
    <row r="1919" ht="12.75" customHeight="1">
      <c r="A1919" s="6" t="s">
        <v>7306</v>
      </c>
      <c r="B1919" s="6" t="s">
        <v>7307</v>
      </c>
    </row>
    <row r="1920" ht="12.75" customHeight="1">
      <c r="A1920" s="6" t="s">
        <v>7308</v>
      </c>
      <c r="B1920" s="6" t="s">
        <v>7309</v>
      </c>
    </row>
    <row r="1921" ht="12.75" customHeight="1">
      <c r="A1921" s="6" t="s">
        <v>7310</v>
      </c>
      <c r="B1921" s="6" t="s">
        <v>7311</v>
      </c>
    </row>
    <row r="1922" ht="12.75" customHeight="1">
      <c r="A1922" s="6" t="s">
        <v>7312</v>
      </c>
      <c r="B1922" s="6" t="s">
        <v>7313</v>
      </c>
    </row>
    <row r="1923" ht="12.75" customHeight="1">
      <c r="A1923" s="6" t="s">
        <v>7314</v>
      </c>
      <c r="B1923" s="6" t="s">
        <v>7315</v>
      </c>
    </row>
    <row r="1924" ht="12.75" customHeight="1">
      <c r="A1924" s="6" t="s">
        <v>7316</v>
      </c>
      <c r="B1924" s="6" t="s">
        <v>7317</v>
      </c>
    </row>
    <row r="1925" ht="12.75" customHeight="1">
      <c r="A1925" s="6" t="s">
        <v>7318</v>
      </c>
      <c r="B1925" s="6" t="s">
        <v>7319</v>
      </c>
    </row>
    <row r="1926" ht="12.75" customHeight="1">
      <c r="A1926" s="6" t="s">
        <v>7320</v>
      </c>
      <c r="B1926" s="6" t="s">
        <v>7321</v>
      </c>
    </row>
    <row r="1927" ht="12.75" customHeight="1">
      <c r="A1927" s="6" t="s">
        <v>7322</v>
      </c>
      <c r="B1927" s="6" t="s">
        <v>7323</v>
      </c>
    </row>
    <row r="1928" ht="12.75" customHeight="1">
      <c r="A1928" s="6" t="s">
        <v>7324</v>
      </c>
      <c r="B1928" s="6" t="s">
        <v>7325</v>
      </c>
    </row>
    <row r="1929" ht="12.75" customHeight="1">
      <c r="A1929" s="6" t="s">
        <v>7326</v>
      </c>
      <c r="B1929" s="6" t="s">
        <v>866</v>
      </c>
    </row>
    <row r="1930" ht="12.75" customHeight="1">
      <c r="A1930" s="6" t="s">
        <v>7327</v>
      </c>
      <c r="B1930" s="6" t="s">
        <v>7328</v>
      </c>
    </row>
    <row r="1931" ht="12.75" customHeight="1">
      <c r="A1931" s="6" t="s">
        <v>7329</v>
      </c>
      <c r="B1931" s="6" t="s">
        <v>7330</v>
      </c>
    </row>
    <row r="1932" ht="12.75" customHeight="1">
      <c r="A1932" s="6" t="s">
        <v>7331</v>
      </c>
      <c r="B1932" s="6" t="s">
        <v>7332</v>
      </c>
    </row>
    <row r="1933" ht="12.75" customHeight="1">
      <c r="A1933" s="6" t="s">
        <v>7333</v>
      </c>
      <c r="B1933" s="6" t="s">
        <v>2321</v>
      </c>
    </row>
    <row r="1934" ht="12.75" customHeight="1">
      <c r="A1934" s="6" t="s">
        <v>7334</v>
      </c>
      <c r="B1934" s="6" t="s">
        <v>7335</v>
      </c>
    </row>
    <row r="1935" ht="12.75" customHeight="1">
      <c r="A1935" s="6" t="s">
        <v>7336</v>
      </c>
      <c r="B1935" s="6" t="s">
        <v>7337</v>
      </c>
    </row>
    <row r="1936" ht="12.75" customHeight="1">
      <c r="A1936" s="6" t="s">
        <v>7338</v>
      </c>
      <c r="B1936" s="6" t="s">
        <v>7339</v>
      </c>
    </row>
    <row r="1937" ht="12.75" customHeight="1">
      <c r="A1937" s="6" t="s">
        <v>7340</v>
      </c>
      <c r="B1937" s="6" t="s">
        <v>1063</v>
      </c>
    </row>
    <row r="1938" ht="12.75" customHeight="1">
      <c r="A1938" s="6" t="s">
        <v>7341</v>
      </c>
      <c r="B1938" s="6" t="s">
        <v>615</v>
      </c>
    </row>
    <row r="1939" ht="12.75" customHeight="1">
      <c r="A1939" s="6" t="s">
        <v>7342</v>
      </c>
      <c r="B1939" s="6" t="s">
        <v>7343</v>
      </c>
    </row>
    <row r="1940" ht="12.75" customHeight="1">
      <c r="A1940" s="6" t="s">
        <v>7344</v>
      </c>
      <c r="B1940" s="6" t="s">
        <v>3464</v>
      </c>
    </row>
    <row r="1941" ht="12.75" customHeight="1">
      <c r="A1941" s="6" t="s">
        <v>7345</v>
      </c>
      <c r="B1941" s="6" t="s">
        <v>7346</v>
      </c>
    </row>
    <row r="1942" ht="12.75" customHeight="1">
      <c r="A1942" s="6" t="s">
        <v>7347</v>
      </c>
      <c r="B1942" s="6" t="s">
        <v>7348</v>
      </c>
    </row>
    <row r="1943" ht="12.75" customHeight="1">
      <c r="A1943" s="6" t="s">
        <v>7349</v>
      </c>
      <c r="B1943" s="6" t="s">
        <v>1685</v>
      </c>
    </row>
    <row r="1944" ht="12.75" customHeight="1">
      <c r="A1944" s="6" t="s">
        <v>7350</v>
      </c>
      <c r="B1944" s="6" t="s">
        <v>7351</v>
      </c>
    </row>
    <row r="1945" ht="12.75" customHeight="1">
      <c r="A1945" s="6" t="s">
        <v>7352</v>
      </c>
      <c r="B1945" s="6" t="s">
        <v>7353</v>
      </c>
    </row>
    <row r="1946" ht="12.75" customHeight="1">
      <c r="A1946" s="6" t="s">
        <v>7354</v>
      </c>
      <c r="B1946" s="6" t="s">
        <v>7355</v>
      </c>
    </row>
    <row r="1947" ht="12.75" customHeight="1">
      <c r="A1947" s="6" t="s">
        <v>7356</v>
      </c>
      <c r="B1947" s="6" t="s">
        <v>7357</v>
      </c>
    </row>
    <row r="1948" ht="12.75" customHeight="1">
      <c r="A1948" s="6" t="s">
        <v>7358</v>
      </c>
      <c r="B1948" s="6" t="s">
        <v>7359</v>
      </c>
    </row>
    <row r="1949" ht="12.75" customHeight="1">
      <c r="A1949" s="6" t="s">
        <v>7360</v>
      </c>
      <c r="B1949" s="6" t="s">
        <v>7361</v>
      </c>
    </row>
    <row r="1950" ht="12.75" customHeight="1">
      <c r="A1950" s="6" t="s">
        <v>7362</v>
      </c>
      <c r="B1950" s="6" t="s">
        <v>7363</v>
      </c>
    </row>
    <row r="1951" ht="12.75" customHeight="1">
      <c r="A1951" s="6" t="s">
        <v>7364</v>
      </c>
      <c r="B1951" s="6" t="s">
        <v>7365</v>
      </c>
    </row>
    <row r="1952" ht="12.75" customHeight="1">
      <c r="A1952" s="6" t="s">
        <v>7366</v>
      </c>
      <c r="B1952" s="6" t="s">
        <v>7367</v>
      </c>
    </row>
    <row r="1953" ht="12.75" customHeight="1">
      <c r="A1953" s="6" t="s">
        <v>7368</v>
      </c>
      <c r="B1953" s="6" t="s">
        <v>3317</v>
      </c>
    </row>
    <row r="1954" ht="12.75" customHeight="1">
      <c r="A1954" s="6" t="s">
        <v>7369</v>
      </c>
      <c r="B1954" s="6" t="s">
        <v>7370</v>
      </c>
    </row>
    <row r="1955" ht="12.75" customHeight="1">
      <c r="A1955" s="6" t="s">
        <v>7371</v>
      </c>
      <c r="B1955" s="6" t="s">
        <v>7372</v>
      </c>
    </row>
    <row r="1956" ht="12.75" customHeight="1">
      <c r="A1956" s="6" t="s">
        <v>7373</v>
      </c>
      <c r="B1956" s="6" t="s">
        <v>7374</v>
      </c>
    </row>
    <row r="1957" ht="12.75" customHeight="1">
      <c r="A1957" s="6" t="s">
        <v>7375</v>
      </c>
      <c r="B1957" s="6" t="s">
        <v>74</v>
      </c>
    </row>
    <row r="1958" ht="12.75" customHeight="1">
      <c r="A1958" s="6" t="s">
        <v>7376</v>
      </c>
      <c r="B1958" s="6" t="s">
        <v>7377</v>
      </c>
    </row>
    <row r="1959" ht="12.75" customHeight="1">
      <c r="A1959" s="6" t="s">
        <v>7378</v>
      </c>
      <c r="B1959" s="6" t="s">
        <v>7379</v>
      </c>
    </row>
    <row r="1960" ht="12.75" customHeight="1">
      <c r="A1960" s="6" t="s">
        <v>7380</v>
      </c>
      <c r="B1960" s="6" t="s">
        <v>7381</v>
      </c>
    </row>
    <row r="1961" ht="12.75" customHeight="1">
      <c r="A1961" s="6" t="s">
        <v>7382</v>
      </c>
      <c r="B1961" s="6" t="s">
        <v>7383</v>
      </c>
    </row>
    <row r="1962" ht="12.75" customHeight="1">
      <c r="A1962" s="6" t="s">
        <v>7384</v>
      </c>
      <c r="B1962" s="6" t="s">
        <v>7385</v>
      </c>
    </row>
    <row r="1963" ht="12.75" customHeight="1">
      <c r="A1963" s="6" t="s">
        <v>7386</v>
      </c>
      <c r="B1963" s="6" t="s">
        <v>7387</v>
      </c>
    </row>
    <row r="1964" ht="12.75" customHeight="1">
      <c r="A1964" s="6" t="s">
        <v>7388</v>
      </c>
      <c r="B1964" s="6" t="s">
        <v>7389</v>
      </c>
    </row>
    <row r="1965" ht="12.75" customHeight="1">
      <c r="A1965" s="6" t="s">
        <v>7390</v>
      </c>
      <c r="B1965" s="6" t="s">
        <v>7391</v>
      </c>
    </row>
    <row r="1966" ht="12.75" customHeight="1">
      <c r="A1966" s="6" t="s">
        <v>7392</v>
      </c>
      <c r="B1966" s="6" t="s">
        <v>7393</v>
      </c>
    </row>
    <row r="1967" ht="12.75" customHeight="1">
      <c r="A1967" s="6" t="s">
        <v>7394</v>
      </c>
      <c r="B1967" s="6" t="s">
        <v>7395</v>
      </c>
    </row>
    <row r="1968" ht="12.75" customHeight="1">
      <c r="A1968" s="6" t="s">
        <v>7396</v>
      </c>
      <c r="B1968" s="6" t="s">
        <v>7397</v>
      </c>
    </row>
    <row r="1969" ht="12.75" customHeight="1">
      <c r="A1969" s="6" t="s">
        <v>7398</v>
      </c>
      <c r="B1969" s="6" t="s">
        <v>1559</v>
      </c>
    </row>
    <row r="1970" ht="12.75" customHeight="1">
      <c r="A1970" s="6" t="s">
        <v>7399</v>
      </c>
      <c r="B1970" s="6" t="s">
        <v>7400</v>
      </c>
    </row>
    <row r="1971" ht="12.75" customHeight="1">
      <c r="A1971" s="6" t="s">
        <v>7401</v>
      </c>
      <c r="B1971" s="6" t="s">
        <v>7402</v>
      </c>
    </row>
    <row r="1972" ht="12.75" customHeight="1">
      <c r="A1972" s="6" t="s">
        <v>7403</v>
      </c>
      <c r="B1972" s="6" t="s">
        <v>7404</v>
      </c>
    </row>
    <row r="1973" ht="12.75" customHeight="1">
      <c r="A1973" s="6" t="s">
        <v>7405</v>
      </c>
      <c r="B1973" s="6" t="s">
        <v>7406</v>
      </c>
    </row>
    <row r="1974" ht="12.75" customHeight="1">
      <c r="A1974" s="6" t="s">
        <v>7407</v>
      </c>
      <c r="B1974" s="6" t="s">
        <v>2526</v>
      </c>
    </row>
    <row r="1975" ht="12.75" customHeight="1">
      <c r="A1975" s="6" t="s">
        <v>7408</v>
      </c>
      <c r="B1975" s="6" t="s">
        <v>7409</v>
      </c>
    </row>
    <row r="1976" ht="12.75" customHeight="1">
      <c r="A1976" s="6" t="s">
        <v>7410</v>
      </c>
      <c r="B1976" s="6" t="s">
        <v>219</v>
      </c>
    </row>
    <row r="1977" ht="12.75" customHeight="1">
      <c r="A1977" s="6" t="s">
        <v>7411</v>
      </c>
      <c r="B1977" s="6" t="s">
        <v>7412</v>
      </c>
    </row>
    <row r="1978" ht="12.75" customHeight="1">
      <c r="A1978" s="6" t="s">
        <v>7413</v>
      </c>
      <c r="B1978" s="6" t="s">
        <v>7414</v>
      </c>
    </row>
    <row r="1979" ht="12.75" customHeight="1">
      <c r="A1979" s="6" t="s">
        <v>7415</v>
      </c>
      <c r="B1979" s="6" t="s">
        <v>7416</v>
      </c>
    </row>
    <row r="1980" ht="12.75" customHeight="1">
      <c r="A1980" s="6" t="s">
        <v>7417</v>
      </c>
      <c r="B1980" s="6" t="s">
        <v>7418</v>
      </c>
    </row>
    <row r="1981" ht="12.75" customHeight="1">
      <c r="A1981" s="6" t="s">
        <v>7419</v>
      </c>
      <c r="B1981" s="6" t="s">
        <v>7420</v>
      </c>
    </row>
    <row r="1982" ht="12.75" customHeight="1">
      <c r="A1982" s="6" t="s">
        <v>7421</v>
      </c>
      <c r="B1982" s="6" t="s">
        <v>7422</v>
      </c>
    </row>
    <row r="1983" ht="12.75" customHeight="1">
      <c r="A1983" s="6" t="s">
        <v>7423</v>
      </c>
      <c r="B1983" s="6" t="s">
        <v>7424</v>
      </c>
    </row>
    <row r="1984" ht="12.75" customHeight="1">
      <c r="A1984" s="6" t="s">
        <v>7425</v>
      </c>
      <c r="B1984" s="6" t="s">
        <v>7426</v>
      </c>
    </row>
    <row r="1985" ht="12.75" customHeight="1">
      <c r="A1985" s="6" t="s">
        <v>7427</v>
      </c>
      <c r="B1985" s="6" t="s">
        <v>7428</v>
      </c>
    </row>
    <row r="1986" ht="12.75" customHeight="1">
      <c r="A1986" s="6" t="s">
        <v>7429</v>
      </c>
      <c r="B1986" s="6" t="s">
        <v>7430</v>
      </c>
    </row>
    <row r="1987" ht="12.75" customHeight="1">
      <c r="A1987" s="6" t="s">
        <v>7431</v>
      </c>
      <c r="B1987" s="6" t="s">
        <v>7432</v>
      </c>
    </row>
    <row r="1988" ht="12.75" customHeight="1">
      <c r="A1988" s="6" t="s">
        <v>7433</v>
      </c>
      <c r="B1988" s="6" t="s">
        <v>7434</v>
      </c>
    </row>
    <row r="1989" ht="12.75" customHeight="1">
      <c r="A1989" s="6" t="s">
        <v>7435</v>
      </c>
      <c r="B1989" s="6" t="s">
        <v>7436</v>
      </c>
    </row>
    <row r="1990" ht="12.75" customHeight="1">
      <c r="A1990" s="6" t="s">
        <v>7437</v>
      </c>
      <c r="B1990" s="6" t="s">
        <v>7438</v>
      </c>
    </row>
    <row r="1991" ht="12.75" customHeight="1">
      <c r="A1991" s="6" t="s">
        <v>7439</v>
      </c>
      <c r="B1991" s="6" t="s">
        <v>7440</v>
      </c>
    </row>
    <row r="1992" ht="12.75" customHeight="1">
      <c r="A1992" s="6" t="s">
        <v>7441</v>
      </c>
      <c r="B1992" s="6" t="s">
        <v>7442</v>
      </c>
    </row>
    <row r="1993" ht="12.75" customHeight="1">
      <c r="A1993" s="6" t="s">
        <v>7443</v>
      </c>
      <c r="B1993" s="6" t="s">
        <v>7444</v>
      </c>
    </row>
    <row r="1994" ht="12.75" customHeight="1">
      <c r="A1994" s="6" t="s">
        <v>7445</v>
      </c>
      <c r="B1994" s="6" t="s">
        <v>7446</v>
      </c>
    </row>
    <row r="1995" ht="12.75" customHeight="1">
      <c r="A1995" s="6" t="s">
        <v>7447</v>
      </c>
      <c r="B1995" s="6" t="s">
        <v>7448</v>
      </c>
    </row>
    <row r="1996" ht="12.75" customHeight="1">
      <c r="A1996" s="6" t="s">
        <v>7449</v>
      </c>
      <c r="B1996" s="6" t="s">
        <v>7450</v>
      </c>
    </row>
    <row r="1997" ht="12.75" customHeight="1">
      <c r="A1997" s="6" t="s">
        <v>7451</v>
      </c>
      <c r="B1997" s="6" t="s">
        <v>7452</v>
      </c>
    </row>
    <row r="1998" ht="12.75" customHeight="1">
      <c r="A1998" s="6" t="s">
        <v>7453</v>
      </c>
      <c r="B1998" s="6" t="s">
        <v>7454</v>
      </c>
    </row>
    <row r="1999" ht="12.75" customHeight="1">
      <c r="A1999" s="6" t="s">
        <v>7455</v>
      </c>
      <c r="B1999" s="6" t="s">
        <v>7456</v>
      </c>
    </row>
    <row r="2000" ht="12.75" customHeight="1">
      <c r="A2000" s="6" t="s">
        <v>7457</v>
      </c>
      <c r="B2000" s="6" t="s">
        <v>7458</v>
      </c>
    </row>
    <row r="2001" ht="12.75" customHeight="1">
      <c r="A2001" s="6" t="s">
        <v>7459</v>
      </c>
      <c r="B2001" s="6" t="s">
        <v>7460</v>
      </c>
    </row>
    <row r="2002" ht="12.75" customHeight="1">
      <c r="A2002" s="6" t="s">
        <v>7461</v>
      </c>
      <c r="B2002" s="6" t="s">
        <v>7462</v>
      </c>
    </row>
    <row r="2003" ht="12.75" customHeight="1">
      <c r="A2003" s="6" t="s">
        <v>7463</v>
      </c>
      <c r="B2003" s="6" t="s">
        <v>7464</v>
      </c>
    </row>
    <row r="2004" ht="12.75" customHeight="1">
      <c r="A2004" s="6" t="s">
        <v>7465</v>
      </c>
      <c r="B2004" s="6" t="s">
        <v>7466</v>
      </c>
    </row>
    <row r="2005" ht="12.75" customHeight="1">
      <c r="A2005" s="6" t="s">
        <v>7467</v>
      </c>
      <c r="B2005" s="6" t="s">
        <v>2681</v>
      </c>
    </row>
    <row r="2006" ht="12.75" customHeight="1">
      <c r="A2006" s="6" t="s">
        <v>7468</v>
      </c>
      <c r="B2006" s="6" t="s">
        <v>2404</v>
      </c>
    </row>
    <row r="2007" ht="12.75" customHeight="1">
      <c r="A2007" s="6" t="s">
        <v>7469</v>
      </c>
      <c r="B2007" s="6" t="s">
        <v>7470</v>
      </c>
    </row>
    <row r="2008" ht="12.75" customHeight="1">
      <c r="A2008" s="6" t="s">
        <v>7471</v>
      </c>
      <c r="B2008" s="6" t="s">
        <v>7472</v>
      </c>
    </row>
    <row r="2009" ht="12.75" customHeight="1">
      <c r="A2009" s="6" t="s">
        <v>7473</v>
      </c>
      <c r="B2009" s="6" t="s">
        <v>7474</v>
      </c>
    </row>
    <row r="2010" ht="12.75" customHeight="1">
      <c r="A2010" s="6" t="s">
        <v>7475</v>
      </c>
      <c r="B2010" s="6" t="s">
        <v>7476</v>
      </c>
    </row>
    <row r="2011" ht="12.75" customHeight="1">
      <c r="A2011" s="6" t="s">
        <v>7477</v>
      </c>
      <c r="B2011" s="6" t="s">
        <v>7478</v>
      </c>
    </row>
    <row r="2012" ht="12.75" customHeight="1">
      <c r="A2012" s="6" t="s">
        <v>7479</v>
      </c>
      <c r="B2012" s="6" t="s">
        <v>7480</v>
      </c>
    </row>
    <row r="2013" ht="12.75" customHeight="1">
      <c r="A2013" s="6" t="s">
        <v>7481</v>
      </c>
      <c r="B2013" s="6" t="s">
        <v>7482</v>
      </c>
    </row>
    <row r="2014" ht="12.75" customHeight="1">
      <c r="A2014" s="6" t="s">
        <v>7483</v>
      </c>
      <c r="B2014" s="6" t="s">
        <v>7484</v>
      </c>
    </row>
    <row r="2015" ht="12.75" customHeight="1">
      <c r="A2015" s="6" t="s">
        <v>7485</v>
      </c>
      <c r="B2015" s="6" t="s">
        <v>7486</v>
      </c>
    </row>
    <row r="2016" ht="12.75" customHeight="1">
      <c r="A2016" s="6" t="s">
        <v>7487</v>
      </c>
      <c r="B2016" s="6" t="s">
        <v>7488</v>
      </c>
    </row>
    <row r="2017" ht="12.75" customHeight="1">
      <c r="A2017" s="6" t="s">
        <v>7489</v>
      </c>
      <c r="B2017" s="6" t="s">
        <v>1330</v>
      </c>
    </row>
    <row r="2018" ht="12.75" customHeight="1">
      <c r="A2018" s="6" t="s">
        <v>7490</v>
      </c>
      <c r="B2018" s="6" t="s">
        <v>7491</v>
      </c>
    </row>
    <row r="2019" ht="12.75" customHeight="1">
      <c r="A2019" s="6" t="s">
        <v>7492</v>
      </c>
      <c r="B2019" s="6" t="s">
        <v>7493</v>
      </c>
    </row>
    <row r="2020" ht="12.75" customHeight="1">
      <c r="A2020" s="6" t="s">
        <v>7494</v>
      </c>
      <c r="B2020" s="6" t="s">
        <v>2347</v>
      </c>
    </row>
    <row r="2021" ht="12.75" customHeight="1">
      <c r="A2021" s="6" t="s">
        <v>7495</v>
      </c>
      <c r="B2021" s="6" t="s">
        <v>7496</v>
      </c>
    </row>
    <row r="2022" ht="12.75" customHeight="1">
      <c r="A2022" s="6" t="s">
        <v>7497</v>
      </c>
      <c r="B2022" s="6" t="s">
        <v>7498</v>
      </c>
    </row>
    <row r="2023" ht="12.75" customHeight="1">
      <c r="A2023" s="6" t="s">
        <v>7499</v>
      </c>
      <c r="B2023" s="6" t="s">
        <v>7500</v>
      </c>
    </row>
    <row r="2024" ht="12.75" customHeight="1">
      <c r="A2024" s="6" t="s">
        <v>7501</v>
      </c>
      <c r="B2024" s="6" t="s">
        <v>7502</v>
      </c>
    </row>
    <row r="2025" ht="12.75" customHeight="1">
      <c r="A2025" s="6" t="s">
        <v>7503</v>
      </c>
      <c r="B2025" s="6" t="s">
        <v>7504</v>
      </c>
    </row>
    <row r="2026" ht="12.75" customHeight="1">
      <c r="A2026" s="6" t="s">
        <v>7505</v>
      </c>
      <c r="B2026" s="6" t="s">
        <v>7506</v>
      </c>
    </row>
    <row r="2027" ht="12.75" customHeight="1">
      <c r="A2027" s="6" t="s">
        <v>7507</v>
      </c>
      <c r="B2027" s="6" t="s">
        <v>7508</v>
      </c>
    </row>
    <row r="2028" ht="12.75" customHeight="1">
      <c r="A2028" s="6" t="s">
        <v>7509</v>
      </c>
      <c r="B2028" s="6" t="s">
        <v>7510</v>
      </c>
    </row>
    <row r="2029" ht="12.75" customHeight="1">
      <c r="A2029" s="6" t="s">
        <v>7511</v>
      </c>
      <c r="B2029" s="6" t="s">
        <v>7512</v>
      </c>
    </row>
    <row r="2030" ht="12.75" customHeight="1">
      <c r="A2030" s="6" t="s">
        <v>7513</v>
      </c>
      <c r="B2030" s="6" t="s">
        <v>7514</v>
      </c>
    </row>
    <row r="2031" ht="12.75" customHeight="1">
      <c r="A2031" s="6" t="s">
        <v>7515</v>
      </c>
      <c r="B2031" s="6" t="s">
        <v>7516</v>
      </c>
    </row>
    <row r="2032" ht="12.75" customHeight="1">
      <c r="A2032" s="6" t="s">
        <v>7517</v>
      </c>
      <c r="B2032" s="6" t="s">
        <v>7518</v>
      </c>
    </row>
    <row r="2033" ht="12.75" customHeight="1">
      <c r="A2033" s="6" t="s">
        <v>7519</v>
      </c>
      <c r="B2033" s="6" t="s">
        <v>7520</v>
      </c>
    </row>
    <row r="2034" ht="12.75" customHeight="1">
      <c r="A2034" s="6" t="s">
        <v>7521</v>
      </c>
      <c r="B2034" s="6" t="s">
        <v>7522</v>
      </c>
    </row>
    <row r="2035" ht="12.75" customHeight="1">
      <c r="A2035" s="6" t="s">
        <v>7523</v>
      </c>
      <c r="B2035" s="6" t="s">
        <v>7524</v>
      </c>
    </row>
    <row r="2036" ht="12.75" customHeight="1">
      <c r="A2036" s="6" t="s">
        <v>7525</v>
      </c>
      <c r="B2036" s="6" t="s">
        <v>7526</v>
      </c>
    </row>
    <row r="2037" ht="12.75" customHeight="1">
      <c r="A2037" s="6" t="s">
        <v>7527</v>
      </c>
      <c r="B2037" s="6" t="s">
        <v>7528</v>
      </c>
    </row>
    <row r="2038" ht="12.75" customHeight="1">
      <c r="A2038" s="6" t="s">
        <v>7529</v>
      </c>
      <c r="B2038" s="6" t="s">
        <v>7530</v>
      </c>
    </row>
    <row r="2039" ht="12.75" customHeight="1">
      <c r="A2039" s="6" t="s">
        <v>7531</v>
      </c>
      <c r="B2039" s="6" t="s">
        <v>7532</v>
      </c>
    </row>
    <row r="2040" ht="12.75" customHeight="1">
      <c r="A2040" s="6" t="s">
        <v>7533</v>
      </c>
      <c r="B2040" s="6" t="s">
        <v>7534</v>
      </c>
    </row>
    <row r="2041" ht="12.75" customHeight="1">
      <c r="A2041" s="6" t="s">
        <v>7535</v>
      </c>
      <c r="B2041" s="6" t="s">
        <v>7536</v>
      </c>
    </row>
    <row r="2042" ht="12.75" customHeight="1">
      <c r="A2042" s="6" t="s">
        <v>7537</v>
      </c>
      <c r="B2042" s="6" t="s">
        <v>7538</v>
      </c>
    </row>
    <row r="2043" ht="12.75" customHeight="1">
      <c r="A2043" s="6" t="s">
        <v>7539</v>
      </c>
      <c r="B2043" s="6" t="s">
        <v>7540</v>
      </c>
    </row>
    <row r="2044" ht="12.75" customHeight="1">
      <c r="A2044" s="6" t="s">
        <v>7541</v>
      </c>
      <c r="B2044" s="6" t="s">
        <v>7542</v>
      </c>
    </row>
    <row r="2045" ht="12.75" customHeight="1">
      <c r="A2045" s="6" t="s">
        <v>7543</v>
      </c>
      <c r="B2045" s="6" t="s">
        <v>7544</v>
      </c>
    </row>
    <row r="2046" ht="12.75" customHeight="1">
      <c r="A2046" s="6" t="s">
        <v>7545</v>
      </c>
      <c r="B2046" s="6" t="s">
        <v>7546</v>
      </c>
    </row>
    <row r="2047" ht="12.75" customHeight="1">
      <c r="A2047" s="6" t="s">
        <v>7547</v>
      </c>
      <c r="B2047" s="6" t="s">
        <v>7548</v>
      </c>
    </row>
    <row r="2048" ht="12.75" customHeight="1">
      <c r="A2048" s="6" t="s">
        <v>7549</v>
      </c>
      <c r="B2048" s="6" t="s">
        <v>7550</v>
      </c>
    </row>
    <row r="2049" ht="12.75" customHeight="1">
      <c r="A2049" s="6" t="s">
        <v>7551</v>
      </c>
      <c r="B2049" s="6" t="s">
        <v>7552</v>
      </c>
    </row>
    <row r="2050" ht="12.75" customHeight="1">
      <c r="A2050" s="6" t="s">
        <v>7553</v>
      </c>
      <c r="B2050" s="6" t="s">
        <v>7554</v>
      </c>
    </row>
    <row r="2051" ht="12.75" customHeight="1">
      <c r="A2051" s="6" t="s">
        <v>7555</v>
      </c>
      <c r="B2051" s="6" t="s">
        <v>7556</v>
      </c>
    </row>
    <row r="2052" ht="12.75" customHeight="1">
      <c r="A2052" s="6" t="s">
        <v>7557</v>
      </c>
      <c r="B2052" s="6" t="s">
        <v>802</v>
      </c>
    </row>
    <row r="2053" ht="12.75" customHeight="1">
      <c r="A2053" s="6" t="s">
        <v>7558</v>
      </c>
      <c r="B2053" s="6" t="s">
        <v>7559</v>
      </c>
    </row>
    <row r="2054" ht="12.75" customHeight="1">
      <c r="A2054" s="6" t="s">
        <v>7560</v>
      </c>
      <c r="B2054" s="6" t="s">
        <v>68</v>
      </c>
    </row>
    <row r="2055" ht="12.75" customHeight="1">
      <c r="A2055" s="6" t="s">
        <v>7561</v>
      </c>
      <c r="B2055" s="6" t="s">
        <v>1772</v>
      </c>
    </row>
    <row r="2056" ht="12.75" customHeight="1">
      <c r="A2056" s="6" t="s">
        <v>7562</v>
      </c>
      <c r="B2056" s="6" t="s">
        <v>517</v>
      </c>
    </row>
    <row r="2057" ht="12.75" customHeight="1">
      <c r="A2057" s="6" t="s">
        <v>7563</v>
      </c>
      <c r="B2057" s="6" t="s">
        <v>7564</v>
      </c>
    </row>
    <row r="2058" ht="12.75" customHeight="1">
      <c r="A2058" s="6" t="s">
        <v>7565</v>
      </c>
      <c r="B2058" s="6" t="s">
        <v>7566</v>
      </c>
    </row>
    <row r="2059" ht="12.75" customHeight="1">
      <c r="A2059" s="6" t="s">
        <v>7567</v>
      </c>
      <c r="B2059" s="6" t="s">
        <v>7568</v>
      </c>
    </row>
    <row r="2060" ht="12.75" customHeight="1">
      <c r="A2060" s="6" t="s">
        <v>7569</v>
      </c>
      <c r="B2060" s="6" t="s">
        <v>7570</v>
      </c>
    </row>
    <row r="2061" ht="12.75" customHeight="1">
      <c r="A2061" s="6" t="s">
        <v>7571</v>
      </c>
      <c r="B2061" s="6" t="s">
        <v>7572</v>
      </c>
    </row>
    <row r="2062" ht="12.75" customHeight="1">
      <c r="A2062" s="6" t="s">
        <v>7573</v>
      </c>
      <c r="B2062" s="6" t="s">
        <v>7574</v>
      </c>
    </row>
    <row r="2063" ht="12.75" customHeight="1">
      <c r="A2063" s="6" t="s">
        <v>7575</v>
      </c>
      <c r="B2063" s="6" t="s">
        <v>7576</v>
      </c>
    </row>
    <row r="2064" ht="12.75" customHeight="1">
      <c r="A2064" s="6" t="s">
        <v>7577</v>
      </c>
      <c r="B2064" s="6" t="s">
        <v>7578</v>
      </c>
    </row>
    <row r="2065" ht="12.75" customHeight="1">
      <c r="A2065" s="6" t="s">
        <v>7579</v>
      </c>
      <c r="B2065" s="6" t="s">
        <v>7580</v>
      </c>
    </row>
    <row r="2066" ht="12.75" customHeight="1">
      <c r="A2066" s="6" t="s">
        <v>7581</v>
      </c>
      <c r="B2066" s="6" t="s">
        <v>7582</v>
      </c>
    </row>
    <row r="2067" ht="12.75" customHeight="1">
      <c r="A2067" s="6" t="s">
        <v>7583</v>
      </c>
      <c r="B2067" s="6" t="s">
        <v>7584</v>
      </c>
    </row>
    <row r="2068" ht="12.75" customHeight="1">
      <c r="A2068" s="6" t="s">
        <v>7585</v>
      </c>
      <c r="B2068" s="6" t="s">
        <v>7586</v>
      </c>
    </row>
    <row r="2069" ht="12.75" customHeight="1">
      <c r="A2069" s="6" t="s">
        <v>7587</v>
      </c>
      <c r="B2069" s="6" t="s">
        <v>7588</v>
      </c>
    </row>
    <row r="2070" ht="12.75" customHeight="1">
      <c r="A2070" s="6" t="s">
        <v>7589</v>
      </c>
      <c r="B2070" s="6" t="s">
        <v>7590</v>
      </c>
    </row>
    <row r="2071" ht="12.75" customHeight="1">
      <c r="A2071" s="6" t="s">
        <v>7591</v>
      </c>
      <c r="B2071" s="6" t="s">
        <v>7592</v>
      </c>
    </row>
    <row r="2072" ht="12.75" customHeight="1">
      <c r="A2072" s="6" t="s">
        <v>7593</v>
      </c>
      <c r="B2072" s="6" t="s">
        <v>1713</v>
      </c>
    </row>
    <row r="2073" ht="12.75" customHeight="1">
      <c r="A2073" s="6" t="s">
        <v>7594</v>
      </c>
      <c r="B2073" s="6" t="s">
        <v>185</v>
      </c>
    </row>
    <row r="2074" ht="12.75" customHeight="1">
      <c r="A2074" s="6" t="s">
        <v>7595</v>
      </c>
      <c r="B2074" s="6" t="s">
        <v>7596</v>
      </c>
    </row>
    <row r="2075" ht="12.75" customHeight="1">
      <c r="A2075" s="6" t="s">
        <v>7597</v>
      </c>
      <c r="B2075" s="6" t="s">
        <v>296</v>
      </c>
    </row>
    <row r="2076" ht="12.75" customHeight="1">
      <c r="A2076" s="6" t="s">
        <v>7598</v>
      </c>
      <c r="B2076" s="6" t="s">
        <v>262</v>
      </c>
    </row>
    <row r="2077" ht="12.75" customHeight="1">
      <c r="A2077" s="6" t="s">
        <v>7599</v>
      </c>
      <c r="B2077" s="6" t="s">
        <v>665</v>
      </c>
    </row>
    <row r="2078" ht="12.75" customHeight="1">
      <c r="A2078" s="6" t="s">
        <v>7600</v>
      </c>
      <c r="B2078" s="6" t="s">
        <v>80</v>
      </c>
    </row>
    <row r="2079" ht="12.75" customHeight="1">
      <c r="A2079" s="6" t="s">
        <v>7601</v>
      </c>
      <c r="B2079" s="6" t="s">
        <v>7602</v>
      </c>
    </row>
    <row r="2080" ht="12.75" customHeight="1">
      <c r="A2080" s="6" t="s">
        <v>7603</v>
      </c>
      <c r="B2080" s="6" t="s">
        <v>7604</v>
      </c>
    </row>
    <row r="2081" ht="12.75" customHeight="1">
      <c r="A2081" s="6" t="s">
        <v>7605</v>
      </c>
      <c r="B2081" s="6" t="s">
        <v>7606</v>
      </c>
    </row>
    <row r="2082" ht="12.75" customHeight="1">
      <c r="A2082" s="6" t="s">
        <v>7607</v>
      </c>
      <c r="B2082" s="6" t="s">
        <v>7608</v>
      </c>
    </row>
    <row r="2083" ht="12.75" customHeight="1">
      <c r="A2083" s="6" t="s">
        <v>7609</v>
      </c>
      <c r="B2083" s="6" t="s">
        <v>7610</v>
      </c>
    </row>
    <row r="2084" ht="12.75" customHeight="1">
      <c r="A2084" s="6" t="s">
        <v>7611</v>
      </c>
      <c r="B2084" s="6" t="s">
        <v>7612</v>
      </c>
    </row>
    <row r="2085" ht="12.75" customHeight="1">
      <c r="A2085" s="6" t="s">
        <v>7613</v>
      </c>
      <c r="B2085" s="6" t="s">
        <v>7614</v>
      </c>
    </row>
    <row r="2086" ht="12.75" customHeight="1">
      <c r="A2086" s="6" t="s">
        <v>7615</v>
      </c>
      <c r="B2086" s="6" t="s">
        <v>7616</v>
      </c>
    </row>
    <row r="2087" ht="12.75" customHeight="1">
      <c r="A2087" s="6" t="s">
        <v>7617</v>
      </c>
      <c r="B2087" s="6" t="s">
        <v>7618</v>
      </c>
    </row>
    <row r="2088" ht="12.75" customHeight="1">
      <c r="A2088" s="6" t="s">
        <v>7619</v>
      </c>
      <c r="B2088" s="6" t="s">
        <v>7620</v>
      </c>
    </row>
    <row r="2089" ht="12.75" customHeight="1">
      <c r="A2089" s="6" t="s">
        <v>7621</v>
      </c>
      <c r="B2089" s="6" t="s">
        <v>7622</v>
      </c>
    </row>
    <row r="2090" ht="12.75" customHeight="1">
      <c r="A2090" s="6" t="s">
        <v>7623</v>
      </c>
      <c r="B2090" s="6" t="s">
        <v>7624</v>
      </c>
    </row>
    <row r="2091" ht="12.75" customHeight="1">
      <c r="A2091" s="6" t="s">
        <v>7625</v>
      </c>
      <c r="B2091" s="6" t="s">
        <v>7626</v>
      </c>
    </row>
    <row r="2092" ht="12.75" customHeight="1">
      <c r="A2092" s="6" t="s">
        <v>7627</v>
      </c>
      <c r="B2092" s="6" t="s">
        <v>7628</v>
      </c>
    </row>
    <row r="2093" ht="12.75" customHeight="1">
      <c r="A2093" s="6" t="s">
        <v>7629</v>
      </c>
      <c r="B2093" s="6" t="s">
        <v>7630</v>
      </c>
    </row>
    <row r="2094" ht="12.75" customHeight="1">
      <c r="A2094" s="6" t="s">
        <v>7631</v>
      </c>
      <c r="B2094" s="6" t="s">
        <v>7632</v>
      </c>
    </row>
    <row r="2095" ht="12.75" customHeight="1">
      <c r="A2095" s="6" t="s">
        <v>7633</v>
      </c>
      <c r="B2095" s="6" t="s">
        <v>7634</v>
      </c>
    </row>
    <row r="2096" ht="12.75" customHeight="1">
      <c r="A2096" s="6" t="s">
        <v>7635</v>
      </c>
      <c r="B2096" s="6" t="s">
        <v>271</v>
      </c>
    </row>
    <row r="2097" ht="12.75" customHeight="1">
      <c r="A2097" s="6" t="s">
        <v>7636</v>
      </c>
      <c r="B2097" s="6" t="s">
        <v>544</v>
      </c>
    </row>
    <row r="2098" ht="12.75" customHeight="1">
      <c r="A2098" s="6" t="s">
        <v>7637</v>
      </c>
      <c r="B2098" s="6" t="s">
        <v>529</v>
      </c>
    </row>
    <row r="2099" ht="12.75" customHeight="1">
      <c r="A2099" s="6" t="s">
        <v>7638</v>
      </c>
      <c r="B2099" s="6" t="s">
        <v>7639</v>
      </c>
    </row>
    <row r="2100" ht="12.75" customHeight="1">
      <c r="A2100" s="6" t="s">
        <v>7640</v>
      </c>
      <c r="B2100" s="6" t="s">
        <v>275</v>
      </c>
    </row>
    <row r="2101" ht="12.75" customHeight="1">
      <c r="A2101" s="6" t="s">
        <v>7641</v>
      </c>
      <c r="B2101" s="6" t="s">
        <v>754</v>
      </c>
    </row>
    <row r="2102" ht="12.75" customHeight="1">
      <c r="A2102" s="6" t="s">
        <v>7642</v>
      </c>
      <c r="B2102" s="6" t="s">
        <v>120</v>
      </c>
    </row>
    <row r="2103" ht="12.75" customHeight="1">
      <c r="A2103" s="6" t="s">
        <v>7643</v>
      </c>
      <c r="B2103" s="6" t="s">
        <v>7644</v>
      </c>
    </row>
    <row r="2104" ht="12.75" customHeight="1">
      <c r="A2104" s="6" t="s">
        <v>7645</v>
      </c>
      <c r="B2104" s="6" t="s">
        <v>108</v>
      </c>
    </row>
    <row r="2105" ht="12.75" customHeight="1">
      <c r="A2105" s="6" t="s">
        <v>7646</v>
      </c>
      <c r="B2105" s="6" t="s">
        <v>131</v>
      </c>
    </row>
    <row r="2106" ht="12.75" customHeight="1">
      <c r="A2106" s="6" t="s">
        <v>7647</v>
      </c>
      <c r="B2106" s="6" t="s">
        <v>7648</v>
      </c>
    </row>
    <row r="2107" ht="12.75" customHeight="1">
      <c r="A2107" s="6" t="s">
        <v>7649</v>
      </c>
      <c r="B2107" s="6" t="s">
        <v>7650</v>
      </c>
    </row>
    <row r="2108" ht="12.75" customHeight="1">
      <c r="A2108" s="6" t="s">
        <v>7651</v>
      </c>
      <c r="B2108" s="6" t="s">
        <v>3578</v>
      </c>
    </row>
    <row r="2109" ht="12.75" customHeight="1">
      <c r="A2109" s="6" t="s">
        <v>7652</v>
      </c>
      <c r="B2109" s="6" t="s">
        <v>7653</v>
      </c>
    </row>
    <row r="2110" ht="12.75" customHeight="1">
      <c r="A2110" s="6" t="s">
        <v>7654</v>
      </c>
      <c r="B2110" s="6" t="s">
        <v>423</v>
      </c>
    </row>
    <row r="2111" ht="12.75" customHeight="1">
      <c r="A2111" s="6" t="s">
        <v>7655</v>
      </c>
      <c r="B2111" s="6" t="s">
        <v>7656</v>
      </c>
    </row>
    <row r="2112" ht="12.75" customHeight="1">
      <c r="A2112" s="6" t="s">
        <v>7657</v>
      </c>
      <c r="B2112" s="6" t="s">
        <v>7658</v>
      </c>
    </row>
    <row r="2113" ht="12.75" customHeight="1">
      <c r="A2113" s="6" t="s">
        <v>7659</v>
      </c>
      <c r="B2113" s="6" t="s">
        <v>7660</v>
      </c>
    </row>
    <row r="2114" ht="12.75" customHeight="1">
      <c r="A2114" s="6" t="s">
        <v>7661</v>
      </c>
      <c r="B2114" s="6" t="s">
        <v>7662</v>
      </c>
    </row>
    <row r="2115" ht="12.75" customHeight="1">
      <c r="A2115" s="6" t="s">
        <v>7663</v>
      </c>
      <c r="B2115" s="6" t="s">
        <v>1671</v>
      </c>
    </row>
    <row r="2116" ht="12.75" customHeight="1">
      <c r="A2116" s="6" t="s">
        <v>7664</v>
      </c>
      <c r="B2116" s="6" t="s">
        <v>7665</v>
      </c>
    </row>
    <row r="2117" ht="12.75" customHeight="1">
      <c r="A2117" s="6" t="s">
        <v>7666</v>
      </c>
      <c r="B2117" s="6" t="s">
        <v>7667</v>
      </c>
    </row>
    <row r="2118" ht="12.75" customHeight="1">
      <c r="A2118" s="6" t="s">
        <v>7668</v>
      </c>
      <c r="B2118" s="6" t="s">
        <v>7669</v>
      </c>
    </row>
    <row r="2119" ht="12.75" customHeight="1">
      <c r="A2119" s="6" t="s">
        <v>7670</v>
      </c>
      <c r="B2119" s="6" t="s">
        <v>227</v>
      </c>
    </row>
    <row r="2120" ht="12.75" customHeight="1">
      <c r="A2120" s="6" t="s">
        <v>7671</v>
      </c>
      <c r="B2120" s="6" t="s">
        <v>668</v>
      </c>
    </row>
    <row r="2121" ht="12.75" customHeight="1">
      <c r="A2121" s="6" t="s">
        <v>7672</v>
      </c>
      <c r="B2121" s="6" t="s">
        <v>265</v>
      </c>
    </row>
    <row r="2122" ht="12.75" customHeight="1">
      <c r="A2122" s="6" t="s">
        <v>7673</v>
      </c>
      <c r="B2122" s="6" t="s">
        <v>1466</v>
      </c>
    </row>
    <row r="2123" ht="12.75" customHeight="1">
      <c r="A2123" s="6" t="s">
        <v>7674</v>
      </c>
      <c r="B2123" s="6" t="s">
        <v>691</v>
      </c>
    </row>
    <row r="2124" ht="12.75" customHeight="1">
      <c r="A2124" s="6" t="s">
        <v>7675</v>
      </c>
      <c r="B2124" s="6" t="s">
        <v>7676</v>
      </c>
    </row>
    <row r="2125" ht="12.75" customHeight="1">
      <c r="A2125" s="6" t="s">
        <v>7677</v>
      </c>
      <c r="B2125" s="6" t="s">
        <v>737</v>
      </c>
    </row>
    <row r="2126" ht="12.75" customHeight="1">
      <c r="A2126" s="6" t="s">
        <v>7678</v>
      </c>
      <c r="B2126" s="6" t="s">
        <v>2925</v>
      </c>
    </row>
    <row r="2127" ht="12.75" customHeight="1">
      <c r="A2127" s="6" t="s">
        <v>7679</v>
      </c>
      <c r="B2127" s="6" t="s">
        <v>7680</v>
      </c>
    </row>
    <row r="2128" ht="12.75" customHeight="1">
      <c r="A2128" s="6" t="s">
        <v>7681</v>
      </c>
      <c r="B2128" s="6" t="s">
        <v>7682</v>
      </c>
    </row>
    <row r="2129" ht="12.75" customHeight="1">
      <c r="A2129" s="6" t="s">
        <v>7683</v>
      </c>
      <c r="B2129" s="6" t="s">
        <v>7684</v>
      </c>
    </row>
    <row r="2130" ht="12.75" customHeight="1">
      <c r="A2130" s="6" t="s">
        <v>7685</v>
      </c>
      <c r="B2130" s="6" t="s">
        <v>1648</v>
      </c>
    </row>
    <row r="2131" ht="12.75" customHeight="1">
      <c r="A2131" s="6" t="s">
        <v>7686</v>
      </c>
      <c r="B2131" s="6" t="s">
        <v>7687</v>
      </c>
    </row>
    <row r="2132" ht="12.75" customHeight="1">
      <c r="A2132" s="6" t="s">
        <v>7688</v>
      </c>
      <c r="B2132" s="6" t="s">
        <v>7689</v>
      </c>
    </row>
    <row r="2133" ht="12.75" customHeight="1">
      <c r="A2133" s="6" t="s">
        <v>7690</v>
      </c>
      <c r="B2133" s="6" t="s">
        <v>105</v>
      </c>
    </row>
    <row r="2134" ht="12.75" customHeight="1">
      <c r="A2134" s="6" t="s">
        <v>7691</v>
      </c>
      <c r="B2134" s="6" t="s">
        <v>487</v>
      </c>
    </row>
    <row r="2135" ht="12.75" customHeight="1">
      <c r="A2135" s="6" t="s">
        <v>7692</v>
      </c>
      <c r="B2135" s="6" t="s">
        <v>619</v>
      </c>
    </row>
    <row r="2136" ht="12.75" customHeight="1">
      <c r="A2136" s="6" t="s">
        <v>7693</v>
      </c>
      <c r="B2136" s="6" t="s">
        <v>768</v>
      </c>
    </row>
    <row r="2137" ht="12.75" customHeight="1">
      <c r="A2137" s="6" t="s">
        <v>7694</v>
      </c>
      <c r="B2137" s="6" t="s">
        <v>3122</v>
      </c>
    </row>
    <row r="2138" ht="12.75" customHeight="1">
      <c r="A2138" s="6" t="s">
        <v>7695</v>
      </c>
      <c r="B2138" s="6" t="s">
        <v>2070</v>
      </c>
    </row>
    <row r="2139" ht="12.75" customHeight="1">
      <c r="A2139" s="6" t="s">
        <v>7696</v>
      </c>
      <c r="B2139" s="6" t="s">
        <v>2772</v>
      </c>
    </row>
    <row r="2140" ht="12.75" customHeight="1">
      <c r="A2140" s="6" t="s">
        <v>7697</v>
      </c>
      <c r="B2140" s="6" t="s">
        <v>7698</v>
      </c>
    </row>
    <row r="2141" ht="12.75" customHeight="1">
      <c r="A2141" s="6" t="s">
        <v>7699</v>
      </c>
      <c r="B2141" s="6" t="s">
        <v>1442</v>
      </c>
    </row>
    <row r="2142" ht="12.75" customHeight="1">
      <c r="A2142" s="6" t="s">
        <v>7700</v>
      </c>
      <c r="B2142" s="6" t="s">
        <v>7701</v>
      </c>
    </row>
    <row r="2143" ht="12.75" customHeight="1">
      <c r="A2143" s="6" t="s">
        <v>7702</v>
      </c>
      <c r="B2143" s="6" t="s">
        <v>7703</v>
      </c>
    </row>
    <row r="2144" ht="12.75" customHeight="1">
      <c r="A2144" s="6" t="s">
        <v>7704</v>
      </c>
      <c r="B2144" s="6" t="s">
        <v>7705</v>
      </c>
    </row>
    <row r="2145" ht="12.75" customHeight="1">
      <c r="A2145" s="6" t="s">
        <v>7706</v>
      </c>
      <c r="B2145" s="6" t="s">
        <v>7707</v>
      </c>
    </row>
    <row r="2146" ht="12.75" customHeight="1">
      <c r="A2146" s="6" t="s">
        <v>7708</v>
      </c>
      <c r="B2146" s="6" t="s">
        <v>2285</v>
      </c>
    </row>
    <row r="2147" ht="12.75" customHeight="1">
      <c r="A2147" s="6" t="s">
        <v>7709</v>
      </c>
      <c r="B2147" s="6" t="s">
        <v>508</v>
      </c>
    </row>
    <row r="2148" ht="12.75" customHeight="1">
      <c r="A2148" s="6" t="s">
        <v>7710</v>
      </c>
      <c r="B2148" s="6" t="s">
        <v>522</v>
      </c>
    </row>
    <row r="2149" ht="12.75" customHeight="1">
      <c r="A2149" s="6" t="s">
        <v>7711</v>
      </c>
      <c r="B2149" s="6" t="s">
        <v>7712</v>
      </c>
    </row>
    <row r="2150" ht="12.75" customHeight="1">
      <c r="A2150" s="6" t="s">
        <v>7713</v>
      </c>
      <c r="B2150" s="6" t="s">
        <v>7714</v>
      </c>
    </row>
    <row r="2151" ht="12.75" customHeight="1">
      <c r="A2151" s="6" t="s">
        <v>7715</v>
      </c>
      <c r="B2151" s="6" t="s">
        <v>2444</v>
      </c>
    </row>
    <row r="2152" ht="12.75" customHeight="1">
      <c r="A2152" s="6" t="s">
        <v>7716</v>
      </c>
      <c r="B2152" s="6" t="s">
        <v>3058</v>
      </c>
    </row>
    <row r="2153" ht="12.75" customHeight="1">
      <c r="A2153" s="6" t="s">
        <v>7717</v>
      </c>
      <c r="B2153" s="6" t="s">
        <v>3491</v>
      </c>
    </row>
    <row r="2154" ht="12.75" customHeight="1">
      <c r="A2154" s="6" t="s">
        <v>7718</v>
      </c>
      <c r="B2154" s="6" t="s">
        <v>7719</v>
      </c>
    </row>
    <row r="2155" ht="12.75" customHeight="1">
      <c r="A2155" s="6" t="s">
        <v>7720</v>
      </c>
      <c r="B2155" s="6" t="s">
        <v>1759</v>
      </c>
    </row>
    <row r="2156" ht="12.75" customHeight="1">
      <c r="A2156" s="6" t="s">
        <v>7721</v>
      </c>
      <c r="B2156" s="6" t="s">
        <v>7722</v>
      </c>
    </row>
    <row r="2157" ht="12.75" customHeight="1">
      <c r="A2157" s="6" t="s">
        <v>7723</v>
      </c>
      <c r="B2157" s="6" t="s">
        <v>7724</v>
      </c>
    </row>
    <row r="2158" ht="12.75" customHeight="1">
      <c r="A2158" s="6" t="s">
        <v>7725</v>
      </c>
      <c r="B2158" s="6" t="s">
        <v>7726</v>
      </c>
    </row>
    <row r="2159" ht="12.75" customHeight="1">
      <c r="A2159" s="6" t="s">
        <v>7727</v>
      </c>
      <c r="B2159" s="6" t="s">
        <v>7728</v>
      </c>
    </row>
    <row r="2160" ht="12.75" customHeight="1">
      <c r="A2160" s="6" t="s">
        <v>7729</v>
      </c>
      <c r="B2160" s="6" t="s">
        <v>7730</v>
      </c>
    </row>
    <row r="2161" ht="12.75" customHeight="1">
      <c r="A2161" s="6" t="s">
        <v>7731</v>
      </c>
      <c r="B2161" s="6" t="s">
        <v>1228</v>
      </c>
    </row>
    <row r="2162" ht="12.75" customHeight="1">
      <c r="A2162" s="6" t="s">
        <v>7732</v>
      </c>
      <c r="B2162" s="6" t="s">
        <v>1967</v>
      </c>
    </row>
    <row r="2163" ht="12.75" customHeight="1">
      <c r="A2163" s="6" t="s">
        <v>7733</v>
      </c>
      <c r="B2163" s="6" t="s">
        <v>2810</v>
      </c>
    </row>
    <row r="2164" ht="12.75" customHeight="1">
      <c r="A2164" s="6" t="s">
        <v>7734</v>
      </c>
      <c r="B2164" s="6" t="s">
        <v>7735</v>
      </c>
    </row>
    <row r="2165" ht="12.75" customHeight="1">
      <c r="A2165" s="6" t="s">
        <v>7736</v>
      </c>
      <c r="B2165" s="6" t="s">
        <v>2043</v>
      </c>
    </row>
    <row r="2166" ht="12.75" customHeight="1">
      <c r="A2166" s="6" t="s">
        <v>7737</v>
      </c>
      <c r="B2166" s="6" t="s">
        <v>7738</v>
      </c>
    </row>
    <row r="2167" ht="12.75" customHeight="1">
      <c r="A2167" s="6" t="s">
        <v>7739</v>
      </c>
      <c r="B2167" s="6" t="s">
        <v>1613</v>
      </c>
    </row>
    <row r="2168" ht="12.75" customHeight="1">
      <c r="A2168" s="6" t="s">
        <v>7740</v>
      </c>
      <c r="B2168" s="6" t="s">
        <v>2959</v>
      </c>
    </row>
    <row r="2169" ht="12.75" customHeight="1">
      <c r="A2169" s="6" t="s">
        <v>7741</v>
      </c>
      <c r="B2169" s="6" t="s">
        <v>7742</v>
      </c>
    </row>
    <row r="2170" ht="12.75" customHeight="1">
      <c r="A2170" s="6" t="s">
        <v>7743</v>
      </c>
      <c r="B2170" s="6" t="s">
        <v>583</v>
      </c>
    </row>
    <row r="2171" ht="12.75" customHeight="1">
      <c r="A2171" s="6" t="s">
        <v>7744</v>
      </c>
      <c r="B2171" s="6" t="s">
        <v>751</v>
      </c>
    </row>
    <row r="2172" ht="12.75" customHeight="1">
      <c r="A2172" s="6" t="s">
        <v>7745</v>
      </c>
      <c r="B2172" s="6" t="s">
        <v>3106</v>
      </c>
    </row>
    <row r="2173" ht="12.75" customHeight="1">
      <c r="A2173" s="6" t="s">
        <v>7746</v>
      </c>
      <c r="B2173" s="6" t="s">
        <v>7747</v>
      </c>
    </row>
    <row r="2174" ht="12.75" customHeight="1">
      <c r="A2174" s="6" t="s">
        <v>7748</v>
      </c>
      <c r="B2174" s="6" t="s">
        <v>7749</v>
      </c>
    </row>
    <row r="2175" ht="12.75" customHeight="1">
      <c r="A2175" s="6" t="s">
        <v>7750</v>
      </c>
      <c r="B2175" s="6" t="s">
        <v>7751</v>
      </c>
    </row>
    <row r="2176" ht="12.75" customHeight="1">
      <c r="A2176" s="6" t="s">
        <v>7752</v>
      </c>
      <c r="B2176" s="6" t="s">
        <v>7753</v>
      </c>
    </row>
    <row r="2177" ht="12.75" customHeight="1">
      <c r="A2177" s="6" t="s">
        <v>7754</v>
      </c>
      <c r="B2177" s="6" t="s">
        <v>7755</v>
      </c>
    </row>
    <row r="2178" ht="12.75" customHeight="1">
      <c r="A2178" s="6" t="s">
        <v>7756</v>
      </c>
      <c r="B2178" s="6" t="s">
        <v>7757</v>
      </c>
    </row>
    <row r="2179" ht="12.75" customHeight="1">
      <c r="A2179" s="6" t="s">
        <v>7758</v>
      </c>
      <c r="B2179" s="6" t="s">
        <v>7759</v>
      </c>
    </row>
    <row r="2180" ht="12.75" customHeight="1">
      <c r="A2180" s="6" t="s">
        <v>7760</v>
      </c>
      <c r="B2180" s="6" t="s">
        <v>2989</v>
      </c>
    </row>
    <row r="2181" ht="12.75" customHeight="1">
      <c r="A2181" s="6" t="s">
        <v>7761</v>
      </c>
      <c r="B2181" s="6" t="s">
        <v>1782</v>
      </c>
    </row>
    <row r="2182" ht="12.75" customHeight="1">
      <c r="A2182" s="6" t="s">
        <v>7762</v>
      </c>
      <c r="B2182" s="6" t="s">
        <v>7763</v>
      </c>
    </row>
    <row r="2183" ht="12.75" customHeight="1">
      <c r="A2183" s="6" t="s">
        <v>7764</v>
      </c>
      <c r="B2183" s="6" t="s">
        <v>7765</v>
      </c>
    </row>
    <row r="2184" ht="12.75" customHeight="1">
      <c r="A2184" s="6" t="s">
        <v>7766</v>
      </c>
      <c r="B2184" s="6" t="s">
        <v>7767</v>
      </c>
    </row>
    <row r="2185" ht="12.75" customHeight="1">
      <c r="A2185" s="6" t="s">
        <v>7768</v>
      </c>
      <c r="B2185" s="6" t="s">
        <v>1248</v>
      </c>
    </row>
    <row r="2186" ht="12.75" customHeight="1">
      <c r="A2186" s="6" t="s">
        <v>7769</v>
      </c>
      <c r="B2186" s="6" t="s">
        <v>7770</v>
      </c>
    </row>
    <row r="2187" ht="12.75" customHeight="1">
      <c r="A2187" s="6" t="s">
        <v>7771</v>
      </c>
      <c r="B2187" s="6" t="s">
        <v>7772</v>
      </c>
    </row>
    <row r="2188" ht="12.75" customHeight="1">
      <c r="A2188" s="6" t="s">
        <v>7773</v>
      </c>
      <c r="B2188" s="6" t="s">
        <v>609</v>
      </c>
    </row>
    <row r="2189" ht="12.75" customHeight="1">
      <c r="A2189" s="6" t="s">
        <v>7774</v>
      </c>
      <c r="B2189" s="6" t="s">
        <v>141</v>
      </c>
    </row>
    <row r="2190" ht="12.75" customHeight="1">
      <c r="A2190" s="6" t="s">
        <v>7775</v>
      </c>
      <c r="B2190" s="6" t="s">
        <v>7776</v>
      </c>
    </row>
    <row r="2191" ht="12.75" customHeight="1">
      <c r="A2191" s="6" t="s">
        <v>7777</v>
      </c>
      <c r="B2191" s="6" t="s">
        <v>2479</v>
      </c>
    </row>
    <row r="2192" ht="12.75" customHeight="1">
      <c r="A2192" s="6" t="s">
        <v>7778</v>
      </c>
      <c r="B2192" s="6" t="s">
        <v>7779</v>
      </c>
    </row>
    <row r="2193" ht="12.75" customHeight="1">
      <c r="A2193" s="6" t="s">
        <v>7780</v>
      </c>
      <c r="B2193" s="6" t="s">
        <v>7781</v>
      </c>
    </row>
    <row r="2194" ht="12.75" customHeight="1">
      <c r="A2194" s="6" t="s">
        <v>7782</v>
      </c>
      <c r="B2194" s="6" t="s">
        <v>2428</v>
      </c>
    </row>
    <row r="2195" ht="12.75" customHeight="1">
      <c r="A2195" s="6" t="s">
        <v>7783</v>
      </c>
      <c r="B2195" s="6" t="s">
        <v>7784</v>
      </c>
    </row>
    <row r="2196" ht="12.75" customHeight="1">
      <c r="A2196" s="6" t="s">
        <v>7785</v>
      </c>
      <c r="B2196" s="6" t="s">
        <v>7786</v>
      </c>
    </row>
    <row r="2197" ht="12.75" customHeight="1">
      <c r="A2197" s="6" t="s">
        <v>7787</v>
      </c>
      <c r="B2197" s="6" t="s">
        <v>7788</v>
      </c>
    </row>
    <row r="2198" ht="12.75" customHeight="1">
      <c r="A2198" s="6" t="s">
        <v>7789</v>
      </c>
      <c r="B2198" s="6" t="s">
        <v>7790</v>
      </c>
    </row>
    <row r="2199" ht="12.75" customHeight="1">
      <c r="A2199" s="6" t="s">
        <v>7791</v>
      </c>
      <c r="B2199" s="6" t="s">
        <v>7792</v>
      </c>
    </row>
    <row r="2200" ht="12.75" customHeight="1">
      <c r="A2200" s="6" t="s">
        <v>7793</v>
      </c>
      <c r="B2200" s="6" t="s">
        <v>7794</v>
      </c>
    </row>
    <row r="2201" ht="12.75" customHeight="1">
      <c r="A2201" s="6" t="s">
        <v>7795</v>
      </c>
      <c r="B2201" s="6" t="s">
        <v>7796</v>
      </c>
    </row>
    <row r="2202" ht="12.75" customHeight="1">
      <c r="A2202" s="6" t="s">
        <v>7797</v>
      </c>
      <c r="B2202" s="6" t="s">
        <v>7798</v>
      </c>
    </row>
    <row r="2203" ht="12.75" customHeight="1">
      <c r="A2203" s="6" t="s">
        <v>7799</v>
      </c>
      <c r="B2203" s="6" t="s">
        <v>7800</v>
      </c>
    </row>
    <row r="2204" ht="12.75" customHeight="1">
      <c r="A2204" s="6" t="s">
        <v>7801</v>
      </c>
      <c r="B2204" s="6" t="s">
        <v>2850</v>
      </c>
    </row>
    <row r="2205" ht="12.75" customHeight="1">
      <c r="A2205" s="6" t="s">
        <v>7802</v>
      </c>
      <c r="B2205" s="6" t="s">
        <v>3797</v>
      </c>
    </row>
    <row r="2206" ht="12.75" customHeight="1">
      <c r="A2206" s="6" t="s">
        <v>7803</v>
      </c>
      <c r="B2206" s="6" t="s">
        <v>7804</v>
      </c>
    </row>
    <row r="2207" ht="12.75" customHeight="1">
      <c r="A2207" s="6" t="s">
        <v>7805</v>
      </c>
      <c r="B2207" s="6" t="s">
        <v>7806</v>
      </c>
    </row>
    <row r="2208" ht="12.75" customHeight="1">
      <c r="A2208" s="6" t="s">
        <v>7807</v>
      </c>
      <c r="B2208" s="6" t="s">
        <v>7808</v>
      </c>
    </row>
    <row r="2209" ht="12.75" customHeight="1">
      <c r="A2209" s="6" t="s">
        <v>7809</v>
      </c>
      <c r="B2209" s="6" t="s">
        <v>7810</v>
      </c>
    </row>
    <row r="2210" ht="12.75" customHeight="1">
      <c r="A2210" s="6" t="s">
        <v>7811</v>
      </c>
      <c r="B2210" s="6" t="s">
        <v>2715</v>
      </c>
    </row>
    <row r="2211" ht="12.75" customHeight="1">
      <c r="A2211" s="6" t="s">
        <v>7812</v>
      </c>
      <c r="B2211" s="6" t="s">
        <v>7813</v>
      </c>
    </row>
    <row r="2212" ht="12.75" customHeight="1">
      <c r="A2212" s="6" t="s">
        <v>7814</v>
      </c>
      <c r="B2212" s="6" t="s">
        <v>7815</v>
      </c>
    </row>
    <row r="2213" ht="12.75" customHeight="1">
      <c r="A2213" s="6" t="s">
        <v>7816</v>
      </c>
      <c r="B2213" s="6" t="s">
        <v>7817</v>
      </c>
    </row>
    <row r="2214" ht="12.75" customHeight="1">
      <c r="A2214" s="6" t="s">
        <v>7818</v>
      </c>
      <c r="B2214" s="6" t="s">
        <v>7819</v>
      </c>
    </row>
    <row r="2215" ht="12.75" customHeight="1">
      <c r="A2215" s="6" t="s">
        <v>7820</v>
      </c>
      <c r="B2215" s="6" t="s">
        <v>7821</v>
      </c>
    </row>
    <row r="2216" ht="12.75" customHeight="1">
      <c r="A2216" s="6" t="s">
        <v>7822</v>
      </c>
      <c r="B2216" s="6" t="s">
        <v>7823</v>
      </c>
    </row>
    <row r="2217" ht="12.75" customHeight="1">
      <c r="A2217" s="6" t="s">
        <v>7824</v>
      </c>
      <c r="B2217" s="6" t="s">
        <v>7825</v>
      </c>
    </row>
    <row r="2218" ht="12.75" customHeight="1">
      <c r="A2218" s="6" t="s">
        <v>7826</v>
      </c>
      <c r="B2218" s="6" t="s">
        <v>2674</v>
      </c>
    </row>
    <row r="2219" ht="12.75" customHeight="1">
      <c r="A2219" s="6" t="s">
        <v>7827</v>
      </c>
      <c r="B2219" s="6" t="s">
        <v>7828</v>
      </c>
    </row>
    <row r="2220" ht="12.75" customHeight="1">
      <c r="A2220" s="6" t="s">
        <v>7829</v>
      </c>
      <c r="B2220" s="6" t="s">
        <v>7830</v>
      </c>
    </row>
    <row r="2221" ht="12.75" customHeight="1">
      <c r="A2221" s="6" t="s">
        <v>7831</v>
      </c>
      <c r="B2221" s="6" t="s">
        <v>7832</v>
      </c>
    </row>
    <row r="2222" ht="12.75" customHeight="1">
      <c r="A2222" s="6" t="s">
        <v>7833</v>
      </c>
      <c r="B2222" s="6" t="s">
        <v>680</v>
      </c>
    </row>
    <row r="2223" ht="12.75" customHeight="1">
      <c r="A2223" s="6" t="s">
        <v>7834</v>
      </c>
      <c r="B2223" s="6" t="s">
        <v>7835</v>
      </c>
    </row>
    <row r="2224" ht="12.75" customHeight="1">
      <c r="A2224" s="6" t="s">
        <v>7836</v>
      </c>
      <c r="B2224" s="6" t="s">
        <v>1384</v>
      </c>
    </row>
    <row r="2225" ht="12.75" customHeight="1">
      <c r="A2225" s="6" t="s">
        <v>7837</v>
      </c>
      <c r="B2225" s="6" t="s">
        <v>3430</v>
      </c>
    </row>
    <row r="2226" ht="12.75" customHeight="1">
      <c r="A2226" s="6" t="s">
        <v>7838</v>
      </c>
      <c r="B2226" s="6" t="s">
        <v>374</v>
      </c>
    </row>
    <row r="2227" ht="12.75" customHeight="1">
      <c r="A2227" s="6" t="s">
        <v>7839</v>
      </c>
      <c r="B2227" s="6" t="s">
        <v>7840</v>
      </c>
    </row>
    <row r="2228" ht="12.75" customHeight="1">
      <c r="A2228" s="6" t="s">
        <v>7841</v>
      </c>
      <c r="B2228" s="6" t="s">
        <v>7842</v>
      </c>
    </row>
    <row r="2229" ht="12.75" customHeight="1">
      <c r="A2229" s="6" t="s">
        <v>7843</v>
      </c>
      <c r="B2229" s="6" t="s">
        <v>7844</v>
      </c>
    </row>
    <row r="2230" ht="12.75" customHeight="1">
      <c r="A2230" s="6" t="s">
        <v>7845</v>
      </c>
      <c r="B2230" s="6" t="s">
        <v>1438</v>
      </c>
    </row>
    <row r="2231" ht="12.75" customHeight="1">
      <c r="A2231" s="6" t="s">
        <v>7846</v>
      </c>
      <c r="B2231" s="6" t="s">
        <v>7847</v>
      </c>
    </row>
    <row r="2232" ht="12.75" customHeight="1">
      <c r="A2232" s="6" t="s">
        <v>7848</v>
      </c>
      <c r="B2232" s="6" t="s">
        <v>3116</v>
      </c>
    </row>
    <row r="2233" ht="12.75" customHeight="1">
      <c r="A2233" s="6" t="s">
        <v>7849</v>
      </c>
      <c r="B2233" s="6" t="s">
        <v>7850</v>
      </c>
    </row>
    <row r="2234" ht="12.75" customHeight="1">
      <c r="A2234" s="6" t="s">
        <v>7851</v>
      </c>
      <c r="B2234" s="6" t="s">
        <v>7852</v>
      </c>
    </row>
    <row r="2235" ht="12.75" customHeight="1">
      <c r="A2235" s="6" t="s">
        <v>7853</v>
      </c>
      <c r="B2235" s="6" t="s">
        <v>924</v>
      </c>
    </row>
    <row r="2236" ht="12.75" customHeight="1">
      <c r="A2236" s="6" t="s">
        <v>7854</v>
      </c>
    </row>
    <row r="2237" ht="12.75" customHeight="1">
      <c r="A2237" s="6" t="s">
        <v>7855</v>
      </c>
      <c r="B2237" s="6" t="s">
        <v>7856</v>
      </c>
    </row>
    <row r="2238" ht="12.75" customHeight="1">
      <c r="A2238" s="6" t="s">
        <v>7857</v>
      </c>
      <c r="B2238" s="6" t="s">
        <v>7858</v>
      </c>
    </row>
    <row r="2239" ht="12.75" customHeight="1">
      <c r="A2239" s="6" t="s">
        <v>7859</v>
      </c>
      <c r="B2239" s="6" t="s">
        <v>2292</v>
      </c>
    </row>
    <row r="2240" ht="12.75" customHeight="1">
      <c r="A2240" s="6" t="s">
        <v>7860</v>
      </c>
      <c r="B2240" s="6" t="s">
        <v>7861</v>
      </c>
    </row>
    <row r="2241" ht="12.75" customHeight="1">
      <c r="A2241" s="6" t="s">
        <v>7862</v>
      </c>
      <c r="B2241" s="6" t="s">
        <v>7863</v>
      </c>
    </row>
    <row r="2242" ht="12.75" customHeight="1">
      <c r="A2242" s="6" t="s">
        <v>7864</v>
      </c>
      <c r="B2242" s="6" t="s">
        <v>7865</v>
      </c>
    </row>
    <row r="2243" ht="12.75" customHeight="1">
      <c r="A2243" s="6" t="s">
        <v>7866</v>
      </c>
      <c r="B2243" s="6" t="s">
        <v>7867</v>
      </c>
    </row>
    <row r="2244" ht="12.75" customHeight="1">
      <c r="A2244" s="6" t="s">
        <v>7868</v>
      </c>
      <c r="B2244" s="6" t="s">
        <v>7869</v>
      </c>
    </row>
    <row r="2245" ht="12.75" customHeight="1">
      <c r="A2245" s="6" t="s">
        <v>7870</v>
      </c>
      <c r="B2245" s="6" t="s">
        <v>7871</v>
      </c>
    </row>
    <row r="2246" ht="12.75" customHeight="1">
      <c r="A2246" s="6" t="s">
        <v>7872</v>
      </c>
      <c r="B2246" s="6" t="s">
        <v>7873</v>
      </c>
    </row>
    <row r="2247" ht="12.75" customHeight="1">
      <c r="A2247" s="6" t="s">
        <v>7874</v>
      </c>
      <c r="B2247" s="6" t="s">
        <v>7875</v>
      </c>
    </row>
    <row r="2248" ht="12.75" customHeight="1">
      <c r="A2248" s="6" t="s">
        <v>7876</v>
      </c>
      <c r="B2248" s="6" t="s">
        <v>7877</v>
      </c>
    </row>
    <row r="2249" ht="12.75" customHeight="1">
      <c r="A2249" s="6" t="s">
        <v>7878</v>
      </c>
      <c r="B2249" s="6" t="s">
        <v>7879</v>
      </c>
    </row>
    <row r="2250" ht="12.75" customHeight="1">
      <c r="A2250" s="6" t="s">
        <v>7880</v>
      </c>
      <c r="B2250" s="6" t="s">
        <v>7881</v>
      </c>
    </row>
    <row r="2251" ht="12.75" customHeight="1">
      <c r="A2251" s="6" t="s">
        <v>7882</v>
      </c>
      <c r="B2251" s="6" t="s">
        <v>7883</v>
      </c>
    </row>
    <row r="2252" ht="12.75" customHeight="1">
      <c r="A2252" s="6" t="s">
        <v>7884</v>
      </c>
      <c r="B2252" s="6" t="s">
        <v>7885</v>
      </c>
    </row>
    <row r="2253" ht="12.75" customHeight="1">
      <c r="A2253" s="6" t="s">
        <v>7886</v>
      </c>
      <c r="B2253" s="6" t="s">
        <v>7887</v>
      </c>
    </row>
    <row r="2254" ht="12.75" customHeight="1">
      <c r="A2254" s="6" t="s">
        <v>7888</v>
      </c>
      <c r="B2254" s="6" t="s">
        <v>7889</v>
      </c>
    </row>
    <row r="2255" ht="12.75" customHeight="1">
      <c r="A2255" s="6" t="s">
        <v>7890</v>
      </c>
      <c r="B2255" s="6" t="s">
        <v>593</v>
      </c>
    </row>
    <row r="2256" ht="12.75" customHeight="1">
      <c r="A2256" s="6" t="s">
        <v>7891</v>
      </c>
      <c r="B2256" s="6" t="s">
        <v>7892</v>
      </c>
    </row>
    <row r="2257" ht="12.75" customHeight="1">
      <c r="A2257" s="6" t="s">
        <v>7893</v>
      </c>
      <c r="B2257" s="6" t="s">
        <v>7894</v>
      </c>
    </row>
    <row r="2258" ht="12.75" customHeight="1">
      <c r="A2258" s="6" t="s">
        <v>7895</v>
      </c>
      <c r="B2258" s="6" t="s">
        <v>7896</v>
      </c>
    </row>
    <row r="2259" ht="12.75" customHeight="1">
      <c r="A2259" s="6" t="s">
        <v>7897</v>
      </c>
      <c r="B2259" s="6" t="s">
        <v>386</v>
      </c>
    </row>
    <row r="2260" ht="12.75" customHeight="1">
      <c r="A2260" s="6" t="s">
        <v>7898</v>
      </c>
      <c r="B2260" s="6" t="s">
        <v>7899</v>
      </c>
    </row>
    <row r="2261" ht="12.75" customHeight="1">
      <c r="A2261" s="6" t="s">
        <v>7900</v>
      </c>
      <c r="B2261" s="6" t="s">
        <v>7901</v>
      </c>
    </row>
    <row r="2262" ht="12.75" customHeight="1">
      <c r="A2262" s="6" t="s">
        <v>7902</v>
      </c>
      <c r="B2262" s="6" t="s">
        <v>7903</v>
      </c>
    </row>
    <row r="2263" ht="12.75" customHeight="1">
      <c r="A2263" s="6" t="s">
        <v>7904</v>
      </c>
      <c r="B2263" s="6" t="s">
        <v>1275</v>
      </c>
    </row>
    <row r="2264" ht="12.75" customHeight="1">
      <c r="A2264" s="6" t="s">
        <v>7905</v>
      </c>
      <c r="B2264" s="6" t="s">
        <v>7906</v>
      </c>
    </row>
    <row r="2265" ht="12.75" customHeight="1">
      <c r="A2265" s="6" t="s">
        <v>7907</v>
      </c>
      <c r="B2265" s="6" t="s">
        <v>7908</v>
      </c>
    </row>
    <row r="2266" ht="12.75" customHeight="1">
      <c r="A2266" s="6" t="s">
        <v>7909</v>
      </c>
      <c r="B2266" s="6" t="s">
        <v>1935</v>
      </c>
    </row>
    <row r="2267" ht="12.75" customHeight="1">
      <c r="A2267" s="6" t="s">
        <v>7910</v>
      </c>
      <c r="B2267" s="6" t="s">
        <v>7911</v>
      </c>
    </row>
    <row r="2268" ht="12.75" customHeight="1">
      <c r="A2268" s="6" t="s">
        <v>7912</v>
      </c>
      <c r="B2268" s="6" t="s">
        <v>2708</v>
      </c>
    </row>
    <row r="2269" ht="12.75" customHeight="1">
      <c r="A2269" s="6" t="s">
        <v>7913</v>
      </c>
      <c r="B2269" s="6" t="s">
        <v>7914</v>
      </c>
    </row>
    <row r="2270" ht="12.75" customHeight="1">
      <c r="A2270" s="6" t="s">
        <v>7915</v>
      </c>
      <c r="B2270" s="6" t="s">
        <v>7916</v>
      </c>
    </row>
    <row r="2271" ht="12.75" customHeight="1">
      <c r="A2271" s="6" t="s">
        <v>7917</v>
      </c>
      <c r="B2271" s="6" t="s">
        <v>7918</v>
      </c>
    </row>
    <row r="2272" ht="12.75" customHeight="1">
      <c r="A2272" s="6" t="s">
        <v>7919</v>
      </c>
      <c r="B2272" s="6" t="s">
        <v>7920</v>
      </c>
    </row>
    <row r="2273" ht="12.75" customHeight="1">
      <c r="A2273" s="6" t="s">
        <v>7921</v>
      </c>
      <c r="B2273" s="6" t="s">
        <v>7922</v>
      </c>
    </row>
    <row r="2274" ht="12.75" customHeight="1">
      <c r="A2274" s="6" t="s">
        <v>7923</v>
      </c>
      <c r="B2274" s="6" t="s">
        <v>7924</v>
      </c>
    </row>
    <row r="2275" ht="12.75" customHeight="1">
      <c r="A2275" s="6" t="s">
        <v>7925</v>
      </c>
      <c r="B2275" s="6" t="s">
        <v>7926</v>
      </c>
    </row>
    <row r="2276" ht="12.75" customHeight="1">
      <c r="A2276" s="6" t="s">
        <v>7927</v>
      </c>
      <c r="B2276" s="6" t="s">
        <v>7928</v>
      </c>
    </row>
    <row r="2277" ht="12.75" customHeight="1">
      <c r="A2277" s="6" t="s">
        <v>7929</v>
      </c>
      <c r="B2277" s="6" t="s">
        <v>1301</v>
      </c>
    </row>
    <row r="2278" ht="12.75" customHeight="1">
      <c r="A2278" s="6" t="s">
        <v>7930</v>
      </c>
      <c r="B2278" s="6" t="s">
        <v>7931</v>
      </c>
    </row>
    <row r="2279" ht="12.75" customHeight="1">
      <c r="A2279" s="6" t="s">
        <v>7932</v>
      </c>
      <c r="B2279" s="6" t="s">
        <v>332</v>
      </c>
    </row>
    <row r="2280" ht="12.75" customHeight="1">
      <c r="A2280" s="6" t="s">
        <v>7933</v>
      </c>
      <c r="B2280" s="6" t="s">
        <v>7934</v>
      </c>
    </row>
    <row r="2281" ht="12.75" customHeight="1">
      <c r="A2281" s="6" t="s">
        <v>7935</v>
      </c>
      <c r="B2281" s="6" t="s">
        <v>7936</v>
      </c>
    </row>
    <row r="2282" ht="12.75" customHeight="1">
      <c r="A2282" s="6" t="s">
        <v>7937</v>
      </c>
      <c r="B2282" s="6" t="s">
        <v>1539</v>
      </c>
    </row>
    <row r="2283" ht="12.75" customHeight="1">
      <c r="A2283" s="6" t="s">
        <v>7938</v>
      </c>
      <c r="B2283" s="6" t="s">
        <v>7939</v>
      </c>
    </row>
    <row r="2284" ht="12.75" customHeight="1">
      <c r="A2284" s="6" t="s">
        <v>7940</v>
      </c>
      <c r="B2284" s="6" t="s">
        <v>286</v>
      </c>
    </row>
    <row r="2285" ht="12.75" customHeight="1">
      <c r="A2285" s="6" t="s">
        <v>7941</v>
      </c>
      <c r="B2285" s="6" t="s">
        <v>1326</v>
      </c>
    </row>
    <row r="2286" ht="12.75" customHeight="1">
      <c r="A2286" s="6" t="s">
        <v>7942</v>
      </c>
      <c r="B2286" s="6" t="s">
        <v>3629</v>
      </c>
    </row>
    <row r="2287" ht="12.75" customHeight="1">
      <c r="A2287" s="6" t="s">
        <v>7943</v>
      </c>
      <c r="B2287" s="6" t="s">
        <v>7944</v>
      </c>
    </row>
    <row r="2288" ht="12.75" customHeight="1">
      <c r="A2288" s="6" t="s">
        <v>7945</v>
      </c>
      <c r="B2288" s="6" t="s">
        <v>7946</v>
      </c>
    </row>
    <row r="2289" ht="12.75" customHeight="1">
      <c r="A2289" s="6" t="s">
        <v>7947</v>
      </c>
      <c r="B2289" s="6" t="s">
        <v>7948</v>
      </c>
    </row>
    <row r="2290" ht="12.75" customHeight="1">
      <c r="A2290" s="6" t="s">
        <v>7949</v>
      </c>
      <c r="B2290" s="6" t="s">
        <v>2298</v>
      </c>
    </row>
    <row r="2291" ht="12.75" customHeight="1">
      <c r="A2291" s="6" t="s">
        <v>7950</v>
      </c>
      <c r="B2291" s="6" t="s">
        <v>2036</v>
      </c>
    </row>
    <row r="2292" ht="12.75" customHeight="1">
      <c r="A2292" s="6" t="s">
        <v>7951</v>
      </c>
      <c r="B2292" s="6" t="s">
        <v>3829</v>
      </c>
    </row>
    <row r="2293" ht="12.75" customHeight="1">
      <c r="A2293" s="6" t="s">
        <v>7952</v>
      </c>
      <c r="B2293" s="6" t="s">
        <v>7953</v>
      </c>
    </row>
    <row r="2294" ht="12.75" customHeight="1">
      <c r="A2294" s="6" t="s">
        <v>7954</v>
      </c>
      <c r="B2294" s="6" t="s">
        <v>7955</v>
      </c>
    </row>
    <row r="2295" ht="12.75" customHeight="1">
      <c r="A2295" s="6" t="s">
        <v>7956</v>
      </c>
      <c r="B2295" s="6" t="s">
        <v>3508</v>
      </c>
    </row>
    <row r="2296" ht="12.75" customHeight="1">
      <c r="A2296" s="6" t="s">
        <v>7957</v>
      </c>
      <c r="B2296" s="6" t="s">
        <v>2005</v>
      </c>
    </row>
    <row r="2297" ht="12.75" customHeight="1">
      <c r="A2297" s="6" t="s">
        <v>7958</v>
      </c>
      <c r="B2297" s="6" t="s">
        <v>7959</v>
      </c>
    </row>
    <row r="2298" ht="12.75" customHeight="1">
      <c r="A2298" s="6" t="s">
        <v>7960</v>
      </c>
      <c r="B2298" s="6" t="s">
        <v>1142</v>
      </c>
    </row>
    <row r="2299" ht="12.75" customHeight="1">
      <c r="A2299" s="6" t="s">
        <v>7961</v>
      </c>
      <c r="B2299" s="6" t="s">
        <v>7962</v>
      </c>
    </row>
    <row r="2300" ht="12.75" customHeight="1">
      <c r="A2300" s="6" t="s">
        <v>7963</v>
      </c>
      <c r="B2300" s="6" t="s">
        <v>7964</v>
      </c>
    </row>
    <row r="2301" ht="12.75" customHeight="1">
      <c r="A2301" s="6" t="s">
        <v>7965</v>
      </c>
      <c r="B2301" s="6" t="s">
        <v>7966</v>
      </c>
    </row>
    <row r="2302" ht="12.75" customHeight="1">
      <c r="A2302" s="6" t="s">
        <v>7967</v>
      </c>
      <c r="B2302" s="6" t="s">
        <v>345</v>
      </c>
    </row>
    <row r="2303" ht="12.75" customHeight="1">
      <c r="A2303" s="6" t="s">
        <v>7968</v>
      </c>
      <c r="B2303" s="6" t="s">
        <v>7969</v>
      </c>
    </row>
    <row r="2304" ht="12.75" customHeight="1">
      <c r="A2304" s="6" t="s">
        <v>7970</v>
      </c>
      <c r="B2304" s="6" t="s">
        <v>7971</v>
      </c>
    </row>
    <row r="2305" ht="12.75" customHeight="1">
      <c r="A2305" s="6" t="s">
        <v>7972</v>
      </c>
    </row>
    <row r="2306" ht="12.75" customHeight="1">
      <c r="A2306" s="6" t="s">
        <v>7973</v>
      </c>
      <c r="B2306" s="6" t="s">
        <v>7974</v>
      </c>
    </row>
    <row r="2307" ht="12.75" customHeight="1">
      <c r="A2307" s="6" t="s">
        <v>7975</v>
      </c>
      <c r="B2307" s="6" t="s">
        <v>7976</v>
      </c>
    </row>
    <row r="2308" ht="12.75" customHeight="1">
      <c r="A2308" s="6" t="s">
        <v>7977</v>
      </c>
      <c r="B2308" s="6" t="s">
        <v>7978</v>
      </c>
    </row>
    <row r="2309" ht="12.75" customHeight="1">
      <c r="A2309" s="6" t="s">
        <v>7979</v>
      </c>
      <c r="B2309" s="6" t="s">
        <v>7980</v>
      </c>
    </row>
    <row r="2310" ht="12.75" customHeight="1">
      <c r="A2310" s="6" t="s">
        <v>7981</v>
      </c>
      <c r="B2310" s="6" t="s">
        <v>7982</v>
      </c>
    </row>
    <row r="2311" ht="12.75" customHeight="1">
      <c r="A2311" s="6" t="s">
        <v>7983</v>
      </c>
      <c r="B2311" s="6" t="s">
        <v>7984</v>
      </c>
    </row>
    <row r="2312" ht="12.75" customHeight="1">
      <c r="A2312" s="6" t="s">
        <v>7985</v>
      </c>
      <c r="B2312" s="6" t="s">
        <v>7986</v>
      </c>
    </row>
    <row r="2313" ht="12.75" customHeight="1">
      <c r="A2313" s="6" t="s">
        <v>7987</v>
      </c>
      <c r="B2313" s="6" t="s">
        <v>7988</v>
      </c>
    </row>
    <row r="2314" ht="12.75" customHeight="1">
      <c r="A2314" s="6" t="s">
        <v>7989</v>
      </c>
      <c r="B2314" s="6" t="s">
        <v>7990</v>
      </c>
    </row>
    <row r="2315" ht="12.75" customHeight="1">
      <c r="A2315" s="6" t="s">
        <v>7991</v>
      </c>
      <c r="B2315" s="6" t="s">
        <v>7992</v>
      </c>
    </row>
    <row r="2316" ht="12.75" customHeight="1">
      <c r="A2316" s="6" t="s">
        <v>7993</v>
      </c>
      <c r="B2316" s="6" t="s">
        <v>7994</v>
      </c>
    </row>
    <row r="2317" ht="12.75" customHeight="1">
      <c r="A2317" s="6" t="s">
        <v>7995</v>
      </c>
      <c r="B2317" s="6" t="s">
        <v>2147</v>
      </c>
    </row>
    <row r="2318" ht="12.75" customHeight="1">
      <c r="A2318" s="6" t="s">
        <v>7996</v>
      </c>
      <c r="B2318" s="6" t="s">
        <v>7997</v>
      </c>
    </row>
    <row r="2319" ht="12.75" customHeight="1">
      <c r="A2319" s="6" t="s">
        <v>7998</v>
      </c>
      <c r="B2319" s="6" t="s">
        <v>7999</v>
      </c>
    </row>
    <row r="2320" ht="12.75" customHeight="1">
      <c r="A2320" s="6" t="s">
        <v>8000</v>
      </c>
      <c r="B2320" s="6" t="s">
        <v>8001</v>
      </c>
    </row>
    <row r="2321" ht="12.75" customHeight="1">
      <c r="A2321" s="6" t="s">
        <v>8002</v>
      </c>
      <c r="B2321" s="6" t="s">
        <v>8003</v>
      </c>
    </row>
    <row r="2322" ht="12.75" customHeight="1">
      <c r="A2322" s="6" t="s">
        <v>8004</v>
      </c>
      <c r="B2322" s="6" t="s">
        <v>8005</v>
      </c>
    </row>
    <row r="2323" ht="12.75" customHeight="1">
      <c r="A2323" s="6" t="s">
        <v>8006</v>
      </c>
      <c r="B2323" s="6" t="s">
        <v>8007</v>
      </c>
    </row>
    <row r="2324" ht="12.75" customHeight="1">
      <c r="A2324" s="6" t="s">
        <v>8008</v>
      </c>
      <c r="B2324" s="6" t="s">
        <v>1281</v>
      </c>
    </row>
    <row r="2325" ht="12.75" customHeight="1">
      <c r="A2325" s="6" t="s">
        <v>8009</v>
      </c>
      <c r="B2325" s="6" t="s">
        <v>3833</v>
      </c>
    </row>
    <row r="2326" ht="12.75" customHeight="1">
      <c r="A2326" s="6" t="s">
        <v>8010</v>
      </c>
      <c r="B2326" s="6" t="s">
        <v>8011</v>
      </c>
    </row>
    <row r="2327" ht="12.75" customHeight="1">
      <c r="A2327" s="6" t="s">
        <v>8012</v>
      </c>
      <c r="B2327" s="6" t="s">
        <v>8013</v>
      </c>
    </row>
    <row r="2328" ht="12.75" customHeight="1">
      <c r="A2328" s="6" t="s">
        <v>8014</v>
      </c>
      <c r="B2328" s="6" t="s">
        <v>1985</v>
      </c>
    </row>
    <row r="2329" ht="12.75" customHeight="1">
      <c r="A2329" s="6" t="s">
        <v>8015</v>
      </c>
      <c r="B2329" s="6" t="s">
        <v>8016</v>
      </c>
    </row>
    <row r="2330" ht="12.75" customHeight="1">
      <c r="A2330" s="6" t="s">
        <v>8017</v>
      </c>
      <c r="B2330" s="6" t="s">
        <v>1629</v>
      </c>
    </row>
    <row r="2331" ht="12.75" customHeight="1">
      <c r="A2331" s="6" t="s">
        <v>8018</v>
      </c>
      <c r="B2331" s="6" t="s">
        <v>2122</v>
      </c>
    </row>
    <row r="2332" ht="12.75" customHeight="1">
      <c r="A2332" s="6" t="s">
        <v>8019</v>
      </c>
      <c r="B2332" s="6" t="s">
        <v>477</v>
      </c>
    </row>
    <row r="2333" ht="12.75" customHeight="1">
      <c r="A2333" s="6" t="s">
        <v>8020</v>
      </c>
      <c r="B2333" s="6" t="s">
        <v>8021</v>
      </c>
    </row>
    <row r="2334" ht="12.75" customHeight="1">
      <c r="A2334" s="6" t="s">
        <v>8022</v>
      </c>
      <c r="B2334" s="6" t="s">
        <v>2158</v>
      </c>
    </row>
    <row r="2335" ht="12.75" customHeight="1">
      <c r="A2335" s="6" t="s">
        <v>8023</v>
      </c>
      <c r="B2335" s="6" t="s">
        <v>1668</v>
      </c>
    </row>
    <row r="2336" ht="12.75" customHeight="1">
      <c r="A2336" s="6" t="s">
        <v>8024</v>
      </c>
      <c r="B2336" s="6" t="s">
        <v>8025</v>
      </c>
    </row>
    <row r="2337" ht="12.75" customHeight="1">
      <c r="A2337" s="6" t="s">
        <v>8026</v>
      </c>
      <c r="B2337" s="6" t="s">
        <v>2014</v>
      </c>
    </row>
    <row r="2338" ht="12.75" customHeight="1">
      <c r="A2338" s="6" t="s">
        <v>8027</v>
      </c>
      <c r="B2338" s="6" t="s">
        <v>8028</v>
      </c>
    </row>
    <row r="2339" ht="12.75" customHeight="1">
      <c r="A2339" s="6" t="s">
        <v>8029</v>
      </c>
      <c r="B2339" s="6" t="s">
        <v>2815</v>
      </c>
    </row>
    <row r="2340" ht="12.75" customHeight="1">
      <c r="A2340" s="6" t="s">
        <v>8030</v>
      </c>
      <c r="B2340" s="6" t="s">
        <v>3785</v>
      </c>
    </row>
    <row r="2341" ht="12.75" customHeight="1">
      <c r="A2341" s="6" t="s">
        <v>8031</v>
      </c>
      <c r="B2341" s="6" t="s">
        <v>798</v>
      </c>
    </row>
    <row r="2342" ht="12.75" customHeight="1">
      <c r="A2342" s="6" t="s">
        <v>8032</v>
      </c>
      <c r="B2342" s="6" t="s">
        <v>1988</v>
      </c>
    </row>
    <row r="2343" ht="12.75" customHeight="1">
      <c r="A2343" s="6" t="s">
        <v>8033</v>
      </c>
      <c r="B2343" s="6" t="s">
        <v>947</v>
      </c>
    </row>
    <row r="2344" ht="12.75" customHeight="1">
      <c r="A2344" s="6" t="s">
        <v>8034</v>
      </c>
    </row>
    <row r="2345" ht="12.75" customHeight="1">
      <c r="A2345" s="6" t="s">
        <v>8035</v>
      </c>
      <c r="B2345" s="6" t="s">
        <v>8036</v>
      </c>
    </row>
    <row r="2346" ht="12.75" customHeight="1">
      <c r="A2346" s="6" t="s">
        <v>8037</v>
      </c>
      <c r="B2346" s="6" t="s">
        <v>8038</v>
      </c>
    </row>
    <row r="2347" ht="12.75" customHeight="1">
      <c r="A2347" s="6" t="s">
        <v>8039</v>
      </c>
      <c r="B2347" s="6" t="s">
        <v>8040</v>
      </c>
    </row>
    <row r="2348" ht="12.75" customHeight="1">
      <c r="A2348" s="6" t="s">
        <v>8041</v>
      </c>
      <c r="B2348" s="6" t="s">
        <v>2228</v>
      </c>
    </row>
    <row r="2349" ht="12.75" customHeight="1">
      <c r="A2349" s="6" t="s">
        <v>8042</v>
      </c>
      <c r="B2349" s="6" t="s">
        <v>742</v>
      </c>
    </row>
    <row r="2350" ht="12.75" customHeight="1">
      <c r="A2350" s="6" t="s">
        <v>8043</v>
      </c>
      <c r="B2350" s="6" t="s">
        <v>2807</v>
      </c>
    </row>
    <row r="2351" ht="12.75" customHeight="1">
      <c r="A2351" s="6" t="s">
        <v>8044</v>
      </c>
      <c r="B2351" s="6" t="s">
        <v>8045</v>
      </c>
    </row>
    <row r="2352" ht="12.75" customHeight="1">
      <c r="A2352" s="6" t="s">
        <v>8046</v>
      </c>
      <c r="B2352" s="6" t="s">
        <v>771</v>
      </c>
    </row>
    <row r="2353" ht="12.75" customHeight="1">
      <c r="A2353" s="6" t="s">
        <v>8047</v>
      </c>
      <c r="B2353" s="6" t="s">
        <v>492</v>
      </c>
    </row>
    <row r="2354" ht="12.75" customHeight="1">
      <c r="A2354" s="6" t="s">
        <v>8048</v>
      </c>
      <c r="B2354" s="6" t="s">
        <v>8049</v>
      </c>
    </row>
    <row r="2355" ht="12.75" customHeight="1">
      <c r="A2355" s="6" t="s">
        <v>8050</v>
      </c>
      <c r="B2355" s="6" t="s">
        <v>8051</v>
      </c>
    </row>
    <row r="2356" ht="12.75" customHeight="1">
      <c r="A2356" s="6" t="s">
        <v>8052</v>
      </c>
      <c r="B2356" s="6" t="s">
        <v>8053</v>
      </c>
    </row>
    <row r="2357" ht="12.75" customHeight="1">
      <c r="A2357" s="6" t="s">
        <v>8054</v>
      </c>
      <c r="B2357" s="6" t="s">
        <v>3228</v>
      </c>
    </row>
    <row r="2358" ht="12.75" customHeight="1">
      <c r="A2358" s="6" t="s">
        <v>8055</v>
      </c>
      <c r="B2358" s="6" t="s">
        <v>639</v>
      </c>
    </row>
    <row r="2359" ht="12.75" customHeight="1">
      <c r="A2359" s="6" t="s">
        <v>8056</v>
      </c>
      <c r="B2359" s="6" t="s">
        <v>2251</v>
      </c>
    </row>
    <row r="2360" ht="12.75" customHeight="1">
      <c r="A2360" s="6" t="s">
        <v>8057</v>
      </c>
      <c r="B2360" s="6" t="s">
        <v>2694</v>
      </c>
    </row>
    <row r="2361" ht="12.75" customHeight="1">
      <c r="A2361" s="6" t="s">
        <v>8058</v>
      </c>
      <c r="B2361" s="6" t="s">
        <v>8059</v>
      </c>
    </row>
    <row r="2362" ht="12.75" customHeight="1">
      <c r="A2362" s="6" t="s">
        <v>8060</v>
      </c>
      <c r="B2362" s="6" t="s">
        <v>8061</v>
      </c>
    </row>
    <row r="2363" ht="12.75" customHeight="1">
      <c r="A2363" s="6" t="s">
        <v>8062</v>
      </c>
      <c r="B2363" s="6" t="s">
        <v>8063</v>
      </c>
    </row>
    <row r="2364" ht="12.75" customHeight="1">
      <c r="A2364" s="6" t="s">
        <v>8064</v>
      </c>
      <c r="B2364" s="6" t="s">
        <v>8065</v>
      </c>
    </row>
    <row r="2365" ht="12.75" customHeight="1">
      <c r="A2365" s="6" t="s">
        <v>8066</v>
      </c>
      <c r="B2365" s="6" t="s">
        <v>8067</v>
      </c>
    </row>
    <row r="2366" ht="12.75" customHeight="1">
      <c r="A2366" s="6" t="s">
        <v>8068</v>
      </c>
      <c r="B2366" s="6" t="s">
        <v>8069</v>
      </c>
    </row>
    <row r="2367" ht="12.75" customHeight="1">
      <c r="A2367" s="6" t="s">
        <v>8070</v>
      </c>
      <c r="B2367" s="6" t="s">
        <v>8071</v>
      </c>
    </row>
    <row r="2368" ht="12.75" customHeight="1">
      <c r="A2368" s="6" t="s">
        <v>8072</v>
      </c>
      <c r="B2368" s="6" t="s">
        <v>8073</v>
      </c>
    </row>
    <row r="2369" ht="12.75" customHeight="1">
      <c r="A2369" s="6" t="s">
        <v>8074</v>
      </c>
      <c r="B2369" s="6" t="s">
        <v>8075</v>
      </c>
    </row>
    <row r="2370" ht="12.75" customHeight="1">
      <c r="A2370" s="6" t="s">
        <v>8076</v>
      </c>
      <c r="B2370" s="6" t="s">
        <v>1447</v>
      </c>
    </row>
    <row r="2371" ht="12.75" customHeight="1">
      <c r="A2371" s="6" t="s">
        <v>8077</v>
      </c>
      <c r="B2371" s="6" t="s">
        <v>3601</v>
      </c>
    </row>
    <row r="2372" ht="12.75" customHeight="1">
      <c r="A2372" s="6" t="s">
        <v>8078</v>
      </c>
      <c r="B2372" s="6" t="s">
        <v>1927</v>
      </c>
    </row>
    <row r="2373" ht="12.75" customHeight="1">
      <c r="A2373" s="6" t="s">
        <v>8079</v>
      </c>
      <c r="B2373" s="6" t="s">
        <v>1847</v>
      </c>
    </row>
    <row r="2374" ht="12.75" customHeight="1">
      <c r="A2374" s="6" t="s">
        <v>8080</v>
      </c>
      <c r="B2374" s="6" t="s">
        <v>319</v>
      </c>
    </row>
    <row r="2375" ht="12.75" customHeight="1">
      <c r="A2375" s="6" t="s">
        <v>8081</v>
      </c>
      <c r="B2375" s="6" t="s">
        <v>1579</v>
      </c>
    </row>
    <row r="2376" ht="12.75" customHeight="1">
      <c r="A2376" s="6" t="s">
        <v>8082</v>
      </c>
      <c r="B2376" s="6" t="s">
        <v>933</v>
      </c>
    </row>
    <row r="2377" ht="12.75" customHeight="1">
      <c r="A2377" s="6" t="s">
        <v>8083</v>
      </c>
      <c r="B2377" s="6" t="s">
        <v>2341</v>
      </c>
    </row>
    <row r="2378" ht="12.75" customHeight="1">
      <c r="A2378" s="6" t="s">
        <v>8084</v>
      </c>
      <c r="B2378" s="6" t="s">
        <v>1460</v>
      </c>
    </row>
    <row r="2379" ht="12.75" customHeight="1">
      <c r="A2379" s="6" t="s">
        <v>8085</v>
      </c>
      <c r="B2379" s="6" t="s">
        <v>789</v>
      </c>
    </row>
    <row r="2380" ht="12.75" customHeight="1">
      <c r="A2380" s="6" t="s">
        <v>8086</v>
      </c>
      <c r="B2380" s="6" t="s">
        <v>3085</v>
      </c>
    </row>
    <row r="2381" ht="12.75" customHeight="1">
      <c r="A2381" s="6" t="s">
        <v>8087</v>
      </c>
      <c r="B2381" s="6" t="s">
        <v>8088</v>
      </c>
    </row>
    <row r="2382" ht="12.75" customHeight="1">
      <c r="A2382" s="6" t="s">
        <v>8089</v>
      </c>
      <c r="B2382" s="6" t="s">
        <v>1592</v>
      </c>
    </row>
    <row r="2383" ht="12.75" customHeight="1">
      <c r="A2383" s="6" t="s">
        <v>8090</v>
      </c>
      <c r="B2383" s="6" t="s">
        <v>8091</v>
      </c>
    </row>
    <row r="2384" ht="12.75" customHeight="1">
      <c r="A2384" s="6" t="s">
        <v>8092</v>
      </c>
      <c r="B2384" s="6" t="s">
        <v>936</v>
      </c>
    </row>
    <row r="2385" ht="12.75" customHeight="1">
      <c r="A2385" s="6" t="s">
        <v>8093</v>
      </c>
      <c r="B2385" s="6" t="s">
        <v>3038</v>
      </c>
    </row>
    <row r="2386" ht="12.75" customHeight="1">
      <c r="A2386" s="6" t="s">
        <v>8094</v>
      </c>
      <c r="B2386" s="6" t="s">
        <v>182</v>
      </c>
    </row>
    <row r="2387" ht="12.75" customHeight="1">
      <c r="A2387" s="6" t="s">
        <v>8095</v>
      </c>
      <c r="B2387" s="6" t="s">
        <v>8096</v>
      </c>
    </row>
    <row r="2388" ht="12.75" customHeight="1">
      <c r="A2388" s="6" t="s">
        <v>8097</v>
      </c>
      <c r="B2388" s="6" t="s">
        <v>1806</v>
      </c>
    </row>
    <row r="2389" ht="12.75" customHeight="1">
      <c r="A2389" s="6" t="s">
        <v>8098</v>
      </c>
      <c r="B2389" s="6" t="s">
        <v>2137</v>
      </c>
    </row>
    <row r="2390" ht="12.75" customHeight="1">
      <c r="A2390" s="6" t="s">
        <v>8099</v>
      </c>
      <c r="B2390" s="6" t="s">
        <v>8100</v>
      </c>
    </row>
    <row r="2391" ht="12.75" customHeight="1">
      <c r="A2391" s="6" t="s">
        <v>8101</v>
      </c>
      <c r="B2391" s="6" t="s">
        <v>3418</v>
      </c>
    </row>
    <row r="2392" ht="12.75" customHeight="1">
      <c r="A2392" s="6" t="s">
        <v>8102</v>
      </c>
      <c r="B2392" s="6" t="s">
        <v>8103</v>
      </c>
    </row>
    <row r="2393" ht="12.75" customHeight="1">
      <c r="A2393" s="6" t="s">
        <v>8104</v>
      </c>
      <c r="B2393" s="6" t="s">
        <v>8105</v>
      </c>
    </row>
    <row r="2394" ht="12.75" customHeight="1">
      <c r="A2394" s="6" t="s">
        <v>8106</v>
      </c>
      <c r="B2394" s="6" t="s">
        <v>8107</v>
      </c>
    </row>
    <row r="2395" ht="12.75" customHeight="1">
      <c r="A2395" s="6" t="s">
        <v>8108</v>
      </c>
    </row>
    <row r="2396" ht="12.75" customHeight="1">
      <c r="A2396" s="6" t="s">
        <v>8109</v>
      </c>
      <c r="B2396" s="6" t="s">
        <v>3276</v>
      </c>
    </row>
    <row r="2397" ht="12.75" customHeight="1">
      <c r="A2397" s="6" t="s">
        <v>8110</v>
      </c>
      <c r="B2397" s="6" t="s">
        <v>8111</v>
      </c>
    </row>
    <row r="2398" ht="12.75" customHeight="1">
      <c r="A2398" s="6" t="s">
        <v>8112</v>
      </c>
      <c r="B2398" s="6" t="s">
        <v>8113</v>
      </c>
    </row>
    <row r="2399" ht="12.75" customHeight="1">
      <c r="A2399" s="6" t="s">
        <v>8114</v>
      </c>
      <c r="B2399" s="6" t="s">
        <v>8115</v>
      </c>
    </row>
    <row r="2400" ht="12.75" customHeight="1">
      <c r="A2400" s="6" t="s">
        <v>8116</v>
      </c>
      <c r="B2400" s="6" t="s">
        <v>714</v>
      </c>
    </row>
    <row r="2401" ht="12.75" customHeight="1">
      <c r="A2401" s="6" t="s">
        <v>8117</v>
      </c>
      <c r="B2401" s="6" t="s">
        <v>8118</v>
      </c>
    </row>
    <row r="2402" ht="12.75" customHeight="1">
      <c r="A2402" s="6" t="s">
        <v>8119</v>
      </c>
      <c r="B2402" s="6" t="s">
        <v>8120</v>
      </c>
    </row>
    <row r="2403" ht="12.75" customHeight="1">
      <c r="A2403" s="6" t="s">
        <v>8121</v>
      </c>
      <c r="B2403" s="6" t="s">
        <v>8122</v>
      </c>
    </row>
    <row r="2404" ht="12.75" customHeight="1">
      <c r="A2404" s="6" t="s">
        <v>8123</v>
      </c>
      <c r="B2404" s="6" t="s">
        <v>8124</v>
      </c>
    </row>
    <row r="2405" ht="12.75" customHeight="1">
      <c r="A2405" s="6" t="s">
        <v>8125</v>
      </c>
      <c r="B2405" s="6" t="s">
        <v>2507</v>
      </c>
    </row>
    <row r="2406" ht="12.75" customHeight="1">
      <c r="A2406" s="6" t="s">
        <v>8126</v>
      </c>
      <c r="B2406" s="6" t="s">
        <v>2621</v>
      </c>
    </row>
    <row r="2407" ht="12.75" customHeight="1">
      <c r="A2407" s="6" t="s">
        <v>8127</v>
      </c>
      <c r="B2407" s="6" t="s">
        <v>8128</v>
      </c>
    </row>
    <row r="2408" ht="12.75" customHeight="1">
      <c r="A2408" s="6" t="s">
        <v>8129</v>
      </c>
      <c r="B2408" s="6" t="s">
        <v>8130</v>
      </c>
    </row>
    <row r="2409" ht="12.75" customHeight="1">
      <c r="A2409" s="6" t="s">
        <v>8131</v>
      </c>
      <c r="B2409" s="6" t="s">
        <v>2559</v>
      </c>
    </row>
    <row r="2410" ht="12.75" customHeight="1">
      <c r="A2410" s="6" t="s">
        <v>8132</v>
      </c>
      <c r="B2410" s="6" t="s">
        <v>8133</v>
      </c>
    </row>
    <row r="2411" ht="12.75" customHeight="1">
      <c r="A2411" s="6" t="s">
        <v>8134</v>
      </c>
      <c r="B2411" s="6" t="s">
        <v>368</v>
      </c>
    </row>
    <row r="2412" ht="12.75" customHeight="1">
      <c r="A2412" s="6" t="s">
        <v>8135</v>
      </c>
      <c r="B2412" s="6" t="s">
        <v>2182</v>
      </c>
    </row>
    <row r="2413" ht="12.75" customHeight="1">
      <c r="A2413" s="6" t="s">
        <v>8136</v>
      </c>
      <c r="B2413" s="6" t="s">
        <v>114</v>
      </c>
    </row>
    <row r="2414" ht="12.75" customHeight="1">
      <c r="A2414" s="6" t="s">
        <v>8137</v>
      </c>
      <c r="B2414" s="6" t="s">
        <v>8138</v>
      </c>
    </row>
    <row r="2415" ht="12.75" customHeight="1">
      <c r="A2415" s="6" t="s">
        <v>8139</v>
      </c>
      <c r="B2415" s="6" t="s">
        <v>8140</v>
      </c>
    </row>
    <row r="2416" ht="12.75" customHeight="1">
      <c r="A2416" s="6" t="s">
        <v>8141</v>
      </c>
      <c r="B2416" s="6" t="s">
        <v>875</v>
      </c>
    </row>
    <row r="2417" ht="12.75" customHeight="1">
      <c r="A2417" s="6" t="s">
        <v>8142</v>
      </c>
      <c r="B2417" s="6" t="s">
        <v>8143</v>
      </c>
    </row>
    <row r="2418" ht="12.75" customHeight="1">
      <c r="A2418" s="6" t="s">
        <v>8144</v>
      </c>
      <c r="B2418" s="6" t="s">
        <v>8145</v>
      </c>
    </row>
    <row r="2419" ht="12.75" customHeight="1">
      <c r="A2419" s="6" t="s">
        <v>8146</v>
      </c>
      <c r="B2419" s="6" t="s">
        <v>8147</v>
      </c>
    </row>
    <row r="2420" ht="12.75" customHeight="1">
      <c r="A2420" s="6" t="s">
        <v>8148</v>
      </c>
      <c r="B2420" s="6" t="s">
        <v>8149</v>
      </c>
    </row>
    <row r="2421" ht="12.75" customHeight="1">
      <c r="A2421" s="6" t="s">
        <v>8150</v>
      </c>
      <c r="B2421" s="6" t="s">
        <v>8151</v>
      </c>
    </row>
    <row r="2422" ht="12.75" customHeight="1">
      <c r="A2422" s="6" t="s">
        <v>8152</v>
      </c>
      <c r="B2422" s="6" t="s">
        <v>8153</v>
      </c>
    </row>
    <row r="2423" ht="12.75" customHeight="1">
      <c r="A2423" s="6" t="s">
        <v>8154</v>
      </c>
      <c r="B2423" s="6" t="s">
        <v>2677</v>
      </c>
    </row>
    <row r="2424" ht="12.75" customHeight="1">
      <c r="A2424" s="6" t="s">
        <v>8155</v>
      </c>
      <c r="B2424" s="6" t="s">
        <v>2143</v>
      </c>
    </row>
    <row r="2425" ht="12.75" customHeight="1">
      <c r="A2425" s="6" t="s">
        <v>8156</v>
      </c>
      <c r="B2425" s="6" t="s">
        <v>8157</v>
      </c>
    </row>
    <row r="2426" ht="12.75" customHeight="1">
      <c r="A2426" s="6" t="s">
        <v>8158</v>
      </c>
      <c r="B2426" s="6" t="s">
        <v>8159</v>
      </c>
    </row>
    <row r="2427" ht="12.75" customHeight="1">
      <c r="A2427" s="6" t="s">
        <v>8160</v>
      </c>
      <c r="B2427" s="6" t="s">
        <v>8161</v>
      </c>
    </row>
    <row r="2428" ht="12.75" customHeight="1">
      <c r="A2428" s="6" t="s">
        <v>8162</v>
      </c>
      <c r="B2428" s="6" t="s">
        <v>8163</v>
      </c>
    </row>
    <row r="2429" ht="12.75" customHeight="1">
      <c r="A2429" s="6" t="s">
        <v>8164</v>
      </c>
      <c r="B2429" s="6" t="s">
        <v>8165</v>
      </c>
    </row>
    <row r="2430" ht="12.75" customHeight="1">
      <c r="A2430" s="6" t="s">
        <v>8166</v>
      </c>
      <c r="B2430" s="6" t="s">
        <v>8167</v>
      </c>
    </row>
    <row r="2431" ht="12.75" customHeight="1">
      <c r="A2431" s="6" t="s">
        <v>8168</v>
      </c>
      <c r="B2431" s="6" t="s">
        <v>8169</v>
      </c>
    </row>
    <row r="2432" ht="12.75" customHeight="1">
      <c r="A2432" s="6" t="s">
        <v>8170</v>
      </c>
      <c r="B2432" s="6" t="s">
        <v>8171</v>
      </c>
    </row>
    <row r="2433" ht="12.75" customHeight="1">
      <c r="A2433" s="6" t="s">
        <v>8172</v>
      </c>
      <c r="B2433" s="6" t="s">
        <v>8173</v>
      </c>
    </row>
    <row r="2434" ht="12.75" customHeight="1">
      <c r="A2434" s="6" t="s">
        <v>8174</v>
      </c>
      <c r="B2434" s="6" t="s">
        <v>8175</v>
      </c>
    </row>
    <row r="2435" ht="12.75" customHeight="1">
      <c r="A2435" s="6" t="s">
        <v>8176</v>
      </c>
      <c r="B2435" s="6" t="s">
        <v>8177</v>
      </c>
    </row>
    <row r="2436" ht="12.75" customHeight="1">
      <c r="A2436" s="6" t="s">
        <v>8178</v>
      </c>
      <c r="B2436" s="6" t="s">
        <v>8179</v>
      </c>
    </row>
    <row r="2437" ht="12.75" customHeight="1">
      <c r="A2437" s="6" t="s">
        <v>8180</v>
      </c>
      <c r="B2437" s="6" t="s">
        <v>8181</v>
      </c>
    </row>
    <row r="2438" ht="12.75" customHeight="1">
      <c r="A2438" s="6" t="s">
        <v>8182</v>
      </c>
      <c r="B2438" s="6" t="s">
        <v>8183</v>
      </c>
    </row>
    <row r="2439" ht="12.75" customHeight="1">
      <c r="A2439" s="6" t="s">
        <v>8184</v>
      </c>
      <c r="B2439" s="6" t="s">
        <v>1128</v>
      </c>
    </row>
    <row r="2440" ht="12.75" customHeight="1">
      <c r="A2440" s="6" t="s">
        <v>8185</v>
      </c>
      <c r="B2440" s="6" t="s">
        <v>8186</v>
      </c>
    </row>
    <row r="2441" ht="12.75" customHeight="1">
      <c r="A2441" s="6" t="s">
        <v>8187</v>
      </c>
      <c r="B2441" s="6" t="s">
        <v>8188</v>
      </c>
    </row>
    <row r="2442" ht="12.75" customHeight="1">
      <c r="A2442" s="6" t="s">
        <v>8189</v>
      </c>
      <c r="B2442" s="6" t="s">
        <v>1024</v>
      </c>
    </row>
    <row r="2443" ht="12.75" customHeight="1">
      <c r="A2443" s="6" t="s">
        <v>8190</v>
      </c>
      <c r="B2443" s="6" t="s">
        <v>8191</v>
      </c>
    </row>
    <row r="2444" ht="12.75" customHeight="1">
      <c r="A2444" s="6" t="s">
        <v>8192</v>
      </c>
      <c r="B2444" s="6" t="s">
        <v>8193</v>
      </c>
    </row>
    <row r="2445" ht="12.75" customHeight="1">
      <c r="A2445" s="6" t="s">
        <v>8194</v>
      </c>
      <c r="B2445" s="6" t="s">
        <v>8195</v>
      </c>
    </row>
    <row r="2446" ht="12.75" customHeight="1">
      <c r="A2446" s="6" t="s">
        <v>8196</v>
      </c>
      <c r="B2446" s="6" t="s">
        <v>1497</v>
      </c>
    </row>
    <row r="2447" ht="12.75" customHeight="1">
      <c r="A2447" s="6" t="s">
        <v>8197</v>
      </c>
      <c r="B2447" s="6" t="s">
        <v>659</v>
      </c>
    </row>
    <row r="2448" ht="12.75" customHeight="1">
      <c r="A2448" s="6" t="s">
        <v>8198</v>
      </c>
      <c r="B2448" s="6" t="s">
        <v>290</v>
      </c>
    </row>
    <row r="2449" ht="12.75" customHeight="1">
      <c r="A2449" s="6" t="s">
        <v>8199</v>
      </c>
      <c r="B2449" s="6" t="s">
        <v>8200</v>
      </c>
    </row>
    <row r="2450" ht="12.75" customHeight="1">
      <c r="A2450" s="6" t="s">
        <v>8201</v>
      </c>
      <c r="B2450" s="6" t="s">
        <v>8202</v>
      </c>
    </row>
    <row r="2451" ht="12.75" customHeight="1">
      <c r="A2451" s="6" t="s">
        <v>8203</v>
      </c>
      <c r="B2451" s="6" t="s">
        <v>8204</v>
      </c>
    </row>
    <row r="2452" ht="12.75" customHeight="1">
      <c r="A2452" s="6" t="s">
        <v>8205</v>
      </c>
      <c r="B2452" s="6" t="s">
        <v>8206</v>
      </c>
    </row>
    <row r="2453" ht="12.75" customHeight="1">
      <c r="A2453" s="6" t="s">
        <v>8207</v>
      </c>
      <c r="B2453" s="6" t="s">
        <v>8208</v>
      </c>
    </row>
    <row r="2454" ht="12.75" customHeight="1">
      <c r="A2454" s="6" t="s">
        <v>8209</v>
      </c>
      <c r="B2454" s="6" t="s">
        <v>8210</v>
      </c>
    </row>
    <row r="2455" ht="12.75" customHeight="1">
      <c r="A2455" s="6" t="s">
        <v>8211</v>
      </c>
      <c r="B2455" s="6" t="s">
        <v>724</v>
      </c>
    </row>
    <row r="2456" ht="12.75" customHeight="1">
      <c r="A2456" s="6" t="s">
        <v>8212</v>
      </c>
      <c r="B2456" s="6" t="s">
        <v>8213</v>
      </c>
    </row>
    <row r="2457" ht="12.75" customHeight="1">
      <c r="A2457" s="6" t="s">
        <v>8214</v>
      </c>
      <c r="B2457" s="6" t="s">
        <v>259</v>
      </c>
    </row>
    <row r="2458" ht="12.75" customHeight="1">
      <c r="A2458" s="6" t="s">
        <v>8215</v>
      </c>
      <c r="B2458" s="6" t="s">
        <v>8216</v>
      </c>
    </row>
    <row r="2459" ht="12.75" customHeight="1">
      <c r="A2459" s="6" t="s">
        <v>8217</v>
      </c>
      <c r="B2459" s="6" t="s">
        <v>3173</v>
      </c>
    </row>
    <row r="2460" ht="12.75" customHeight="1">
      <c r="A2460" s="6" t="s">
        <v>8218</v>
      </c>
      <c r="B2460" s="6" t="s">
        <v>8219</v>
      </c>
    </row>
    <row r="2461" ht="12.75" customHeight="1">
      <c r="A2461" s="6" t="s">
        <v>8220</v>
      </c>
      <c r="B2461" s="6" t="s">
        <v>685</v>
      </c>
    </row>
    <row r="2462" ht="12.75" customHeight="1">
      <c r="A2462" s="6" t="s">
        <v>8221</v>
      </c>
      <c r="B2462" s="6" t="s">
        <v>8222</v>
      </c>
    </row>
    <row r="2463" ht="12.75" customHeight="1">
      <c r="A2463" s="6" t="s">
        <v>8223</v>
      </c>
      <c r="B2463" s="6" t="s">
        <v>8224</v>
      </c>
    </row>
    <row r="2464" ht="12.75" customHeight="1">
      <c r="A2464" s="6" t="s">
        <v>8225</v>
      </c>
      <c r="B2464" s="6" t="s">
        <v>3626</v>
      </c>
    </row>
    <row r="2465" ht="12.75" customHeight="1">
      <c r="A2465" s="6" t="s">
        <v>8226</v>
      </c>
      <c r="B2465" s="6" t="s">
        <v>3710</v>
      </c>
    </row>
    <row r="2466" ht="12.75" customHeight="1">
      <c r="A2466" s="6" t="s">
        <v>8227</v>
      </c>
      <c r="B2466" s="6" t="s">
        <v>8228</v>
      </c>
    </row>
    <row r="2467" ht="12.75" customHeight="1">
      <c r="A2467" s="6" t="s">
        <v>8229</v>
      </c>
      <c r="B2467" s="6" t="s">
        <v>8230</v>
      </c>
    </row>
    <row r="2468" ht="12.75" customHeight="1">
      <c r="A2468" s="6" t="s">
        <v>8231</v>
      </c>
      <c r="B2468" s="6" t="s">
        <v>8232</v>
      </c>
    </row>
    <row r="2469" ht="12.75" customHeight="1">
      <c r="A2469" s="6" t="s">
        <v>8233</v>
      </c>
      <c r="B2469" s="6" t="s">
        <v>8234</v>
      </c>
    </row>
    <row r="2470" ht="12.75" customHeight="1">
      <c r="A2470" s="6" t="s">
        <v>8235</v>
      </c>
      <c r="B2470" s="6" t="s">
        <v>3683</v>
      </c>
    </row>
    <row r="2471" ht="12.75" customHeight="1">
      <c r="A2471" s="6" t="s">
        <v>8236</v>
      </c>
      <c r="B2471" s="6" t="s">
        <v>586</v>
      </c>
    </row>
    <row r="2472" ht="12.75" customHeight="1">
      <c r="A2472" s="6" t="s">
        <v>8237</v>
      </c>
      <c r="B2472" s="6" t="s">
        <v>8238</v>
      </c>
    </row>
    <row r="2473" ht="12.75" customHeight="1">
      <c r="A2473" s="6" t="s">
        <v>8239</v>
      </c>
      <c r="B2473" s="6" t="s">
        <v>3260</v>
      </c>
    </row>
    <row r="2474" ht="12.75" customHeight="1">
      <c r="A2474" s="6" t="s">
        <v>8240</v>
      </c>
      <c r="B2474" s="6" t="s">
        <v>8241</v>
      </c>
    </row>
    <row r="2475" ht="12.75" customHeight="1">
      <c r="A2475" s="6" t="s">
        <v>8242</v>
      </c>
      <c r="B2475" s="6" t="s">
        <v>8243</v>
      </c>
    </row>
    <row r="2476" ht="12.75" customHeight="1">
      <c r="A2476" s="6" t="s">
        <v>8244</v>
      </c>
      <c r="B2476" s="6" t="s">
        <v>1008</v>
      </c>
    </row>
    <row r="2477" ht="12.75" customHeight="1">
      <c r="A2477" s="6" t="s">
        <v>8245</v>
      </c>
      <c r="B2477" s="6" t="s">
        <v>1177</v>
      </c>
    </row>
    <row r="2478" ht="12.75" customHeight="1">
      <c r="A2478" s="6" t="s">
        <v>8246</v>
      </c>
      <c r="B2478" s="6" t="s">
        <v>8247</v>
      </c>
    </row>
    <row r="2479" ht="12.75" customHeight="1">
      <c r="A2479" s="6" t="s">
        <v>8248</v>
      </c>
      <c r="B2479" s="6" t="s">
        <v>8249</v>
      </c>
    </row>
    <row r="2480" ht="12.75" customHeight="1">
      <c r="A2480" s="6" t="s">
        <v>8250</v>
      </c>
      <c r="B2480" s="6" t="s">
        <v>962</v>
      </c>
    </row>
    <row r="2481" ht="12.75" customHeight="1">
      <c r="A2481" s="6" t="s">
        <v>8251</v>
      </c>
      <c r="B2481" s="6" t="s">
        <v>918</v>
      </c>
    </row>
    <row r="2482" ht="12.75" customHeight="1">
      <c r="A2482" s="6" t="s">
        <v>8252</v>
      </c>
      <c r="B2482" s="6" t="s">
        <v>1095</v>
      </c>
    </row>
    <row r="2483" ht="12.75" customHeight="1">
      <c r="A2483" s="6" t="s">
        <v>8253</v>
      </c>
      <c r="B2483" s="6" t="s">
        <v>699</v>
      </c>
    </row>
    <row r="2484" ht="12.75" customHeight="1">
      <c r="A2484" s="6" t="s">
        <v>8254</v>
      </c>
      <c r="B2484" s="6" t="s">
        <v>3655</v>
      </c>
    </row>
    <row r="2485" ht="12.75" customHeight="1">
      <c r="A2485" s="6" t="s">
        <v>8255</v>
      </c>
      <c r="B2485" s="6" t="s">
        <v>2256</v>
      </c>
    </row>
    <row r="2486" ht="12.75" customHeight="1">
      <c r="A2486" s="6" t="s">
        <v>8256</v>
      </c>
      <c r="B2486" s="6" t="s">
        <v>976</v>
      </c>
    </row>
    <row r="2487" ht="12.75" customHeight="1">
      <c r="A2487" s="6" t="s">
        <v>8257</v>
      </c>
      <c r="B2487" s="6" t="s">
        <v>8258</v>
      </c>
    </row>
    <row r="2488" ht="12.75" customHeight="1">
      <c r="A2488" s="6" t="s">
        <v>8259</v>
      </c>
      <c r="B2488" s="6" t="s">
        <v>8260</v>
      </c>
    </row>
    <row r="2489" ht="12.75" customHeight="1">
      <c r="A2489" s="6" t="s">
        <v>8261</v>
      </c>
      <c r="B2489" s="6" t="s">
        <v>8262</v>
      </c>
    </row>
    <row r="2490" ht="12.75" customHeight="1">
      <c r="A2490" s="6" t="s">
        <v>8263</v>
      </c>
      <c r="B2490" s="6" t="s">
        <v>8264</v>
      </c>
    </row>
    <row r="2491" ht="12.75" customHeight="1">
      <c r="A2491" s="6" t="s">
        <v>8265</v>
      </c>
      <c r="B2491" s="6" t="s">
        <v>8266</v>
      </c>
    </row>
    <row r="2492" ht="12.75" customHeight="1">
      <c r="A2492" s="6" t="s">
        <v>8267</v>
      </c>
      <c r="B2492" s="6" t="s">
        <v>8268</v>
      </c>
    </row>
    <row r="2493" ht="12.75" customHeight="1">
      <c r="A2493" s="6" t="s">
        <v>8269</v>
      </c>
      <c r="B2493" s="6" t="s">
        <v>8270</v>
      </c>
    </row>
    <row r="2494" ht="12.75" customHeight="1">
      <c r="A2494" s="6" t="s">
        <v>8271</v>
      </c>
      <c r="B2494" s="6" t="s">
        <v>8272</v>
      </c>
    </row>
    <row r="2495" ht="12.75" customHeight="1">
      <c r="A2495" s="6" t="s">
        <v>8273</v>
      </c>
      <c r="B2495" s="6" t="s">
        <v>745</v>
      </c>
    </row>
    <row r="2496" ht="12.75" customHeight="1">
      <c r="A2496" s="6" t="s">
        <v>8274</v>
      </c>
      <c r="B2496" s="6" t="s">
        <v>8275</v>
      </c>
    </row>
    <row r="2497" ht="12.75" customHeight="1">
      <c r="A2497" s="6" t="s">
        <v>8276</v>
      </c>
      <c r="B2497" s="6" t="s">
        <v>8277</v>
      </c>
    </row>
    <row r="2498" ht="12.75" customHeight="1">
      <c r="A2498" s="6" t="s">
        <v>8278</v>
      </c>
      <c r="B2498" s="6" t="s">
        <v>8279</v>
      </c>
    </row>
    <row r="2499" ht="12.75" customHeight="1">
      <c r="A2499" s="6" t="s">
        <v>8280</v>
      </c>
      <c r="B2499" s="6" t="s">
        <v>502</v>
      </c>
    </row>
    <row r="2500" ht="12.75" customHeight="1">
      <c r="A2500" s="6" t="s">
        <v>8281</v>
      </c>
      <c r="B2500" s="6" t="s">
        <v>8282</v>
      </c>
    </row>
    <row r="2501" ht="12.75" customHeight="1">
      <c r="A2501" s="6" t="s">
        <v>8283</v>
      </c>
      <c r="B2501" s="6" t="s">
        <v>8284</v>
      </c>
    </row>
    <row r="2502" ht="12.75" customHeight="1">
      <c r="A2502" s="6" t="s">
        <v>8285</v>
      </c>
      <c r="B2502" s="6" t="s">
        <v>400</v>
      </c>
    </row>
    <row r="2503" ht="12.75" customHeight="1">
      <c r="A2503" s="6" t="s">
        <v>8286</v>
      </c>
      <c r="B2503" s="6" t="s">
        <v>2860</v>
      </c>
    </row>
    <row r="2504" ht="12.75" customHeight="1">
      <c r="A2504" s="6" t="s">
        <v>8287</v>
      </c>
      <c r="B2504" s="6" t="s">
        <v>8288</v>
      </c>
    </row>
    <row r="2505" ht="12.75" customHeight="1">
      <c r="A2505" s="6" t="s">
        <v>8289</v>
      </c>
      <c r="B2505" s="6" t="s">
        <v>1742</v>
      </c>
    </row>
    <row r="2506" ht="12.75" customHeight="1">
      <c r="A2506" s="6" t="s">
        <v>8290</v>
      </c>
      <c r="B2506" s="6" t="s">
        <v>2330</v>
      </c>
    </row>
    <row r="2507" ht="12.75" customHeight="1">
      <c r="A2507" s="6" t="s">
        <v>8291</v>
      </c>
      <c r="B2507" s="6" t="s">
        <v>2008</v>
      </c>
    </row>
    <row r="2508" ht="12.75" customHeight="1">
      <c r="A2508" s="6" t="s">
        <v>8292</v>
      </c>
      <c r="B2508" s="6" t="s">
        <v>1734</v>
      </c>
    </row>
    <row r="2509" ht="12.75" customHeight="1">
      <c r="A2509" s="6" t="s">
        <v>8293</v>
      </c>
      <c r="B2509" s="6" t="s">
        <v>957</v>
      </c>
    </row>
    <row r="2510" ht="12.75" customHeight="1">
      <c r="A2510" s="6" t="s">
        <v>8294</v>
      </c>
      <c r="B2510" s="6" t="s">
        <v>831</v>
      </c>
    </row>
    <row r="2511" ht="12.75" customHeight="1">
      <c r="A2511" s="6" t="s">
        <v>8295</v>
      </c>
      <c r="B2511" s="6" t="s">
        <v>2296</v>
      </c>
    </row>
    <row r="2512" ht="12.75" customHeight="1">
      <c r="A2512" s="6" t="s">
        <v>8296</v>
      </c>
      <c r="B2512" s="6" t="s">
        <v>8297</v>
      </c>
    </row>
    <row r="2513" ht="12.75" customHeight="1">
      <c r="A2513" s="6" t="s">
        <v>8298</v>
      </c>
      <c r="B2513" s="6" t="s">
        <v>8299</v>
      </c>
    </row>
    <row r="2514" ht="12.75" customHeight="1">
      <c r="A2514" s="6" t="s">
        <v>8300</v>
      </c>
      <c r="B2514" s="6" t="s">
        <v>8301</v>
      </c>
    </row>
    <row r="2515" ht="12.75" customHeight="1">
      <c r="A2515" s="6" t="s">
        <v>8302</v>
      </c>
      <c r="B2515" s="6" t="s">
        <v>2574</v>
      </c>
    </row>
    <row r="2516" ht="12.75" customHeight="1">
      <c r="A2516" s="6" t="s">
        <v>8303</v>
      </c>
      <c r="B2516" s="6" t="s">
        <v>466</v>
      </c>
    </row>
    <row r="2517" ht="12.75" customHeight="1">
      <c r="A2517" s="6" t="s">
        <v>8304</v>
      </c>
      <c r="B2517" s="6" t="s">
        <v>8305</v>
      </c>
    </row>
    <row r="2518" ht="12.75" customHeight="1">
      <c r="A2518" s="6" t="s">
        <v>8306</v>
      </c>
      <c r="B2518" s="6" t="s">
        <v>8307</v>
      </c>
    </row>
    <row r="2519" ht="12.75" customHeight="1">
      <c r="A2519" s="6" t="s">
        <v>8308</v>
      </c>
      <c r="B2519" s="6" t="s">
        <v>1293</v>
      </c>
    </row>
    <row r="2520" ht="12.75" customHeight="1">
      <c r="A2520" s="6" t="s">
        <v>8309</v>
      </c>
      <c r="B2520" s="6" t="s">
        <v>8310</v>
      </c>
    </row>
    <row r="2521" ht="12.75" customHeight="1">
      <c r="A2521" s="6" t="s">
        <v>8311</v>
      </c>
      <c r="B2521" s="6" t="s">
        <v>8312</v>
      </c>
    </row>
    <row r="2522" ht="12.75" customHeight="1">
      <c r="A2522" s="6" t="s">
        <v>8313</v>
      </c>
      <c r="B2522" s="6" t="s">
        <v>8314</v>
      </c>
    </row>
    <row r="2523" ht="12.75" customHeight="1">
      <c r="A2523" s="6" t="s">
        <v>8315</v>
      </c>
      <c r="B2523" s="6" t="s">
        <v>8316</v>
      </c>
    </row>
    <row r="2524" ht="12.75" customHeight="1">
      <c r="A2524" s="6" t="s">
        <v>8317</v>
      </c>
      <c r="B2524" s="6" t="s">
        <v>8318</v>
      </c>
    </row>
    <row r="2525" ht="12.75" customHeight="1">
      <c r="A2525" s="6" t="s">
        <v>8319</v>
      </c>
      <c r="B2525" s="6" t="s">
        <v>8320</v>
      </c>
    </row>
    <row r="2526" ht="12.75" customHeight="1">
      <c r="A2526" s="6" t="s">
        <v>8321</v>
      </c>
      <c r="B2526" s="6" t="s">
        <v>2841</v>
      </c>
    </row>
    <row r="2527" ht="12.75" customHeight="1">
      <c r="A2527" s="6" t="s">
        <v>8322</v>
      </c>
      <c r="B2527" s="6" t="s">
        <v>8323</v>
      </c>
    </row>
    <row r="2528" ht="12.75" customHeight="1">
      <c r="A2528" s="6" t="s">
        <v>8324</v>
      </c>
      <c r="B2528" s="6" t="s">
        <v>1882</v>
      </c>
    </row>
    <row r="2529" ht="12.75" customHeight="1">
      <c r="A2529" s="6" t="s">
        <v>8325</v>
      </c>
      <c r="B2529" s="6" t="s">
        <v>8326</v>
      </c>
    </row>
    <row r="2530" ht="12.75" customHeight="1">
      <c r="A2530" s="6" t="s">
        <v>8327</v>
      </c>
      <c r="B2530" s="6" t="s">
        <v>2589</v>
      </c>
    </row>
    <row r="2531" ht="12.75" customHeight="1">
      <c r="A2531" s="6" t="s">
        <v>8328</v>
      </c>
      <c r="B2531" s="6" t="s">
        <v>1377</v>
      </c>
    </row>
    <row r="2532" ht="12.75" customHeight="1">
      <c r="A2532" s="6" t="s">
        <v>8329</v>
      </c>
      <c r="B2532" s="6" t="s">
        <v>1917</v>
      </c>
    </row>
    <row r="2533" ht="12.75" customHeight="1">
      <c r="A2533" s="6" t="s">
        <v>8330</v>
      </c>
      <c r="B2533" s="6" t="s">
        <v>8331</v>
      </c>
    </row>
    <row r="2534" ht="12.75" customHeight="1">
      <c r="A2534" s="6" t="s">
        <v>8332</v>
      </c>
      <c r="B2534" s="6" t="s">
        <v>8333</v>
      </c>
    </row>
    <row r="2535" ht="12.75" customHeight="1">
      <c r="A2535" s="6" t="s">
        <v>8334</v>
      </c>
      <c r="B2535" s="6" t="s">
        <v>8335</v>
      </c>
    </row>
    <row r="2536" ht="12.75" customHeight="1">
      <c r="A2536" s="6" t="s">
        <v>8336</v>
      </c>
      <c r="B2536" s="6" t="s">
        <v>8337</v>
      </c>
    </row>
    <row r="2537" ht="12.75" customHeight="1">
      <c r="A2537" s="6" t="s">
        <v>8338</v>
      </c>
      <c r="B2537" s="6" t="s">
        <v>8339</v>
      </c>
    </row>
    <row r="2538" ht="12.75" customHeight="1">
      <c r="A2538" s="6" t="s">
        <v>8340</v>
      </c>
      <c r="B2538" s="6" t="s">
        <v>8341</v>
      </c>
    </row>
    <row r="2539" ht="12.75" customHeight="1">
      <c r="A2539" s="6" t="s">
        <v>8342</v>
      </c>
      <c r="B2539" s="6" t="s">
        <v>8343</v>
      </c>
    </row>
    <row r="2540" ht="12.75" customHeight="1">
      <c r="A2540" s="6" t="s">
        <v>8344</v>
      </c>
      <c r="B2540" s="6" t="s">
        <v>8345</v>
      </c>
    </row>
    <row r="2541" ht="12.75" customHeight="1">
      <c r="A2541" s="6" t="s">
        <v>8346</v>
      </c>
      <c r="B2541" s="6" t="s">
        <v>8347</v>
      </c>
    </row>
    <row r="2542" ht="12.75" customHeight="1">
      <c r="A2542" s="6" t="s">
        <v>8348</v>
      </c>
      <c r="B2542" s="6" t="s">
        <v>8349</v>
      </c>
    </row>
    <row r="2543" ht="12.75" customHeight="1">
      <c r="A2543" s="6" t="s">
        <v>8350</v>
      </c>
      <c r="B2543" s="6" t="s">
        <v>8351</v>
      </c>
    </row>
    <row r="2544" ht="12.75" customHeight="1">
      <c r="A2544" s="6" t="s">
        <v>8352</v>
      </c>
      <c r="B2544" s="6" t="s">
        <v>2206</v>
      </c>
    </row>
    <row r="2545" ht="12.75" customHeight="1">
      <c r="A2545" s="6" t="s">
        <v>8353</v>
      </c>
      <c r="B2545" s="6" t="s">
        <v>1103</v>
      </c>
    </row>
    <row r="2546" ht="12.75" customHeight="1">
      <c r="A2546" s="6" t="s">
        <v>8354</v>
      </c>
      <c r="B2546" s="6" t="s">
        <v>8355</v>
      </c>
    </row>
    <row r="2547" ht="12.75" customHeight="1">
      <c r="A2547" s="6" t="s">
        <v>8356</v>
      </c>
      <c r="B2547" s="6" t="s">
        <v>1964</v>
      </c>
    </row>
    <row r="2548" ht="12.75" customHeight="1">
      <c r="A2548" s="6" t="s">
        <v>8357</v>
      </c>
      <c r="B2548" s="6" t="s">
        <v>893</v>
      </c>
    </row>
    <row r="2549" ht="12.75" customHeight="1">
      <c r="A2549" s="6" t="s">
        <v>8358</v>
      </c>
      <c r="B2549" s="6" t="s">
        <v>348</v>
      </c>
    </row>
    <row r="2550" ht="12.75" customHeight="1">
      <c r="A2550" s="6" t="s">
        <v>8359</v>
      </c>
      <c r="B2550" s="6" t="s">
        <v>1766</v>
      </c>
    </row>
    <row r="2551" ht="12.75" customHeight="1">
      <c r="A2551" s="6" t="s">
        <v>8360</v>
      </c>
      <c r="B2551" s="6" t="s">
        <v>256</v>
      </c>
    </row>
    <row r="2552" ht="12.75" customHeight="1">
      <c r="A2552" s="6" t="s">
        <v>8361</v>
      </c>
      <c r="B2552" s="6" t="s">
        <v>8362</v>
      </c>
    </row>
    <row r="2553" ht="12.75" customHeight="1">
      <c r="A2553" s="6" t="s">
        <v>8363</v>
      </c>
      <c r="B2553" s="6" t="s">
        <v>8364</v>
      </c>
    </row>
    <row r="2554" ht="12.75" customHeight="1">
      <c r="A2554" s="6" t="s">
        <v>8365</v>
      </c>
      <c r="B2554" s="6" t="s">
        <v>8366</v>
      </c>
    </row>
    <row r="2555" ht="12.75" customHeight="1">
      <c r="A2555" s="6" t="s">
        <v>8367</v>
      </c>
      <c r="B2555" s="6" t="s">
        <v>8368</v>
      </c>
    </row>
    <row r="2556" ht="12.75" customHeight="1">
      <c r="A2556" s="6" t="s">
        <v>8369</v>
      </c>
      <c r="B2556" s="6" t="s">
        <v>484</v>
      </c>
    </row>
    <row r="2557" ht="12.75" customHeight="1">
      <c r="A2557" s="6" t="s">
        <v>8370</v>
      </c>
      <c r="B2557" s="6" t="s">
        <v>362</v>
      </c>
    </row>
    <row r="2558" ht="12.75" customHeight="1">
      <c r="A2558" s="6" t="s">
        <v>8371</v>
      </c>
      <c r="B2558" s="6" t="s">
        <v>8372</v>
      </c>
    </row>
    <row r="2559" ht="12.75" customHeight="1">
      <c r="A2559" s="6" t="s">
        <v>8373</v>
      </c>
      <c r="B2559" s="6" t="s">
        <v>8374</v>
      </c>
    </row>
    <row r="2560" ht="12.75" customHeight="1">
      <c r="A2560" s="6" t="s">
        <v>8375</v>
      </c>
      <c r="B2560" s="6" t="s">
        <v>8376</v>
      </c>
    </row>
    <row r="2561" ht="12.75" customHeight="1">
      <c r="A2561" s="6" t="s">
        <v>8377</v>
      </c>
      <c r="B2561" s="6" t="s">
        <v>8378</v>
      </c>
    </row>
    <row r="2562" ht="12.75" customHeight="1">
      <c r="A2562" s="6" t="s">
        <v>8379</v>
      </c>
      <c r="B2562" s="6" t="s">
        <v>8380</v>
      </c>
    </row>
    <row r="2563" ht="12.75" customHeight="1">
      <c r="A2563" s="6" t="s">
        <v>8381</v>
      </c>
      <c r="B2563" s="6" t="s">
        <v>8382</v>
      </c>
    </row>
    <row r="2564" ht="12.75" customHeight="1">
      <c r="A2564" s="6" t="s">
        <v>8383</v>
      </c>
      <c r="B2564" s="6" t="s">
        <v>8384</v>
      </c>
    </row>
    <row r="2565" ht="12.75" customHeight="1">
      <c r="A2565" s="6" t="s">
        <v>8385</v>
      </c>
      <c r="B2565" s="6" t="s">
        <v>8386</v>
      </c>
    </row>
    <row r="2566" ht="12.75" customHeight="1">
      <c r="A2566" s="6" t="s">
        <v>8387</v>
      </c>
      <c r="B2566" s="6" t="s">
        <v>781</v>
      </c>
    </row>
    <row r="2567" ht="12.75" customHeight="1">
      <c r="A2567" s="6" t="s">
        <v>8388</v>
      </c>
      <c r="B2567" s="6" t="s">
        <v>8389</v>
      </c>
    </row>
    <row r="2568" ht="12.75" customHeight="1">
      <c r="A2568" s="6" t="s">
        <v>8390</v>
      </c>
      <c r="B2568" s="6" t="s">
        <v>1394</v>
      </c>
    </row>
    <row r="2569" ht="12.75" customHeight="1">
      <c r="A2569" s="6" t="s">
        <v>8391</v>
      </c>
      <c r="B2569" s="6" t="s">
        <v>8392</v>
      </c>
    </row>
    <row r="2570" ht="12.75" customHeight="1">
      <c r="A2570" s="6" t="s">
        <v>8393</v>
      </c>
      <c r="B2570" s="6" t="s">
        <v>3713</v>
      </c>
    </row>
    <row r="2571" ht="12.75" customHeight="1">
      <c r="A2571" s="6" t="s">
        <v>8394</v>
      </c>
      <c r="B2571" s="6" t="s">
        <v>8395</v>
      </c>
    </row>
    <row r="2572" ht="12.75" customHeight="1">
      <c r="A2572" s="6" t="s">
        <v>8396</v>
      </c>
      <c r="B2572" s="6" t="s">
        <v>8397</v>
      </c>
    </row>
    <row r="2573" ht="12.75" customHeight="1">
      <c r="A2573" s="6" t="s">
        <v>8398</v>
      </c>
      <c r="B2573" s="6" t="s">
        <v>8399</v>
      </c>
    </row>
    <row r="2574" ht="12.75" customHeight="1">
      <c r="A2574" s="6" t="s">
        <v>8400</v>
      </c>
      <c r="B2574" s="6" t="s">
        <v>8401</v>
      </c>
    </row>
    <row r="2575" ht="12.75" customHeight="1">
      <c r="A2575" s="6" t="s">
        <v>8402</v>
      </c>
      <c r="B2575" s="6" t="s">
        <v>8403</v>
      </c>
    </row>
    <row r="2576" ht="12.75" customHeight="1">
      <c r="A2576" s="6" t="s">
        <v>8404</v>
      </c>
      <c r="B2576" s="6" t="s">
        <v>8405</v>
      </c>
    </row>
    <row r="2577" ht="12.75" customHeight="1">
      <c r="A2577" s="6" t="s">
        <v>8406</v>
      </c>
      <c r="B2577" s="6" t="s">
        <v>625</v>
      </c>
    </row>
    <row r="2578" ht="12.75" customHeight="1">
      <c r="A2578" s="6" t="s">
        <v>8407</v>
      </c>
      <c r="B2578" s="6" t="s">
        <v>8408</v>
      </c>
    </row>
    <row r="2579" ht="12.75" customHeight="1">
      <c r="A2579" s="6" t="s">
        <v>8409</v>
      </c>
      <c r="B2579" s="6" t="s">
        <v>2482</v>
      </c>
    </row>
    <row r="2580" ht="12.75" customHeight="1">
      <c r="A2580" s="6" t="s">
        <v>8410</v>
      </c>
      <c r="B2580" s="6" t="s">
        <v>8411</v>
      </c>
    </row>
    <row r="2581" ht="12.75" customHeight="1">
      <c r="A2581" s="6" t="s">
        <v>8412</v>
      </c>
      <c r="B2581" s="6" t="s">
        <v>3479</v>
      </c>
    </row>
    <row r="2582" ht="12.75" customHeight="1">
      <c r="A2582" s="6" t="s">
        <v>8413</v>
      </c>
      <c r="B2582" s="6" t="s">
        <v>8414</v>
      </c>
    </row>
    <row r="2583" ht="12.75" customHeight="1">
      <c r="A2583" s="6" t="s">
        <v>8415</v>
      </c>
      <c r="B2583" s="6" t="s">
        <v>8416</v>
      </c>
    </row>
    <row r="2584" ht="12.75" customHeight="1">
      <c r="A2584" s="6" t="s">
        <v>8417</v>
      </c>
      <c r="B2584" s="6" t="s">
        <v>3340</v>
      </c>
    </row>
    <row r="2585" ht="12.75" customHeight="1">
      <c r="A2585" s="6" t="s">
        <v>8418</v>
      </c>
      <c r="B2585" s="6" t="s">
        <v>8419</v>
      </c>
    </row>
    <row r="2586" ht="12.75" customHeight="1">
      <c r="A2586" s="6" t="s">
        <v>8420</v>
      </c>
      <c r="B2586" s="6" t="s">
        <v>221</v>
      </c>
    </row>
    <row r="2587" ht="12.75" customHeight="1">
      <c r="A2587" s="6" t="s">
        <v>8421</v>
      </c>
      <c r="B2587" s="6" t="s">
        <v>1371</v>
      </c>
    </row>
    <row r="2588" ht="12.75" customHeight="1">
      <c r="A2588" s="6" t="s">
        <v>8422</v>
      </c>
      <c r="B2588" s="6" t="s">
        <v>8423</v>
      </c>
    </row>
    <row r="2589" ht="12.75" customHeight="1">
      <c r="A2589" s="6" t="s">
        <v>8424</v>
      </c>
      <c r="B2589" s="6" t="s">
        <v>457</v>
      </c>
    </row>
    <row r="2590" ht="12.75" customHeight="1">
      <c r="A2590" s="6" t="s">
        <v>8425</v>
      </c>
      <c r="B2590" s="6" t="s">
        <v>277</v>
      </c>
    </row>
    <row r="2591" ht="12.75" customHeight="1">
      <c r="A2591" s="6" t="s">
        <v>8426</v>
      </c>
      <c r="B2591" s="6" t="s">
        <v>1322</v>
      </c>
    </row>
    <row r="2592" ht="12.75" customHeight="1">
      <c r="A2592" s="6" t="s">
        <v>8427</v>
      </c>
      <c r="B2592" s="6" t="s">
        <v>8428</v>
      </c>
    </row>
    <row r="2593" ht="12.75" customHeight="1">
      <c r="A2593" s="6" t="s">
        <v>8429</v>
      </c>
      <c r="B2593" s="6" t="s">
        <v>8430</v>
      </c>
    </row>
    <row r="2594" ht="12.75" customHeight="1">
      <c r="A2594" s="6" t="s">
        <v>8431</v>
      </c>
      <c r="B2594" s="6" t="s">
        <v>8432</v>
      </c>
    </row>
    <row r="2595" ht="12.75" customHeight="1">
      <c r="A2595" s="6" t="s">
        <v>8433</v>
      </c>
      <c r="B2595" s="6" t="s">
        <v>572</v>
      </c>
    </row>
    <row r="2596" ht="12.75" customHeight="1">
      <c r="A2596" s="6" t="s">
        <v>8434</v>
      </c>
      <c r="B2596" s="6" t="s">
        <v>8435</v>
      </c>
    </row>
    <row r="2597" ht="12.75" customHeight="1">
      <c r="A2597" s="6" t="s">
        <v>8436</v>
      </c>
      <c r="B2597" s="6" t="s">
        <v>8437</v>
      </c>
    </row>
    <row r="2598" ht="12.75" customHeight="1">
      <c r="A2598" s="6" t="s">
        <v>8438</v>
      </c>
    </row>
    <row r="2599" ht="12.75" customHeight="1">
      <c r="A2599" s="6" t="s">
        <v>8439</v>
      </c>
      <c r="B2599" s="6" t="s">
        <v>8440</v>
      </c>
    </row>
    <row r="2600" ht="12.75" customHeight="1">
      <c r="A2600" s="6" t="s">
        <v>8441</v>
      </c>
      <c r="B2600" s="6" t="s">
        <v>8442</v>
      </c>
    </row>
    <row r="2601" ht="12.75" customHeight="1">
      <c r="A2601" s="6" t="s">
        <v>8443</v>
      </c>
      <c r="B2601" s="6" t="s">
        <v>8444</v>
      </c>
    </row>
    <row r="2602" ht="12.75" customHeight="1">
      <c r="A2602" s="6" t="s">
        <v>8445</v>
      </c>
      <c r="B2602" s="6" t="s">
        <v>8446</v>
      </c>
    </row>
    <row r="2603" ht="12.75" customHeight="1">
      <c r="A2603" s="6" t="s">
        <v>8447</v>
      </c>
    </row>
    <row r="2604" ht="12.75" customHeight="1">
      <c r="A2604" s="6" t="s">
        <v>8448</v>
      </c>
      <c r="B2604" s="6" t="s">
        <v>8449</v>
      </c>
    </row>
    <row r="2605" ht="12.75" customHeight="1">
      <c r="A2605" s="6" t="s">
        <v>8450</v>
      </c>
      <c r="B2605" s="6" t="s">
        <v>8451</v>
      </c>
    </row>
    <row r="2606" ht="12.75" customHeight="1">
      <c r="A2606" s="6" t="s">
        <v>8452</v>
      </c>
      <c r="B2606" s="6" t="s">
        <v>8453</v>
      </c>
    </row>
    <row r="2607" ht="12.75" customHeight="1">
      <c r="A2607" s="6" t="s">
        <v>8454</v>
      </c>
      <c r="B2607" s="6" t="s">
        <v>3393</v>
      </c>
    </row>
    <row r="2608" ht="12.75" customHeight="1">
      <c r="A2608" s="6" t="s">
        <v>8455</v>
      </c>
      <c r="B2608" s="6" t="s">
        <v>3027</v>
      </c>
    </row>
    <row r="2609" ht="12.75" customHeight="1">
      <c r="A2609" s="6" t="s">
        <v>8456</v>
      </c>
      <c r="B2609" s="6" t="s">
        <v>8457</v>
      </c>
    </row>
    <row r="2610" ht="12.75" customHeight="1">
      <c r="A2610" s="6" t="s">
        <v>8458</v>
      </c>
      <c r="B2610" s="6" t="s">
        <v>1435</v>
      </c>
    </row>
    <row r="2611" ht="12.75" customHeight="1">
      <c r="A2611" s="6" t="s">
        <v>8459</v>
      </c>
      <c r="B2611" s="6" t="s">
        <v>8460</v>
      </c>
    </row>
    <row r="2612" ht="12.75" customHeight="1">
      <c r="A2612" s="6" t="s">
        <v>8461</v>
      </c>
      <c r="B2612" s="6" t="s">
        <v>8462</v>
      </c>
    </row>
    <row r="2613" ht="12.75" customHeight="1">
      <c r="A2613" s="6" t="s">
        <v>8463</v>
      </c>
      <c r="B2613" s="6" t="s">
        <v>8464</v>
      </c>
    </row>
    <row r="2614" ht="12.75" customHeight="1">
      <c r="A2614" s="6" t="s">
        <v>8465</v>
      </c>
      <c r="B2614" s="6" t="s">
        <v>2174</v>
      </c>
    </row>
    <row r="2615" ht="12.75" customHeight="1">
      <c r="A2615" s="6" t="s">
        <v>8466</v>
      </c>
      <c r="B2615" s="6" t="s">
        <v>8467</v>
      </c>
    </row>
    <row r="2616" ht="12.75" customHeight="1">
      <c r="A2616" s="6" t="s">
        <v>8468</v>
      </c>
      <c r="B2616" s="6" t="s">
        <v>8469</v>
      </c>
    </row>
    <row r="2617" ht="12.75" customHeight="1">
      <c r="A2617" s="6" t="s">
        <v>8470</v>
      </c>
      <c r="B2617" s="6" t="s">
        <v>8471</v>
      </c>
    </row>
    <row r="2618" ht="12.75" customHeight="1">
      <c r="A2618" s="6" t="s">
        <v>8472</v>
      </c>
      <c r="B2618" s="6" t="s">
        <v>8473</v>
      </c>
    </row>
    <row r="2619" ht="12.75" customHeight="1">
      <c r="A2619" s="6" t="s">
        <v>8474</v>
      </c>
      <c r="B2619" s="6" t="s">
        <v>8475</v>
      </c>
    </row>
    <row r="2620" ht="12.75" customHeight="1">
      <c r="A2620" s="6" t="s">
        <v>8476</v>
      </c>
      <c r="B2620" s="6" t="s">
        <v>8477</v>
      </c>
    </row>
    <row r="2621" ht="12.75" customHeight="1">
      <c r="A2621" s="6" t="s">
        <v>8478</v>
      </c>
      <c r="B2621" s="6" t="s">
        <v>8479</v>
      </c>
    </row>
    <row r="2622" ht="12.75" customHeight="1">
      <c r="A2622" s="6" t="s">
        <v>8480</v>
      </c>
      <c r="B2622" s="6" t="s">
        <v>1386</v>
      </c>
    </row>
    <row r="2623" ht="12.75" customHeight="1">
      <c r="A2623" s="6" t="s">
        <v>8481</v>
      </c>
      <c r="B2623" s="6" t="s">
        <v>8482</v>
      </c>
    </row>
    <row r="2624" ht="12.75" customHeight="1">
      <c r="A2624" s="6" t="s">
        <v>8483</v>
      </c>
      <c r="B2624" s="6" t="s">
        <v>249</v>
      </c>
    </row>
    <row r="2625" ht="12.75" customHeight="1">
      <c r="A2625" s="6" t="s">
        <v>8484</v>
      </c>
      <c r="B2625" s="6" t="s">
        <v>480</v>
      </c>
    </row>
    <row r="2626" ht="12.75" customHeight="1">
      <c r="A2626" s="6" t="s">
        <v>8485</v>
      </c>
      <c r="B2626" s="6" t="s">
        <v>986</v>
      </c>
    </row>
    <row r="2627" ht="12.75" customHeight="1">
      <c r="A2627" s="6" t="s">
        <v>8486</v>
      </c>
      <c r="B2627" s="6" t="s">
        <v>539</v>
      </c>
    </row>
    <row r="2628" ht="12.75" customHeight="1">
      <c r="A2628" s="6" t="s">
        <v>8487</v>
      </c>
      <c r="B2628" s="6" t="s">
        <v>8488</v>
      </c>
    </row>
    <row r="2629" ht="12.75" customHeight="1">
      <c r="A2629" s="6" t="s">
        <v>8489</v>
      </c>
      <c r="B2629" s="6" t="s">
        <v>8490</v>
      </c>
    </row>
    <row r="2630" ht="12.75" customHeight="1">
      <c r="A2630" s="6" t="s">
        <v>8491</v>
      </c>
      <c r="B2630" s="6" t="s">
        <v>8492</v>
      </c>
    </row>
    <row r="2631" ht="12.75" customHeight="1">
      <c r="A2631" s="6" t="s">
        <v>8493</v>
      </c>
      <c r="B2631" s="6" t="s">
        <v>8494</v>
      </c>
    </row>
    <row r="2632" ht="12.75" customHeight="1">
      <c r="A2632" s="6" t="s">
        <v>8495</v>
      </c>
      <c r="B2632" s="6" t="s">
        <v>8496</v>
      </c>
    </row>
    <row r="2633" ht="12.75" customHeight="1">
      <c r="A2633" s="6" t="s">
        <v>8497</v>
      </c>
      <c r="B2633" s="6" t="s">
        <v>8498</v>
      </c>
    </row>
    <row r="2634" ht="12.75" customHeight="1">
      <c r="A2634" s="6" t="s">
        <v>8499</v>
      </c>
      <c r="B2634" s="6" t="s">
        <v>8500</v>
      </c>
    </row>
    <row r="2635" ht="12.75" customHeight="1">
      <c r="A2635" s="6" t="s">
        <v>8501</v>
      </c>
      <c r="B2635" s="6" t="s">
        <v>8502</v>
      </c>
    </row>
    <row r="2636" ht="12.75" customHeight="1">
      <c r="A2636" s="6" t="s">
        <v>8503</v>
      </c>
      <c r="B2636" s="6" t="s">
        <v>8504</v>
      </c>
    </row>
    <row r="2637" ht="12.75" customHeight="1">
      <c r="A2637" s="6" t="s">
        <v>8505</v>
      </c>
      <c r="B2637" s="6" t="s">
        <v>8506</v>
      </c>
    </row>
    <row r="2638" ht="12.75" customHeight="1">
      <c r="A2638" s="6" t="s">
        <v>8507</v>
      </c>
      <c r="B2638" s="6" t="s">
        <v>8508</v>
      </c>
    </row>
    <row r="2639" ht="12.75" customHeight="1">
      <c r="A2639" s="6" t="s">
        <v>8509</v>
      </c>
      <c r="B2639" s="6" t="s">
        <v>683</v>
      </c>
    </row>
    <row r="2640" ht="12.75" customHeight="1">
      <c r="A2640" s="6" t="s">
        <v>8510</v>
      </c>
      <c r="B2640" s="6" t="s">
        <v>8511</v>
      </c>
    </row>
    <row r="2641" ht="12.75" customHeight="1">
      <c r="A2641" s="6" t="s">
        <v>8512</v>
      </c>
      <c r="B2641" s="6" t="s">
        <v>2632</v>
      </c>
    </row>
    <row r="2642" ht="12.75" customHeight="1">
      <c r="A2642" s="6" t="s">
        <v>8513</v>
      </c>
      <c r="B2642" s="6" t="s">
        <v>8514</v>
      </c>
    </row>
    <row r="2643" ht="12.75" customHeight="1">
      <c r="A2643" s="6" t="s">
        <v>8515</v>
      </c>
      <c r="B2643" s="6" t="s">
        <v>2798</v>
      </c>
    </row>
    <row r="2644" ht="12.75" customHeight="1">
      <c r="A2644" s="6" t="s">
        <v>8516</v>
      </c>
      <c r="B2644" s="6" t="s">
        <v>8517</v>
      </c>
    </row>
    <row r="2645" ht="12.75" customHeight="1">
      <c r="A2645" s="6" t="s">
        <v>8518</v>
      </c>
      <c r="B2645" s="6" t="s">
        <v>8519</v>
      </c>
    </row>
    <row r="2646" ht="12.75" customHeight="1">
      <c r="A2646" s="6" t="s">
        <v>8520</v>
      </c>
      <c r="B2646" s="6" t="s">
        <v>8521</v>
      </c>
    </row>
    <row r="2647" ht="12.75" customHeight="1">
      <c r="A2647" s="6" t="s">
        <v>8522</v>
      </c>
      <c r="B2647" s="6" t="s">
        <v>8523</v>
      </c>
    </row>
    <row r="2648" ht="12.75" customHeight="1">
      <c r="A2648" s="6" t="s">
        <v>8524</v>
      </c>
      <c r="B2648" s="6" t="s">
        <v>8525</v>
      </c>
    </row>
    <row r="2649" ht="12.75" customHeight="1">
      <c r="A2649" s="6" t="s">
        <v>8526</v>
      </c>
      <c r="B2649" s="6" t="s">
        <v>8527</v>
      </c>
    </row>
    <row r="2650" ht="12.75" customHeight="1">
      <c r="A2650" s="6" t="s">
        <v>8528</v>
      </c>
      <c r="B2650" s="6" t="s">
        <v>8529</v>
      </c>
    </row>
    <row r="2651" ht="12.75" customHeight="1">
      <c r="A2651" s="6" t="s">
        <v>8530</v>
      </c>
      <c r="B2651" s="6" t="s">
        <v>8531</v>
      </c>
    </row>
    <row r="2652" ht="12.75" customHeight="1">
      <c r="A2652" s="6" t="s">
        <v>8532</v>
      </c>
      <c r="B2652" s="6" t="s">
        <v>8533</v>
      </c>
    </row>
    <row r="2653" ht="12.75" customHeight="1">
      <c r="A2653" s="6" t="s">
        <v>8534</v>
      </c>
      <c r="B2653" s="6" t="s">
        <v>128</v>
      </c>
    </row>
    <row r="2654" ht="12.75" customHeight="1">
      <c r="A2654" s="6" t="s">
        <v>8535</v>
      </c>
      <c r="B2654" s="6" t="s">
        <v>8536</v>
      </c>
    </row>
    <row r="2655" ht="12.75" customHeight="1">
      <c r="A2655" s="6" t="s">
        <v>8537</v>
      </c>
      <c r="B2655" s="6" t="s">
        <v>2999</v>
      </c>
    </row>
    <row r="2656" ht="12.75" customHeight="1">
      <c r="A2656" s="6" t="s">
        <v>8538</v>
      </c>
      <c r="B2656" s="6" t="s">
        <v>8539</v>
      </c>
    </row>
    <row r="2657" ht="12.75" customHeight="1">
      <c r="A2657" s="6" t="s">
        <v>8540</v>
      </c>
      <c r="B2657" s="6" t="s">
        <v>8541</v>
      </c>
    </row>
    <row r="2658" ht="12.75" customHeight="1">
      <c r="A2658" s="6" t="s">
        <v>8542</v>
      </c>
      <c r="B2658" s="6" t="s">
        <v>8543</v>
      </c>
    </row>
    <row r="2659" ht="12.75" customHeight="1">
      <c r="A2659" s="6" t="s">
        <v>8544</v>
      </c>
      <c r="B2659" s="6" t="s">
        <v>1689</v>
      </c>
    </row>
    <row r="2660" ht="12.75" customHeight="1">
      <c r="A2660" s="6" t="s">
        <v>8545</v>
      </c>
      <c r="B2660" s="6" t="s">
        <v>854</v>
      </c>
    </row>
    <row r="2661" ht="12.75" customHeight="1">
      <c r="A2661" s="6" t="s">
        <v>8546</v>
      </c>
      <c r="B2661" s="6" t="s">
        <v>8547</v>
      </c>
    </row>
    <row r="2662" ht="12.75" customHeight="1">
      <c r="A2662" s="6" t="s">
        <v>8548</v>
      </c>
      <c r="B2662" s="6" t="s">
        <v>2243</v>
      </c>
    </row>
    <row r="2663" ht="12.75" customHeight="1">
      <c r="A2663" s="6" t="s">
        <v>8549</v>
      </c>
      <c r="B2663" s="6" t="s">
        <v>3500</v>
      </c>
    </row>
    <row r="2664" ht="12.75" customHeight="1">
      <c r="A2664" s="6" t="s">
        <v>8550</v>
      </c>
      <c r="B2664" s="6" t="s">
        <v>8551</v>
      </c>
    </row>
    <row r="2665" ht="12.75" customHeight="1">
      <c r="A2665" s="6" t="s">
        <v>8552</v>
      </c>
      <c r="B2665" s="6" t="s">
        <v>8553</v>
      </c>
    </row>
    <row r="2666" ht="12.75" customHeight="1">
      <c r="A2666" s="6" t="s">
        <v>8554</v>
      </c>
      <c r="B2666" s="6" t="s">
        <v>8555</v>
      </c>
    </row>
    <row r="2667" ht="12.75" customHeight="1">
      <c r="A2667" s="6" t="s">
        <v>8556</v>
      </c>
      <c r="B2667" s="6" t="s">
        <v>8557</v>
      </c>
    </row>
    <row r="2668" ht="12.75" customHeight="1">
      <c r="A2668" s="6" t="s">
        <v>8558</v>
      </c>
      <c r="B2668" s="6" t="s">
        <v>2791</v>
      </c>
    </row>
    <row r="2669" ht="12.75" customHeight="1">
      <c r="A2669" s="6" t="s">
        <v>8559</v>
      </c>
      <c r="B2669" s="6" t="s">
        <v>8560</v>
      </c>
    </row>
    <row r="2670" ht="12.75" customHeight="1">
      <c r="A2670" s="6" t="s">
        <v>8561</v>
      </c>
      <c r="B2670" s="6" t="s">
        <v>1931</v>
      </c>
    </row>
    <row r="2671" ht="12.75" customHeight="1">
      <c r="A2671" s="6" t="s">
        <v>8562</v>
      </c>
      <c r="B2671" s="6" t="s">
        <v>8563</v>
      </c>
    </row>
    <row r="2672" ht="12.75" customHeight="1">
      <c r="A2672" s="6" t="s">
        <v>8564</v>
      </c>
      <c r="B2672" s="6" t="s">
        <v>2490</v>
      </c>
    </row>
    <row r="2673" ht="12.75" customHeight="1">
      <c r="A2673" s="6" t="s">
        <v>8565</v>
      </c>
      <c r="B2673" s="6" t="s">
        <v>8566</v>
      </c>
    </row>
    <row r="2674" ht="12.75" customHeight="1">
      <c r="A2674" s="6" t="s">
        <v>8567</v>
      </c>
      <c r="B2674" s="6" t="s">
        <v>3582</v>
      </c>
    </row>
    <row r="2675" ht="12.75" customHeight="1">
      <c r="A2675" s="6" t="s">
        <v>8568</v>
      </c>
      <c r="B2675" s="6" t="s">
        <v>8569</v>
      </c>
    </row>
    <row r="2676" ht="12.75" customHeight="1">
      <c r="A2676" s="6" t="s">
        <v>8570</v>
      </c>
      <c r="B2676" s="6" t="s">
        <v>1991</v>
      </c>
    </row>
    <row r="2677" ht="12.75" customHeight="1">
      <c r="A2677" s="6" t="s">
        <v>8571</v>
      </c>
      <c r="B2677" s="6" t="s">
        <v>3513</v>
      </c>
    </row>
    <row r="2678" ht="12.75" customHeight="1">
      <c r="A2678" s="6" t="s">
        <v>8572</v>
      </c>
      <c r="B2678" s="6" t="s">
        <v>8573</v>
      </c>
    </row>
    <row r="2679" ht="12.75" customHeight="1">
      <c r="A2679" s="6" t="s">
        <v>8574</v>
      </c>
      <c r="B2679" s="6" t="s">
        <v>8575</v>
      </c>
    </row>
    <row r="2680" ht="12.75" customHeight="1">
      <c r="A2680" s="6" t="s">
        <v>8576</v>
      </c>
      <c r="B2680" s="6" t="s">
        <v>8577</v>
      </c>
    </row>
    <row r="2681" ht="12.75" customHeight="1">
      <c r="A2681" s="6" t="s">
        <v>8578</v>
      </c>
      <c r="B2681" s="6" t="s">
        <v>8579</v>
      </c>
    </row>
    <row r="2682" ht="12.75" customHeight="1">
      <c r="A2682" s="6" t="s">
        <v>8580</v>
      </c>
      <c r="B2682" s="6" t="s">
        <v>8581</v>
      </c>
    </row>
    <row r="2683" ht="12.75" customHeight="1">
      <c r="A2683" s="6" t="s">
        <v>8582</v>
      </c>
      <c r="B2683" s="6" t="s">
        <v>8583</v>
      </c>
    </row>
    <row r="2684" ht="12.75" customHeight="1">
      <c r="A2684" s="6" t="s">
        <v>8584</v>
      </c>
      <c r="B2684" s="6" t="s">
        <v>8585</v>
      </c>
    </row>
    <row r="2685" ht="12.75" customHeight="1">
      <c r="A2685" s="6" t="s">
        <v>8586</v>
      </c>
      <c r="B2685" s="6" t="s">
        <v>8587</v>
      </c>
    </row>
    <row r="2686" ht="12.75" customHeight="1">
      <c r="A2686" s="6" t="s">
        <v>8588</v>
      </c>
      <c r="B2686" s="6" t="s">
        <v>8589</v>
      </c>
    </row>
    <row r="2687" ht="12.75" customHeight="1">
      <c r="A2687" s="6" t="s">
        <v>8590</v>
      </c>
      <c r="B2687" s="6" t="s">
        <v>8591</v>
      </c>
    </row>
    <row r="2688" ht="12.75" customHeight="1">
      <c r="A2688" s="6" t="s">
        <v>8592</v>
      </c>
      <c r="B2688" s="6" t="s">
        <v>8593</v>
      </c>
    </row>
    <row r="2689" ht="12.75" customHeight="1">
      <c r="A2689" s="6" t="s">
        <v>8594</v>
      </c>
      <c r="B2689" s="6" t="s">
        <v>8595</v>
      </c>
    </row>
    <row r="2690" ht="12.75" customHeight="1">
      <c r="A2690" s="6" t="s">
        <v>8596</v>
      </c>
      <c r="B2690" s="6" t="s">
        <v>8597</v>
      </c>
    </row>
    <row r="2691" ht="12.75" customHeight="1">
      <c r="A2691" s="6" t="s">
        <v>8598</v>
      </c>
      <c r="B2691" s="6" t="s">
        <v>1045</v>
      </c>
    </row>
    <row r="2692" ht="12.75" customHeight="1">
      <c r="A2692" s="6" t="s">
        <v>8599</v>
      </c>
      <c r="B2692" s="6" t="s">
        <v>135</v>
      </c>
    </row>
    <row r="2693" ht="12.75" customHeight="1">
      <c r="A2693" s="6" t="s">
        <v>8600</v>
      </c>
      <c r="B2693" s="6" t="s">
        <v>8601</v>
      </c>
    </row>
    <row r="2694" ht="12.75" customHeight="1">
      <c r="A2694" s="6" t="s">
        <v>8602</v>
      </c>
      <c r="B2694" s="6" t="s">
        <v>2169</v>
      </c>
    </row>
    <row r="2695" ht="12.75" customHeight="1">
      <c r="A2695" s="6" t="s">
        <v>8603</v>
      </c>
      <c r="B2695" s="6" t="s">
        <v>2787</v>
      </c>
    </row>
    <row r="2696" ht="12.75" customHeight="1">
      <c r="A2696" s="6" t="s">
        <v>8604</v>
      </c>
      <c r="B2696" s="6" t="s">
        <v>2929</v>
      </c>
    </row>
    <row r="2697" ht="12.75" customHeight="1">
      <c r="A2697" s="6" t="s">
        <v>8605</v>
      </c>
      <c r="B2697" s="6" t="s">
        <v>65</v>
      </c>
    </row>
    <row r="2698" ht="12.75" customHeight="1">
      <c r="A2698" s="6" t="s">
        <v>8606</v>
      </c>
      <c r="B2698" s="6" t="s">
        <v>3092</v>
      </c>
    </row>
    <row r="2699" ht="12.75" customHeight="1">
      <c r="A2699" s="6" t="s">
        <v>8607</v>
      </c>
      <c r="B2699" s="6" t="s">
        <v>8608</v>
      </c>
    </row>
    <row r="2700" ht="12.75" customHeight="1">
      <c r="A2700" s="6" t="s">
        <v>8609</v>
      </c>
      <c r="B2700" s="6" t="s">
        <v>449</v>
      </c>
    </row>
    <row r="2701" ht="12.75" customHeight="1">
      <c r="A2701" s="6" t="s">
        <v>8610</v>
      </c>
      <c r="B2701" s="6" t="s">
        <v>8611</v>
      </c>
    </row>
    <row r="2702" ht="12.75" customHeight="1">
      <c r="A2702" s="6" t="s">
        <v>8612</v>
      </c>
      <c r="B2702" s="6" t="s">
        <v>8613</v>
      </c>
    </row>
    <row r="2703" ht="12.75" customHeight="1">
      <c r="A2703" s="6" t="s">
        <v>8614</v>
      </c>
      <c r="B2703" s="6" t="s">
        <v>8615</v>
      </c>
    </row>
    <row r="2704" ht="12.75" customHeight="1">
      <c r="A2704" s="6" t="s">
        <v>8616</v>
      </c>
      <c r="B2704" s="6" t="s">
        <v>8617</v>
      </c>
    </row>
    <row r="2705" ht="12.75" customHeight="1">
      <c r="A2705" s="6" t="s">
        <v>8618</v>
      </c>
      <c r="B2705" s="6" t="s">
        <v>8619</v>
      </c>
    </row>
    <row r="2706" ht="12.75" customHeight="1">
      <c r="A2706" s="6" t="s">
        <v>8620</v>
      </c>
      <c r="B2706" s="6" t="s">
        <v>8621</v>
      </c>
    </row>
    <row r="2707" ht="12.75" customHeight="1">
      <c r="A2707" s="6" t="s">
        <v>8622</v>
      </c>
      <c r="B2707" s="6" t="s">
        <v>8623</v>
      </c>
    </row>
    <row r="2708" ht="12.75" customHeight="1">
      <c r="A2708" s="6" t="s">
        <v>8624</v>
      </c>
      <c r="B2708" s="6" t="s">
        <v>8625</v>
      </c>
    </row>
    <row r="2709" ht="12.75" customHeight="1">
      <c r="A2709" s="6" t="s">
        <v>8626</v>
      </c>
      <c r="B2709" s="6" t="s">
        <v>2908</v>
      </c>
    </row>
    <row r="2710" ht="12.75" customHeight="1">
      <c r="A2710" s="6" t="s">
        <v>8627</v>
      </c>
      <c r="B2710" s="6" t="s">
        <v>8628</v>
      </c>
    </row>
    <row r="2711" ht="12.75" customHeight="1">
      <c r="A2711" s="6" t="s">
        <v>8629</v>
      </c>
      <c r="B2711" s="6" t="s">
        <v>8630</v>
      </c>
    </row>
    <row r="2712" ht="12.75" customHeight="1">
      <c r="A2712" s="6" t="s">
        <v>8631</v>
      </c>
      <c r="B2712" s="6" t="s">
        <v>8632</v>
      </c>
    </row>
    <row r="2713" ht="12.75" customHeight="1">
      <c r="A2713" s="6" t="s">
        <v>8633</v>
      </c>
      <c r="B2713" s="6" t="s">
        <v>8634</v>
      </c>
    </row>
    <row r="2714" ht="12.75" customHeight="1">
      <c r="A2714" s="6" t="s">
        <v>8635</v>
      </c>
      <c r="B2714" s="6" t="s">
        <v>8636</v>
      </c>
    </row>
    <row r="2715" ht="12.75" customHeight="1">
      <c r="A2715" s="6" t="s">
        <v>8637</v>
      </c>
      <c r="B2715" s="6" t="s">
        <v>8638</v>
      </c>
    </row>
    <row r="2716" ht="12.75" customHeight="1">
      <c r="A2716" s="6" t="s">
        <v>8639</v>
      </c>
      <c r="B2716" s="6" t="s">
        <v>8640</v>
      </c>
    </row>
    <row r="2717" ht="12.75" customHeight="1">
      <c r="A2717" s="6" t="s">
        <v>8641</v>
      </c>
      <c r="B2717" s="6" t="s">
        <v>2441</v>
      </c>
    </row>
    <row r="2718" ht="12.75" customHeight="1">
      <c r="A2718" s="6" t="s">
        <v>8642</v>
      </c>
      <c r="B2718" s="6" t="s">
        <v>8643</v>
      </c>
    </row>
    <row r="2719" ht="12.75" customHeight="1">
      <c r="A2719" s="6" t="s">
        <v>8644</v>
      </c>
      <c r="B2719" s="6" t="s">
        <v>8645</v>
      </c>
    </row>
    <row r="2720" ht="12.75" customHeight="1">
      <c r="A2720" s="6" t="s">
        <v>8646</v>
      </c>
      <c r="B2720" s="6" t="s">
        <v>393</v>
      </c>
    </row>
    <row r="2721" ht="12.75" customHeight="1">
      <c r="A2721" s="6" t="s">
        <v>8647</v>
      </c>
      <c r="B2721" s="6" t="s">
        <v>8648</v>
      </c>
    </row>
    <row r="2722" ht="12.75" customHeight="1">
      <c r="A2722" s="6" t="s">
        <v>8649</v>
      </c>
      <c r="B2722" s="6" t="s">
        <v>8650</v>
      </c>
    </row>
    <row r="2723" ht="12.75" customHeight="1">
      <c r="A2723" s="6" t="s">
        <v>8651</v>
      </c>
      <c r="B2723" s="6" t="s">
        <v>8652</v>
      </c>
    </row>
    <row r="2724" ht="12.75" customHeight="1">
      <c r="A2724" s="6" t="s">
        <v>8653</v>
      </c>
      <c r="B2724" s="6" t="s">
        <v>577</v>
      </c>
    </row>
    <row r="2725" ht="12.75" customHeight="1">
      <c r="A2725" s="6" t="s">
        <v>8654</v>
      </c>
      <c r="B2725" s="6" t="s">
        <v>8655</v>
      </c>
    </row>
    <row r="2726" ht="12.75" customHeight="1">
      <c r="A2726" s="6" t="s">
        <v>8656</v>
      </c>
      <c r="B2726" s="6" t="s">
        <v>3707</v>
      </c>
    </row>
    <row r="2727" ht="12.75" customHeight="1">
      <c r="A2727" s="6" t="s">
        <v>8657</v>
      </c>
      <c r="B2727" s="6" t="s">
        <v>8658</v>
      </c>
    </row>
    <row r="2728" ht="12.75" customHeight="1">
      <c r="A2728" s="6" t="s">
        <v>8659</v>
      </c>
      <c r="B2728" s="6" t="s">
        <v>1286</v>
      </c>
    </row>
    <row r="2729" ht="12.75" customHeight="1">
      <c r="A2729" s="6" t="s">
        <v>8660</v>
      </c>
      <c r="B2729" s="6" t="s">
        <v>8661</v>
      </c>
    </row>
    <row r="2730" ht="12.75" customHeight="1">
      <c r="A2730" s="6" t="s">
        <v>8662</v>
      </c>
      <c r="B2730" s="6" t="s">
        <v>8663</v>
      </c>
    </row>
    <row r="2731" ht="12.75" customHeight="1">
      <c r="A2731" s="6" t="s">
        <v>8664</v>
      </c>
      <c r="B2731" s="6" t="s">
        <v>8665</v>
      </c>
    </row>
    <row r="2732" ht="12.75" customHeight="1">
      <c r="A2732" s="6" t="s">
        <v>8666</v>
      </c>
      <c r="B2732" s="6" t="s">
        <v>8667</v>
      </c>
    </row>
    <row r="2733" ht="12.75" customHeight="1">
      <c r="A2733" s="6" t="s">
        <v>8668</v>
      </c>
      <c r="B2733" s="6" t="s">
        <v>8669</v>
      </c>
    </row>
    <row r="2734" ht="12.75" customHeight="1">
      <c r="A2734" s="6" t="s">
        <v>8670</v>
      </c>
      <c r="B2734" s="6" t="s">
        <v>8671</v>
      </c>
    </row>
    <row r="2735" ht="12.75" customHeight="1">
      <c r="A2735" s="6" t="s">
        <v>8672</v>
      </c>
      <c r="B2735" s="6" t="s">
        <v>748</v>
      </c>
    </row>
    <row r="2736" ht="12.75" customHeight="1">
      <c r="A2736" s="6" t="s">
        <v>8673</v>
      </c>
      <c r="B2736" s="6" t="s">
        <v>1901</v>
      </c>
    </row>
    <row r="2737" ht="12.75" customHeight="1">
      <c r="A2737" s="6" t="s">
        <v>8674</v>
      </c>
      <c r="B2737" s="6" t="s">
        <v>8675</v>
      </c>
    </row>
    <row r="2738" ht="12.75" customHeight="1">
      <c r="A2738" s="6" t="s">
        <v>8676</v>
      </c>
      <c r="B2738" s="6" t="s">
        <v>8677</v>
      </c>
    </row>
    <row r="2739" ht="12.75" customHeight="1">
      <c r="A2739" s="6" t="s">
        <v>8678</v>
      </c>
      <c r="B2739" s="6" t="s">
        <v>8679</v>
      </c>
    </row>
    <row r="2740" ht="12.75" customHeight="1">
      <c r="A2740" s="6" t="s">
        <v>8680</v>
      </c>
      <c r="B2740" s="6" t="s">
        <v>8681</v>
      </c>
    </row>
    <row r="2741" ht="12.75" customHeight="1">
      <c r="A2741" s="6" t="s">
        <v>8682</v>
      </c>
      <c r="B2741" s="6" t="s">
        <v>8683</v>
      </c>
    </row>
    <row r="2742" ht="12.75" customHeight="1">
      <c r="A2742" s="6" t="s">
        <v>8684</v>
      </c>
      <c r="B2742" s="6" t="s">
        <v>8685</v>
      </c>
    </row>
    <row r="2743" ht="12.75" customHeight="1">
      <c r="A2743" s="6" t="s">
        <v>8686</v>
      </c>
      <c r="B2743" s="6" t="s">
        <v>8687</v>
      </c>
    </row>
    <row r="2744" ht="12.75" customHeight="1">
      <c r="A2744" s="6" t="s">
        <v>8688</v>
      </c>
      <c r="B2744" s="6" t="s">
        <v>8689</v>
      </c>
    </row>
    <row r="2745" ht="12.75" customHeight="1">
      <c r="A2745" s="6" t="s">
        <v>8690</v>
      </c>
      <c r="B2745" s="6" t="s">
        <v>8691</v>
      </c>
    </row>
    <row r="2746" ht="12.75" customHeight="1">
      <c r="A2746" s="6" t="s">
        <v>8692</v>
      </c>
      <c r="B2746" s="6" t="s">
        <v>8693</v>
      </c>
    </row>
    <row r="2747" ht="12.75" customHeight="1">
      <c r="A2747" s="6" t="s">
        <v>8694</v>
      </c>
      <c r="B2747" s="6" t="s">
        <v>8695</v>
      </c>
    </row>
    <row r="2748" ht="12.75" customHeight="1">
      <c r="A2748" s="6" t="s">
        <v>8696</v>
      </c>
      <c r="B2748" s="6" t="s">
        <v>8697</v>
      </c>
    </row>
    <row r="2749" ht="12.75" customHeight="1">
      <c r="A2749" s="6" t="s">
        <v>8698</v>
      </c>
      <c r="B2749" s="6" t="s">
        <v>8699</v>
      </c>
    </row>
    <row r="2750" ht="12.75" customHeight="1">
      <c r="A2750" s="6" t="s">
        <v>8700</v>
      </c>
      <c r="B2750" s="6" t="s">
        <v>8701</v>
      </c>
    </row>
    <row r="2751" ht="12.75" customHeight="1">
      <c r="A2751" s="6" t="s">
        <v>8702</v>
      </c>
      <c r="B2751" s="6" t="s">
        <v>8703</v>
      </c>
    </row>
    <row r="2752" ht="12.75" customHeight="1">
      <c r="A2752" s="6" t="s">
        <v>8704</v>
      </c>
      <c r="B2752" s="6" t="s">
        <v>8705</v>
      </c>
    </row>
    <row r="2753" ht="12.75" customHeight="1">
      <c r="A2753" s="6" t="s">
        <v>8706</v>
      </c>
      <c r="B2753" s="6" t="s">
        <v>8707</v>
      </c>
    </row>
    <row r="2754" ht="12.75" customHeight="1">
      <c r="A2754" s="6" t="s">
        <v>8708</v>
      </c>
      <c r="B2754" s="6" t="s">
        <v>8709</v>
      </c>
    </row>
    <row r="2755" ht="12.75" customHeight="1">
      <c r="A2755" s="6" t="s">
        <v>8710</v>
      </c>
      <c r="B2755" s="6" t="s">
        <v>8711</v>
      </c>
    </row>
    <row r="2756" ht="12.75" customHeight="1">
      <c r="A2756" s="6" t="s">
        <v>8712</v>
      </c>
      <c r="B2756" s="6" t="s">
        <v>8713</v>
      </c>
    </row>
    <row r="2757" ht="12.75" customHeight="1">
      <c r="A2757" s="6" t="s">
        <v>8714</v>
      </c>
      <c r="B2757" s="6" t="s">
        <v>8715</v>
      </c>
    </row>
    <row r="2758" ht="12.75" customHeight="1">
      <c r="A2758" s="6" t="s">
        <v>8716</v>
      </c>
      <c r="B2758" s="6" t="s">
        <v>8717</v>
      </c>
    </row>
    <row r="2759" ht="12.75" customHeight="1">
      <c r="A2759" s="6" t="s">
        <v>8718</v>
      </c>
      <c r="B2759" s="6" t="s">
        <v>8719</v>
      </c>
    </row>
    <row r="2760" ht="12.75" customHeight="1">
      <c r="A2760" s="6" t="s">
        <v>8720</v>
      </c>
      <c r="B2760" s="6" t="s">
        <v>8721</v>
      </c>
    </row>
    <row r="2761" ht="12.75" customHeight="1">
      <c r="A2761" s="6" t="s">
        <v>8722</v>
      </c>
      <c r="B2761" s="6" t="s">
        <v>8723</v>
      </c>
    </row>
    <row r="2762" ht="12.75" customHeight="1">
      <c r="A2762" s="6" t="s">
        <v>8724</v>
      </c>
      <c r="B2762" s="6" t="s">
        <v>8725</v>
      </c>
    </row>
    <row r="2763" ht="12.75" customHeight="1">
      <c r="A2763" s="6" t="s">
        <v>8726</v>
      </c>
      <c r="B2763" s="6" t="s">
        <v>8727</v>
      </c>
    </row>
    <row r="2764" ht="12.75" customHeight="1">
      <c r="A2764" s="6" t="s">
        <v>8728</v>
      </c>
      <c r="B2764" s="6" t="s">
        <v>8729</v>
      </c>
    </row>
    <row r="2765" ht="12.75" customHeight="1">
      <c r="A2765" s="6" t="s">
        <v>8730</v>
      </c>
      <c r="B2765" s="6" t="s">
        <v>8731</v>
      </c>
    </row>
    <row r="2766" ht="12.75" customHeight="1">
      <c r="A2766" s="6" t="s">
        <v>8732</v>
      </c>
      <c r="B2766" s="6" t="s">
        <v>8733</v>
      </c>
    </row>
    <row r="2767" ht="12.75" customHeight="1">
      <c r="A2767" s="6" t="s">
        <v>8734</v>
      </c>
      <c r="B2767" s="6" t="s">
        <v>8735</v>
      </c>
    </row>
    <row r="2768" ht="12.75" customHeight="1">
      <c r="A2768" s="6" t="s">
        <v>8736</v>
      </c>
      <c r="B2768" s="6" t="s">
        <v>8737</v>
      </c>
    </row>
    <row r="2769" ht="12.75" customHeight="1">
      <c r="A2769" s="6" t="s">
        <v>8738</v>
      </c>
      <c r="B2769" s="6" t="s">
        <v>8739</v>
      </c>
    </row>
    <row r="2770" ht="12.75" customHeight="1">
      <c r="A2770" s="6" t="s">
        <v>8740</v>
      </c>
      <c r="B2770" s="6" t="s">
        <v>8741</v>
      </c>
    </row>
    <row r="2771" ht="12.75" customHeight="1">
      <c r="A2771" s="6" t="s">
        <v>8742</v>
      </c>
      <c r="B2771" s="6" t="s">
        <v>1975</v>
      </c>
    </row>
    <row r="2772" ht="12.75" customHeight="1">
      <c r="A2772" s="6" t="s">
        <v>8743</v>
      </c>
      <c r="B2772" s="6" t="s">
        <v>819</v>
      </c>
    </row>
    <row r="2773" ht="12.75" customHeight="1">
      <c r="A2773" s="6" t="s">
        <v>8744</v>
      </c>
      <c r="B2773" s="6" t="s">
        <v>8745</v>
      </c>
    </row>
    <row r="2774" ht="12.75" customHeight="1">
      <c r="A2774" s="6" t="s">
        <v>8746</v>
      </c>
      <c r="B2774" s="6" t="s">
        <v>8747</v>
      </c>
    </row>
    <row r="2775" ht="12.75" customHeight="1">
      <c r="A2775" s="6" t="s">
        <v>8748</v>
      </c>
      <c r="B2775" s="6" t="s">
        <v>8749</v>
      </c>
    </row>
    <row r="2776" ht="12.75" customHeight="1">
      <c r="A2776" s="6" t="s">
        <v>8750</v>
      </c>
      <c r="B2776" s="6" t="s">
        <v>8751</v>
      </c>
    </row>
    <row r="2777" ht="12.75" customHeight="1">
      <c r="A2777" s="6" t="s">
        <v>8752</v>
      </c>
      <c r="B2777" s="6" t="s">
        <v>8753</v>
      </c>
    </row>
    <row r="2778" ht="12.75" customHeight="1">
      <c r="A2778" s="6" t="s">
        <v>8754</v>
      </c>
      <c r="B2778" s="6" t="s">
        <v>8755</v>
      </c>
    </row>
    <row r="2779" ht="12.75" customHeight="1">
      <c r="A2779" s="6" t="s">
        <v>8756</v>
      </c>
      <c r="B2779" s="6" t="s">
        <v>8757</v>
      </c>
    </row>
    <row r="2780" ht="12.75" customHeight="1">
      <c r="A2780" s="6" t="s">
        <v>8758</v>
      </c>
      <c r="B2780" s="6" t="s">
        <v>8759</v>
      </c>
    </row>
    <row r="2781" ht="12.75" customHeight="1">
      <c r="A2781" s="6" t="s">
        <v>8760</v>
      </c>
      <c r="B2781" s="6" t="s">
        <v>8761</v>
      </c>
    </row>
    <row r="2782" ht="12.75" customHeight="1">
      <c r="A2782" s="6" t="s">
        <v>8762</v>
      </c>
      <c r="B2782" s="6" t="s">
        <v>8763</v>
      </c>
    </row>
    <row r="2783" ht="12.75" customHeight="1">
      <c r="A2783" s="6" t="s">
        <v>8764</v>
      </c>
      <c r="B2783" s="6" t="s">
        <v>8765</v>
      </c>
    </row>
    <row r="2784" ht="12.75" customHeight="1">
      <c r="A2784" s="6" t="s">
        <v>8766</v>
      </c>
      <c r="B2784" s="6" t="s">
        <v>8767</v>
      </c>
    </row>
    <row r="2785" ht="12.75" customHeight="1">
      <c r="A2785" s="6" t="s">
        <v>8768</v>
      </c>
      <c r="B2785" s="6" t="s">
        <v>8769</v>
      </c>
    </row>
    <row r="2786" ht="12.75" customHeight="1">
      <c r="A2786" s="6" t="s">
        <v>8770</v>
      </c>
      <c r="B2786" s="6" t="s">
        <v>8771</v>
      </c>
    </row>
    <row r="2787" ht="12.75" customHeight="1">
      <c r="A2787" s="6" t="s">
        <v>8772</v>
      </c>
      <c r="B2787" s="6" t="s">
        <v>8773</v>
      </c>
    </row>
    <row r="2788" ht="12.75" customHeight="1">
      <c r="A2788" s="6" t="s">
        <v>8774</v>
      </c>
      <c r="B2788" s="6" t="s">
        <v>8775</v>
      </c>
    </row>
    <row r="2789" ht="12.75" customHeight="1">
      <c r="A2789" s="6" t="s">
        <v>8776</v>
      </c>
      <c r="B2789" s="6" t="s">
        <v>8777</v>
      </c>
    </row>
    <row r="2790" ht="12.75" customHeight="1">
      <c r="A2790" s="6" t="s">
        <v>8778</v>
      </c>
      <c r="B2790" s="6" t="s">
        <v>8779</v>
      </c>
    </row>
    <row r="2791" ht="12.75" customHeight="1">
      <c r="A2791" s="6" t="s">
        <v>8780</v>
      </c>
      <c r="B2791" s="6" t="s">
        <v>1546</v>
      </c>
    </row>
    <row r="2792" ht="12.75" customHeight="1">
      <c r="A2792" s="6" t="s">
        <v>8781</v>
      </c>
    </row>
    <row r="2793" ht="12.75" customHeight="1">
      <c r="A2793" s="6" t="s">
        <v>8782</v>
      </c>
      <c r="B2793" s="6" t="s">
        <v>426</v>
      </c>
    </row>
    <row r="2794" ht="12.75" customHeight="1">
      <c r="A2794" s="6" t="s">
        <v>8783</v>
      </c>
      <c r="B2794" s="6" t="s">
        <v>496</v>
      </c>
    </row>
    <row r="2795" ht="12.75" customHeight="1">
      <c r="A2795" s="6" t="s">
        <v>8784</v>
      </c>
    </row>
    <row r="2796" ht="12.75" customHeight="1">
      <c r="A2796" s="6" t="s">
        <v>8785</v>
      </c>
      <c r="B2796" s="6" t="s">
        <v>83</v>
      </c>
    </row>
    <row r="2797" ht="12.75" customHeight="1">
      <c r="A2797" s="6" t="s">
        <v>8786</v>
      </c>
      <c r="B2797" s="6" t="s">
        <v>8787</v>
      </c>
    </row>
    <row r="2798" ht="12.75" customHeight="1">
      <c r="A2798" s="6" t="s">
        <v>8788</v>
      </c>
      <c r="B2798" s="6" t="s">
        <v>1001</v>
      </c>
    </row>
    <row r="2799" ht="12.75" customHeight="1">
      <c r="A2799" s="6" t="s">
        <v>8789</v>
      </c>
      <c r="B2799" s="6" t="s">
        <v>1698</v>
      </c>
    </row>
    <row r="2800" ht="12.75" customHeight="1">
      <c r="A2800" s="6" t="s">
        <v>8790</v>
      </c>
    </row>
    <row r="2801" ht="12.75" customHeight="1">
      <c r="A2801" s="6" t="s">
        <v>8791</v>
      </c>
      <c r="B2801" s="6" t="s">
        <v>230</v>
      </c>
    </row>
    <row r="2802" ht="12.75" customHeight="1">
      <c r="A2802" s="6" t="s">
        <v>8792</v>
      </c>
      <c r="B2802" s="6" t="s">
        <v>525</v>
      </c>
    </row>
    <row r="2803" ht="12.75" customHeight="1">
      <c r="A2803" s="6" t="s">
        <v>8793</v>
      </c>
      <c r="B2803" s="6" t="s">
        <v>1223</v>
      </c>
    </row>
    <row r="2804" ht="12.75" customHeight="1">
      <c r="A2804" s="6" t="s">
        <v>8794</v>
      </c>
      <c r="B2804" s="6" t="s">
        <v>1801</v>
      </c>
    </row>
    <row r="2805" ht="12.75" customHeight="1">
      <c r="A2805" s="6" t="s">
        <v>8795</v>
      </c>
      <c r="B2805" s="6" t="s">
        <v>8796</v>
      </c>
    </row>
    <row r="2806" ht="12.75" customHeight="1">
      <c r="A2806" s="6" t="s">
        <v>8797</v>
      </c>
      <c r="B2806" s="6" t="s">
        <v>8798</v>
      </c>
    </row>
    <row r="2807" ht="12.75" customHeight="1">
      <c r="A2807" s="6" t="s">
        <v>8799</v>
      </c>
      <c r="B2807" s="6" t="s">
        <v>8800</v>
      </c>
    </row>
    <row r="2808" ht="12.75" customHeight="1">
      <c r="A2808" s="6" t="s">
        <v>8801</v>
      </c>
      <c r="B2808" s="6" t="s">
        <v>3795</v>
      </c>
    </row>
    <row r="2809" ht="12.75" customHeight="1">
      <c r="A2809" s="6" t="s">
        <v>8802</v>
      </c>
      <c r="B2809" s="6" t="s">
        <v>462</v>
      </c>
    </row>
    <row r="2810" ht="12.75" customHeight="1">
      <c r="A2810" s="6" t="s">
        <v>8803</v>
      </c>
      <c r="B2810" s="6" t="s">
        <v>8804</v>
      </c>
    </row>
    <row r="2811" ht="12.75" customHeight="1">
      <c r="A2811" s="6" t="s">
        <v>8805</v>
      </c>
      <c r="B2811" s="6" t="s">
        <v>8806</v>
      </c>
    </row>
    <row r="2812" ht="12.75" customHeight="1">
      <c r="A2812" s="6" t="s">
        <v>8807</v>
      </c>
      <c r="B2812" s="6" t="s">
        <v>8808</v>
      </c>
    </row>
    <row r="2813" ht="12.75" customHeight="1">
      <c r="A2813" s="6" t="s">
        <v>8809</v>
      </c>
      <c r="B2813" s="6" t="s">
        <v>8810</v>
      </c>
    </row>
    <row r="2814" ht="12.75" customHeight="1">
      <c r="A2814" s="6" t="s">
        <v>8811</v>
      </c>
      <c r="B2814" s="6" t="s">
        <v>8812</v>
      </c>
    </row>
    <row r="2815" ht="12.75" customHeight="1">
      <c r="A2815" s="6" t="s">
        <v>8813</v>
      </c>
      <c r="B2815" s="6" t="s">
        <v>8814</v>
      </c>
    </row>
    <row r="2816" ht="12.75" customHeight="1">
      <c r="A2816" s="6" t="s">
        <v>8815</v>
      </c>
      <c r="B2816" s="6" t="s">
        <v>8816</v>
      </c>
    </row>
    <row r="2817" ht="12.75" customHeight="1">
      <c r="A2817" s="6" t="s">
        <v>8817</v>
      </c>
      <c r="B2817" s="6" t="s">
        <v>8818</v>
      </c>
    </row>
    <row r="2818" ht="12.75" customHeight="1">
      <c r="A2818" s="6" t="s">
        <v>8819</v>
      </c>
      <c r="B2818" s="6" t="s">
        <v>8820</v>
      </c>
    </row>
    <row r="2819" ht="12.75" customHeight="1">
      <c r="A2819" s="6" t="s">
        <v>8821</v>
      </c>
      <c r="B2819" s="6" t="s">
        <v>8822</v>
      </c>
    </row>
    <row r="2820" ht="12.75" customHeight="1">
      <c r="A2820" s="6" t="s">
        <v>8823</v>
      </c>
      <c r="B2820" s="6" t="s">
        <v>8824</v>
      </c>
    </row>
    <row r="2821" ht="12.75" customHeight="1">
      <c r="A2821" s="6" t="s">
        <v>8825</v>
      </c>
      <c r="B2821" s="6" t="s">
        <v>8826</v>
      </c>
    </row>
    <row r="2822" ht="12.75" customHeight="1">
      <c r="A2822" s="6" t="s">
        <v>8827</v>
      </c>
      <c r="B2822" s="6" t="s">
        <v>8828</v>
      </c>
    </row>
    <row r="2823" ht="12.75" customHeight="1">
      <c r="A2823" s="6" t="s">
        <v>8829</v>
      </c>
      <c r="B2823" s="6" t="s">
        <v>8830</v>
      </c>
    </row>
    <row r="2824" ht="12.75" customHeight="1">
      <c r="A2824" s="6" t="s">
        <v>8831</v>
      </c>
      <c r="B2824" s="6" t="s">
        <v>8832</v>
      </c>
    </row>
    <row r="2825" ht="12.75" customHeight="1">
      <c r="A2825" s="6" t="s">
        <v>8833</v>
      </c>
      <c r="B2825" s="6" t="s">
        <v>8834</v>
      </c>
    </row>
    <row r="2826" ht="12.75" customHeight="1">
      <c r="A2826" s="6" t="s">
        <v>8835</v>
      </c>
      <c r="B2826" s="6" t="s">
        <v>8836</v>
      </c>
    </row>
    <row r="2827" ht="12.75" customHeight="1">
      <c r="A2827" s="6" t="s">
        <v>8837</v>
      </c>
      <c r="B2827" s="6" t="s">
        <v>8838</v>
      </c>
    </row>
    <row r="2828" ht="12.75" customHeight="1">
      <c r="A2828" s="6" t="s">
        <v>8839</v>
      </c>
      <c r="B2828" s="6" t="s">
        <v>8840</v>
      </c>
    </row>
    <row r="2829" ht="12.75" customHeight="1">
      <c r="A2829" s="6" t="s">
        <v>8841</v>
      </c>
      <c r="B2829" s="6" t="s">
        <v>3404</v>
      </c>
    </row>
    <row r="2830" ht="12.75" customHeight="1">
      <c r="A2830" s="6" t="s">
        <v>8842</v>
      </c>
      <c r="B2830" s="6" t="s">
        <v>8843</v>
      </c>
    </row>
    <row r="2831" ht="12.75" customHeight="1">
      <c r="A2831" s="6" t="s">
        <v>8844</v>
      </c>
      <c r="B2831" s="6" t="s">
        <v>3269</v>
      </c>
    </row>
    <row r="2832" ht="12.75" customHeight="1">
      <c r="A2832" s="6" t="s">
        <v>8845</v>
      </c>
      <c r="B2832" s="6" t="s">
        <v>8846</v>
      </c>
    </row>
    <row r="2833" ht="12.75" customHeight="1">
      <c r="A2833" s="6" t="s">
        <v>8847</v>
      </c>
      <c r="B2833" s="6" t="s">
        <v>8848</v>
      </c>
    </row>
    <row r="2834" ht="12.75" customHeight="1">
      <c r="A2834" s="6" t="s">
        <v>8849</v>
      </c>
      <c r="B2834" s="6" t="s">
        <v>8850</v>
      </c>
    </row>
    <row r="2835" ht="12.75" customHeight="1">
      <c r="A2835" s="6" t="s">
        <v>8851</v>
      </c>
      <c r="B2835" s="6" t="s">
        <v>8852</v>
      </c>
    </row>
    <row r="2836" ht="12.75" customHeight="1">
      <c r="A2836" s="6" t="s">
        <v>8853</v>
      </c>
      <c r="B2836" s="6" t="s">
        <v>1350</v>
      </c>
    </row>
    <row r="2837" ht="12.75" customHeight="1">
      <c r="A2837" s="6" t="s">
        <v>8854</v>
      </c>
      <c r="B2837" s="6" t="s">
        <v>8855</v>
      </c>
    </row>
    <row r="2838" ht="12.75" customHeight="1">
      <c r="A2838" s="6" t="s">
        <v>8856</v>
      </c>
      <c r="B2838" s="6" t="s">
        <v>8857</v>
      </c>
    </row>
    <row r="2839" ht="12.75" customHeight="1">
      <c r="A2839" s="6" t="s">
        <v>8858</v>
      </c>
      <c r="B2839" s="6" t="s">
        <v>8859</v>
      </c>
    </row>
    <row r="2840" ht="12.75" customHeight="1">
      <c r="A2840" s="6" t="s">
        <v>8860</v>
      </c>
      <c r="B2840" s="6" t="s">
        <v>8861</v>
      </c>
    </row>
    <row r="2841" ht="12.75" customHeight="1">
      <c r="A2841" s="6" t="s">
        <v>8862</v>
      </c>
      <c r="B2841" s="6" t="s">
        <v>8863</v>
      </c>
    </row>
    <row r="2842" ht="12.75" customHeight="1">
      <c r="A2842" s="6" t="s">
        <v>8864</v>
      </c>
      <c r="B2842" s="6" t="s">
        <v>2881</v>
      </c>
    </row>
    <row r="2843" ht="12.75" customHeight="1">
      <c r="A2843" s="6" t="s">
        <v>8865</v>
      </c>
      <c r="B2843" s="6" t="s">
        <v>8866</v>
      </c>
    </row>
    <row r="2844" ht="12.75" customHeight="1">
      <c r="A2844" s="6" t="s">
        <v>8867</v>
      </c>
      <c r="B2844" s="6" t="s">
        <v>216</v>
      </c>
    </row>
    <row r="2845" ht="12.75" customHeight="1">
      <c r="A2845" s="6" t="s">
        <v>8868</v>
      </c>
      <c r="B2845" s="6" t="s">
        <v>8869</v>
      </c>
    </row>
    <row r="2846" ht="12.75" customHeight="1">
      <c r="A2846" s="6" t="s">
        <v>8870</v>
      </c>
      <c r="B2846" s="6" t="s">
        <v>8871</v>
      </c>
    </row>
    <row r="2847" ht="12.75" customHeight="1">
      <c r="A2847" s="6" t="s">
        <v>8872</v>
      </c>
      <c r="B2847" s="6" t="s">
        <v>8873</v>
      </c>
    </row>
    <row r="2848" ht="12.75" customHeight="1">
      <c r="A2848" s="6" t="s">
        <v>8874</v>
      </c>
      <c r="B2848" s="6" t="s">
        <v>8875</v>
      </c>
    </row>
    <row r="2849" ht="12.75" customHeight="1">
      <c r="A2849" s="6" t="s">
        <v>8876</v>
      </c>
      <c r="B2849" s="6" t="s">
        <v>2745</v>
      </c>
    </row>
    <row r="2850" ht="12.75" customHeight="1">
      <c r="A2850" s="6" t="s">
        <v>8877</v>
      </c>
      <c r="B2850" s="6" t="s">
        <v>1748</v>
      </c>
    </row>
    <row r="2851" ht="12.75" customHeight="1">
      <c r="A2851" s="6" t="s">
        <v>8878</v>
      </c>
      <c r="B2851" s="6" t="s">
        <v>390</v>
      </c>
    </row>
    <row r="2852" ht="12.75" customHeight="1">
      <c r="A2852" s="6" t="s">
        <v>8879</v>
      </c>
      <c r="B2852" s="6" t="s">
        <v>71</v>
      </c>
    </row>
    <row r="2853" ht="12.75" customHeight="1">
      <c r="A2853" s="6" t="s">
        <v>8880</v>
      </c>
      <c r="B2853" s="6" t="s">
        <v>1474</v>
      </c>
    </row>
    <row r="2854" ht="12.75" customHeight="1">
      <c r="A2854" s="6" t="s">
        <v>8881</v>
      </c>
      <c r="B2854" s="6" t="s">
        <v>8882</v>
      </c>
    </row>
    <row r="2855" ht="12.75" customHeight="1">
      <c r="A2855" s="6" t="s">
        <v>8883</v>
      </c>
      <c r="B2855" s="6" t="s">
        <v>8884</v>
      </c>
    </row>
    <row r="2856" ht="12.75" customHeight="1">
      <c r="A2856" s="6" t="s">
        <v>8885</v>
      </c>
      <c r="B2856" s="6" t="s">
        <v>8886</v>
      </c>
    </row>
    <row r="2857" ht="12.75" customHeight="1">
      <c r="A2857" s="6" t="s">
        <v>8887</v>
      </c>
      <c r="B2857" s="6" t="s">
        <v>8888</v>
      </c>
    </row>
    <row r="2858" ht="12.75" customHeight="1">
      <c r="A2858" s="6" t="s">
        <v>8889</v>
      </c>
      <c r="B2858" s="6" t="s">
        <v>8890</v>
      </c>
    </row>
    <row r="2859" ht="12.75" customHeight="1">
      <c r="A2859" s="6" t="s">
        <v>8891</v>
      </c>
      <c r="B2859" s="6" t="s">
        <v>942</v>
      </c>
    </row>
    <row r="2860" ht="12.75" customHeight="1">
      <c r="A2860" s="6" t="s">
        <v>8892</v>
      </c>
      <c r="B2860" s="6" t="s">
        <v>8893</v>
      </c>
    </row>
    <row r="2861" ht="12.75" customHeight="1">
      <c r="A2861" s="6" t="s">
        <v>8894</v>
      </c>
      <c r="B2861" s="6" t="s">
        <v>8895</v>
      </c>
    </row>
    <row r="2862" ht="12.75" customHeight="1">
      <c r="A2862" s="6" t="s">
        <v>8896</v>
      </c>
      <c r="B2862" s="6" t="s">
        <v>8897</v>
      </c>
    </row>
    <row r="2863" ht="12.75" customHeight="1">
      <c r="A2863" s="6" t="s">
        <v>8898</v>
      </c>
      <c r="B2863" s="6" t="s">
        <v>8899</v>
      </c>
    </row>
    <row r="2864" ht="12.75" customHeight="1">
      <c r="A2864" s="6" t="s">
        <v>8900</v>
      </c>
      <c r="B2864" s="6" t="s">
        <v>8901</v>
      </c>
    </row>
    <row r="2865" ht="12.75" customHeight="1">
      <c r="A2865" s="6" t="s">
        <v>8902</v>
      </c>
      <c r="B2865" s="6" t="s">
        <v>8903</v>
      </c>
    </row>
    <row r="2866" ht="12.75" customHeight="1">
      <c r="A2866" s="6" t="s">
        <v>8904</v>
      </c>
      <c r="B2866" s="6" t="s">
        <v>8905</v>
      </c>
    </row>
    <row r="2867" ht="12.75" customHeight="1">
      <c r="A2867" s="6" t="s">
        <v>8906</v>
      </c>
      <c r="B2867" s="6" t="s">
        <v>8907</v>
      </c>
    </row>
    <row r="2868" ht="12.75" customHeight="1">
      <c r="A2868" s="6" t="s">
        <v>8908</v>
      </c>
      <c r="B2868" s="6" t="s">
        <v>8909</v>
      </c>
    </row>
    <row r="2869" ht="12.75" customHeight="1">
      <c r="A2869" s="6" t="s">
        <v>8910</v>
      </c>
      <c r="B2869" s="6" t="s">
        <v>8911</v>
      </c>
    </row>
    <row r="2870" ht="12.75" customHeight="1">
      <c r="A2870" s="6" t="s">
        <v>8912</v>
      </c>
      <c r="B2870" s="6" t="s">
        <v>8913</v>
      </c>
    </row>
    <row r="2871" ht="12.75" customHeight="1">
      <c r="A2871" s="6" t="s">
        <v>8914</v>
      </c>
      <c r="B2871" s="6" t="s">
        <v>2344</v>
      </c>
    </row>
    <row r="2872" ht="12.75" customHeight="1">
      <c r="A2872" s="6" t="s">
        <v>8915</v>
      </c>
      <c r="B2872" s="6" t="s">
        <v>3434</v>
      </c>
    </row>
    <row r="2873" ht="12.75" customHeight="1">
      <c r="A2873" s="6" t="s">
        <v>8916</v>
      </c>
      <c r="B2873" s="6" t="s">
        <v>8917</v>
      </c>
    </row>
    <row r="2874" ht="12.75" customHeight="1">
      <c r="A2874" s="6" t="s">
        <v>8918</v>
      </c>
      <c r="B2874" s="6" t="s">
        <v>3585</v>
      </c>
    </row>
    <row r="2875" ht="12.75" customHeight="1">
      <c r="A2875" s="6" t="s">
        <v>8919</v>
      </c>
      <c r="B2875" s="6" t="s">
        <v>8920</v>
      </c>
    </row>
    <row r="2876" ht="12.75" customHeight="1">
      <c r="A2876" s="6" t="s">
        <v>8921</v>
      </c>
      <c r="B2876" s="6" t="s">
        <v>8922</v>
      </c>
    </row>
    <row r="2877" ht="12.75" customHeight="1">
      <c r="A2877" s="6" t="s">
        <v>8923</v>
      </c>
      <c r="B2877" s="6" t="s">
        <v>8924</v>
      </c>
    </row>
    <row r="2878" ht="12.75" customHeight="1">
      <c r="A2878" s="6" t="s">
        <v>8925</v>
      </c>
      <c r="B2878" s="6" t="s">
        <v>8926</v>
      </c>
    </row>
    <row r="2879" ht="12.75" customHeight="1">
      <c r="A2879" s="6" t="s">
        <v>8927</v>
      </c>
      <c r="B2879" s="6" t="s">
        <v>8928</v>
      </c>
    </row>
    <row r="2880" ht="12.75" customHeight="1">
      <c r="A2880" s="6" t="s">
        <v>8929</v>
      </c>
      <c r="B2880" s="6" t="s">
        <v>8930</v>
      </c>
    </row>
    <row r="2881" ht="12.75" customHeight="1">
      <c r="A2881" s="6" t="s">
        <v>8931</v>
      </c>
      <c r="B2881" s="6" t="s">
        <v>8932</v>
      </c>
    </row>
    <row r="2882" ht="12.75" customHeight="1">
      <c r="A2882" s="6" t="s">
        <v>8933</v>
      </c>
      <c r="B2882" s="6" t="s">
        <v>8934</v>
      </c>
    </row>
    <row r="2883" ht="12.75" customHeight="1">
      <c r="A2883" s="6" t="s">
        <v>8935</v>
      </c>
      <c r="B2883" s="6" t="s">
        <v>8936</v>
      </c>
    </row>
    <row r="2884" ht="12.75" customHeight="1">
      <c r="A2884" s="6" t="s">
        <v>8937</v>
      </c>
      <c r="B2884" s="6" t="s">
        <v>8938</v>
      </c>
    </row>
    <row r="2885" ht="12.75" customHeight="1">
      <c r="A2885" s="6" t="s">
        <v>8939</v>
      </c>
      <c r="B2885" s="6" t="s">
        <v>8940</v>
      </c>
    </row>
    <row r="2886" ht="12.75" customHeight="1">
      <c r="A2886" s="6" t="s">
        <v>8941</v>
      </c>
      <c r="B2886" s="6" t="s">
        <v>8942</v>
      </c>
    </row>
    <row r="2887" ht="12.75" customHeight="1">
      <c r="A2887" s="6" t="s">
        <v>8943</v>
      </c>
      <c r="B2887" s="6" t="s">
        <v>8944</v>
      </c>
    </row>
    <row r="2888" ht="12.75" customHeight="1">
      <c r="A2888" s="6" t="s">
        <v>8945</v>
      </c>
      <c r="B2888" s="6" t="s">
        <v>8946</v>
      </c>
    </row>
    <row r="2889" ht="12.75" customHeight="1">
      <c r="A2889" s="6" t="s">
        <v>8947</v>
      </c>
      <c r="B2889" s="6" t="s">
        <v>8948</v>
      </c>
    </row>
    <row r="2890" ht="12.75" customHeight="1">
      <c r="A2890" s="6" t="s">
        <v>8949</v>
      </c>
      <c r="B2890" s="6" t="s">
        <v>8950</v>
      </c>
    </row>
    <row r="2891" ht="12.75" customHeight="1">
      <c r="A2891" s="6" t="s">
        <v>8951</v>
      </c>
      <c r="B2891" s="6" t="s">
        <v>605</v>
      </c>
    </row>
    <row r="2892" ht="12.75" customHeight="1">
      <c r="A2892" s="6" t="s">
        <v>8952</v>
      </c>
      <c r="B2892" s="6" t="s">
        <v>2426</v>
      </c>
    </row>
    <row r="2893" ht="12.75" customHeight="1">
      <c r="A2893" s="6" t="s">
        <v>8953</v>
      </c>
      <c r="B2893" s="6" t="s">
        <v>8954</v>
      </c>
    </row>
    <row r="2894" ht="12.75" customHeight="1">
      <c r="A2894" s="6" t="s">
        <v>8955</v>
      </c>
      <c r="B2894" s="6" t="s">
        <v>8956</v>
      </c>
    </row>
    <row r="2895" ht="12.75" customHeight="1">
      <c r="A2895" s="6" t="s">
        <v>8957</v>
      </c>
      <c r="B2895" s="6" t="s">
        <v>8958</v>
      </c>
    </row>
    <row r="2896" ht="12.75" customHeight="1">
      <c r="A2896" s="6" t="s">
        <v>8959</v>
      </c>
      <c r="B2896" s="6" t="s">
        <v>8960</v>
      </c>
    </row>
    <row r="2897" ht="12.75" customHeight="1">
      <c r="A2897" s="6" t="s">
        <v>8961</v>
      </c>
      <c r="B2897" s="6" t="s">
        <v>8962</v>
      </c>
    </row>
    <row r="2898" ht="12.75" customHeight="1">
      <c r="A2898" s="6" t="s">
        <v>8963</v>
      </c>
      <c r="B2898" s="6" t="s">
        <v>8964</v>
      </c>
    </row>
    <row r="2899" ht="12.75" customHeight="1">
      <c r="A2899" s="6" t="s">
        <v>8965</v>
      </c>
    </row>
    <row r="2900" ht="12.75" customHeight="1">
      <c r="A2900" s="6" t="s">
        <v>8966</v>
      </c>
      <c r="B2900" s="6" t="s">
        <v>8967</v>
      </c>
    </row>
    <row r="2901" ht="12.75" customHeight="1">
      <c r="A2901" s="6" t="s">
        <v>8968</v>
      </c>
      <c r="B2901" s="6" t="s">
        <v>8969</v>
      </c>
    </row>
    <row r="2902" ht="12.75" customHeight="1">
      <c r="A2902" s="6" t="s">
        <v>8970</v>
      </c>
      <c r="B2902" s="6" t="s">
        <v>8971</v>
      </c>
    </row>
    <row r="2903" ht="12.75" customHeight="1">
      <c r="A2903" s="6" t="s">
        <v>8972</v>
      </c>
      <c r="B2903" s="6" t="s">
        <v>8973</v>
      </c>
    </row>
    <row r="2904" ht="12.75" customHeight="1">
      <c r="A2904" s="6" t="s">
        <v>8974</v>
      </c>
    </row>
    <row r="2905" ht="12.75" customHeight="1">
      <c r="A2905" s="6" t="s">
        <v>8975</v>
      </c>
      <c r="B2905" s="6" t="s">
        <v>8976</v>
      </c>
    </row>
    <row r="2906" ht="12.75" customHeight="1">
      <c r="A2906" s="6" t="s">
        <v>8977</v>
      </c>
      <c r="B2906" s="6" t="s">
        <v>1504</v>
      </c>
    </row>
    <row r="2907" ht="12.75" customHeight="1">
      <c r="A2907" s="6" t="s">
        <v>8978</v>
      </c>
      <c r="B2907" s="6" t="s">
        <v>232</v>
      </c>
    </row>
    <row r="2908" ht="12.75" customHeight="1">
      <c r="A2908" s="6" t="s">
        <v>8979</v>
      </c>
      <c r="B2908" s="6" t="s">
        <v>8980</v>
      </c>
    </row>
    <row r="2909" ht="12.75" customHeight="1">
      <c r="A2909" s="6" t="s">
        <v>8981</v>
      </c>
      <c r="B2909" s="6" t="s">
        <v>3187</v>
      </c>
    </row>
    <row r="2910" ht="12.75" customHeight="1">
      <c r="A2910" s="6" t="s">
        <v>8982</v>
      </c>
      <c r="B2910" s="6" t="s">
        <v>602</v>
      </c>
    </row>
    <row r="2911" ht="12.75" customHeight="1">
      <c r="A2911" s="6" t="s">
        <v>8983</v>
      </c>
      <c r="B2911" s="6" t="s">
        <v>8984</v>
      </c>
    </row>
    <row r="2912" ht="12.75" customHeight="1">
      <c r="A2912" s="6" t="s">
        <v>8985</v>
      </c>
      <c r="B2912" s="6" t="s">
        <v>8986</v>
      </c>
    </row>
    <row r="2913" ht="12.75" customHeight="1">
      <c r="A2913" s="6" t="s">
        <v>8987</v>
      </c>
      <c r="B2913" s="6" t="s">
        <v>8988</v>
      </c>
    </row>
    <row r="2914" ht="12.75" customHeight="1">
      <c r="A2914" s="6" t="s">
        <v>8989</v>
      </c>
      <c r="B2914" s="6" t="s">
        <v>8990</v>
      </c>
    </row>
    <row r="2915" ht="12.75" customHeight="1">
      <c r="A2915" s="6" t="s">
        <v>8991</v>
      </c>
      <c r="B2915" s="6" t="s">
        <v>8992</v>
      </c>
    </row>
    <row r="2916" ht="12.75" customHeight="1">
      <c r="A2916" s="6" t="s">
        <v>8993</v>
      </c>
    </row>
    <row r="2917" ht="12.75" customHeight="1">
      <c r="A2917" s="6" t="s">
        <v>8994</v>
      </c>
      <c r="B2917" s="6" t="s">
        <v>8995</v>
      </c>
    </row>
    <row r="2918" ht="12.75" customHeight="1">
      <c r="A2918" s="6" t="s">
        <v>8996</v>
      </c>
    </row>
    <row r="2919" ht="12.75" customHeight="1">
      <c r="A2919" s="6" t="s">
        <v>8997</v>
      </c>
    </row>
    <row r="2920" ht="12.75" customHeight="1">
      <c r="A2920" s="6" t="s">
        <v>8998</v>
      </c>
    </row>
    <row r="2921" ht="12.75" customHeight="1">
      <c r="A2921" s="6" t="s">
        <v>8999</v>
      </c>
      <c r="B2921" s="6" t="s">
        <v>198</v>
      </c>
    </row>
    <row r="2922" ht="12.75" customHeight="1">
      <c r="A2922" s="6" t="s">
        <v>9000</v>
      </c>
      <c r="B2922" s="6" t="s">
        <v>9001</v>
      </c>
    </row>
    <row r="2923" ht="12.75" customHeight="1">
      <c r="A2923" s="6" t="s">
        <v>9002</v>
      </c>
      <c r="B2923" s="6" t="s">
        <v>9003</v>
      </c>
    </row>
    <row r="2924" ht="12.75" customHeight="1">
      <c r="A2924" s="6" t="s">
        <v>9004</v>
      </c>
      <c r="B2924" s="6" t="s">
        <v>2217</v>
      </c>
    </row>
    <row r="2925" ht="12.75" customHeight="1">
      <c r="A2925" s="6" t="s">
        <v>9005</v>
      </c>
      <c r="B2925" s="6" t="s">
        <v>9006</v>
      </c>
    </row>
    <row r="2926" ht="12.75" customHeight="1">
      <c r="A2926" s="6" t="s">
        <v>9007</v>
      </c>
      <c r="B2926" s="6" t="s">
        <v>9008</v>
      </c>
    </row>
    <row r="2927" ht="12.75" customHeight="1">
      <c r="A2927" s="6" t="s">
        <v>9009</v>
      </c>
      <c r="B2927" s="6" t="s">
        <v>9010</v>
      </c>
    </row>
    <row r="2928" ht="12.75" customHeight="1">
      <c r="A2928" s="6" t="s">
        <v>9011</v>
      </c>
      <c r="B2928" s="6" t="s">
        <v>9012</v>
      </c>
    </row>
    <row r="2929" ht="12.75" customHeight="1">
      <c r="A2929" s="6" t="s">
        <v>9013</v>
      </c>
      <c r="B2929" s="6" t="s">
        <v>9014</v>
      </c>
    </row>
    <row r="2930" ht="12.75" customHeight="1">
      <c r="A2930" s="6" t="s">
        <v>9015</v>
      </c>
      <c r="B2930" s="6" t="s">
        <v>9016</v>
      </c>
    </row>
    <row r="2931" ht="12.75" customHeight="1">
      <c r="A2931" s="6" t="s">
        <v>9017</v>
      </c>
      <c r="B2931" s="6" t="s">
        <v>498</v>
      </c>
    </row>
    <row r="2932" ht="12.75" customHeight="1">
      <c r="A2932" s="6" t="s">
        <v>9018</v>
      </c>
      <c r="B2932" s="6" t="s">
        <v>9019</v>
      </c>
    </row>
    <row r="2933" ht="12.75" customHeight="1">
      <c r="A2933" s="6" t="s">
        <v>9020</v>
      </c>
      <c r="B2933" s="6" t="s">
        <v>9021</v>
      </c>
    </row>
    <row r="2934" ht="12.75" customHeight="1">
      <c r="A2934" s="6" t="s">
        <v>9022</v>
      </c>
      <c r="B2934" s="6" t="s">
        <v>3387</v>
      </c>
    </row>
    <row r="2935" ht="12.75" customHeight="1">
      <c r="A2935" s="6" t="s">
        <v>9023</v>
      </c>
      <c r="B2935" s="6" t="s">
        <v>9024</v>
      </c>
    </row>
    <row r="2936" ht="12.75" customHeight="1">
      <c r="A2936" s="6" t="s">
        <v>9025</v>
      </c>
      <c r="B2936" s="6" t="s">
        <v>9026</v>
      </c>
    </row>
    <row r="2937" ht="12.75" customHeight="1">
      <c r="A2937" s="6" t="s">
        <v>9027</v>
      </c>
      <c r="B2937" s="6" t="s">
        <v>9028</v>
      </c>
    </row>
    <row r="2938" ht="12.75" customHeight="1">
      <c r="A2938" s="6" t="s">
        <v>9029</v>
      </c>
      <c r="B2938" s="6" t="s">
        <v>9030</v>
      </c>
    </row>
    <row r="2939" ht="12.75" customHeight="1">
      <c r="A2939" s="6" t="s">
        <v>9031</v>
      </c>
      <c r="B2939" s="6" t="s">
        <v>9032</v>
      </c>
    </row>
    <row r="2940" ht="12.75" customHeight="1">
      <c r="A2940" s="6" t="s">
        <v>9033</v>
      </c>
      <c r="B2940" s="6" t="s">
        <v>9034</v>
      </c>
    </row>
    <row r="2941" ht="12.75" customHeight="1">
      <c r="A2941" s="6" t="s">
        <v>9035</v>
      </c>
      <c r="B2941" s="6" t="s">
        <v>9036</v>
      </c>
    </row>
    <row r="2942" ht="12.75" customHeight="1">
      <c r="A2942" s="6" t="s">
        <v>9037</v>
      </c>
      <c r="B2942" s="6" t="s">
        <v>9038</v>
      </c>
    </row>
    <row r="2943" ht="12.75" customHeight="1">
      <c r="A2943" s="6" t="s">
        <v>9039</v>
      </c>
      <c r="B2943" s="6" t="s">
        <v>9040</v>
      </c>
    </row>
    <row r="2944" ht="12.75" customHeight="1">
      <c r="A2944" s="6" t="s">
        <v>9041</v>
      </c>
      <c r="B2944" s="6" t="s">
        <v>9042</v>
      </c>
    </row>
    <row r="2945" ht="12.75" customHeight="1">
      <c r="A2945" s="6" t="s">
        <v>9043</v>
      </c>
      <c r="B2945" s="6" t="s">
        <v>9044</v>
      </c>
    </row>
    <row r="2946" ht="12.75" customHeight="1">
      <c r="A2946" s="6" t="s">
        <v>9045</v>
      </c>
      <c r="B2946" s="6" t="s">
        <v>9046</v>
      </c>
    </row>
    <row r="2947" ht="12.75" customHeight="1">
      <c r="A2947" s="6" t="s">
        <v>9047</v>
      </c>
      <c r="B2947" s="6" t="s">
        <v>9048</v>
      </c>
    </row>
    <row r="2948" ht="12.75" customHeight="1">
      <c r="A2948" s="6" t="s">
        <v>9049</v>
      </c>
      <c r="B2948" s="6" t="s">
        <v>1556</v>
      </c>
    </row>
    <row r="2949" ht="12.75" customHeight="1">
      <c r="A2949" s="6" t="s">
        <v>9050</v>
      </c>
      <c r="B2949" s="6" t="s">
        <v>9051</v>
      </c>
    </row>
    <row r="2950" ht="12.75" customHeight="1">
      <c r="A2950" s="6" t="s">
        <v>9052</v>
      </c>
      <c r="B2950" s="6" t="s">
        <v>9053</v>
      </c>
    </row>
    <row r="2951" ht="12.75" customHeight="1">
      <c r="A2951" s="6" t="s">
        <v>9054</v>
      </c>
      <c r="B2951" s="6" t="s">
        <v>9055</v>
      </c>
    </row>
    <row r="2952" ht="12.75" customHeight="1">
      <c r="A2952" s="6" t="s">
        <v>9056</v>
      </c>
      <c r="B2952" s="6" t="s">
        <v>9057</v>
      </c>
    </row>
    <row r="2953" ht="12.75" customHeight="1">
      <c r="A2953" s="6" t="s">
        <v>9058</v>
      </c>
      <c r="B2953" s="6" t="s">
        <v>2542</v>
      </c>
    </row>
    <row r="2954" ht="12.75" customHeight="1">
      <c r="A2954" s="6" t="s">
        <v>9059</v>
      </c>
      <c r="B2954" s="6" t="s">
        <v>9060</v>
      </c>
    </row>
    <row r="2955" ht="12.75" customHeight="1">
      <c r="A2955" s="6" t="s">
        <v>9061</v>
      </c>
    </row>
    <row r="2956" ht="12.75" customHeight="1">
      <c r="A2956" s="6" t="s">
        <v>9062</v>
      </c>
      <c r="B2956" s="6" t="s">
        <v>560</v>
      </c>
    </row>
    <row r="2957" ht="12.75" customHeight="1">
      <c r="A2957" s="6" t="s">
        <v>9063</v>
      </c>
    </row>
    <row r="2958" ht="12.75" customHeight="1">
      <c r="A2958" s="6" t="s">
        <v>9064</v>
      </c>
      <c r="B2958" s="6" t="s">
        <v>9065</v>
      </c>
    </row>
    <row r="2959" ht="12.75" customHeight="1">
      <c r="A2959" s="6" t="s">
        <v>9066</v>
      </c>
      <c r="B2959" s="6" t="s">
        <v>138</v>
      </c>
    </row>
    <row r="2960" ht="12.75" customHeight="1">
      <c r="A2960" s="6" t="s">
        <v>9067</v>
      </c>
      <c r="B2960" s="6" t="s">
        <v>9068</v>
      </c>
    </row>
    <row r="2961" ht="12.75" customHeight="1">
      <c r="A2961" s="6" t="s">
        <v>9069</v>
      </c>
      <c r="B2961" s="6" t="s">
        <v>9070</v>
      </c>
    </row>
    <row r="2962" ht="12.75" customHeight="1">
      <c r="A2962" s="6" t="s">
        <v>9071</v>
      </c>
      <c r="B2962" s="6" t="s">
        <v>9072</v>
      </c>
    </row>
    <row r="2963" ht="12.75" customHeight="1">
      <c r="A2963" s="6" t="s">
        <v>9073</v>
      </c>
      <c r="B2963" s="6" t="s">
        <v>9074</v>
      </c>
    </row>
    <row r="2964" ht="12.75" customHeight="1">
      <c r="A2964" s="6" t="s">
        <v>9075</v>
      </c>
      <c r="B2964" s="6" t="s">
        <v>9076</v>
      </c>
    </row>
    <row r="2965" ht="12.75" customHeight="1">
      <c r="A2965" s="6" t="s">
        <v>9077</v>
      </c>
      <c r="B2965" s="6" t="s">
        <v>1658</v>
      </c>
    </row>
    <row r="2966" ht="12.75" customHeight="1">
      <c r="A2966" s="6" t="s">
        <v>9078</v>
      </c>
      <c r="B2966" s="6" t="s">
        <v>9079</v>
      </c>
    </row>
    <row r="2967" ht="12.75" customHeight="1">
      <c r="A2967" s="6" t="s">
        <v>9080</v>
      </c>
      <c r="B2967" s="6" t="s">
        <v>474</v>
      </c>
    </row>
    <row r="2968" ht="12.75" customHeight="1">
      <c r="A2968" s="6" t="s">
        <v>9081</v>
      </c>
      <c r="B2968" s="6" t="s">
        <v>9082</v>
      </c>
    </row>
    <row r="2969" ht="12.75" customHeight="1">
      <c r="A2969" s="6" t="s">
        <v>9083</v>
      </c>
      <c r="B2969" s="6" t="s">
        <v>9084</v>
      </c>
    </row>
    <row r="2970" ht="12.75" customHeight="1">
      <c r="A2970" s="6" t="s">
        <v>9085</v>
      </c>
      <c r="B2970" s="6" t="s">
        <v>9086</v>
      </c>
    </row>
    <row r="2971" ht="12.75" customHeight="1">
      <c r="A2971" s="6" t="s">
        <v>9087</v>
      </c>
      <c r="B2971" s="6" t="s">
        <v>9088</v>
      </c>
    </row>
    <row r="2972" ht="12.75" customHeight="1">
      <c r="A2972" s="6" t="s">
        <v>9089</v>
      </c>
      <c r="B2972" s="6" t="s">
        <v>280</v>
      </c>
    </row>
    <row r="2973" ht="12.75" customHeight="1">
      <c r="A2973" s="6" t="s">
        <v>9090</v>
      </c>
      <c r="B2973" s="6" t="s">
        <v>9091</v>
      </c>
    </row>
    <row r="2974" ht="12.75" customHeight="1">
      <c r="A2974" s="6" t="s">
        <v>9092</v>
      </c>
      <c r="B2974" s="6" t="s">
        <v>9093</v>
      </c>
    </row>
    <row r="2975" ht="12.75" customHeight="1">
      <c r="A2975" s="6" t="s">
        <v>9094</v>
      </c>
      <c r="B2975" s="6" t="s">
        <v>9095</v>
      </c>
    </row>
    <row r="2976" ht="12.75" customHeight="1">
      <c r="A2976" s="6" t="s">
        <v>9096</v>
      </c>
      <c r="B2976" s="6" t="s">
        <v>9097</v>
      </c>
    </row>
    <row r="2977" ht="12.75" customHeight="1">
      <c r="A2977" s="6" t="s">
        <v>9098</v>
      </c>
      <c r="B2977" s="6" t="s">
        <v>9099</v>
      </c>
    </row>
    <row r="2978" ht="12.75" customHeight="1">
      <c r="A2978" s="6" t="s">
        <v>9100</v>
      </c>
      <c r="B2978" s="6" t="s">
        <v>9101</v>
      </c>
    </row>
    <row r="2979" ht="12.75" customHeight="1">
      <c r="A2979" s="6" t="s">
        <v>9102</v>
      </c>
      <c r="B2979" s="6" t="s">
        <v>9103</v>
      </c>
    </row>
    <row r="2980" ht="12.75" customHeight="1">
      <c r="A2980" s="6" t="s">
        <v>9104</v>
      </c>
      <c r="B2980" s="6" t="s">
        <v>9105</v>
      </c>
    </row>
    <row r="2981" ht="12.75" customHeight="1">
      <c r="A2981" s="6" t="s">
        <v>9106</v>
      </c>
      <c r="B2981" s="6" t="s">
        <v>9107</v>
      </c>
    </row>
    <row r="2982" ht="12.75" customHeight="1">
      <c r="A2982" s="6" t="s">
        <v>9108</v>
      </c>
      <c r="B2982" s="6" t="s">
        <v>9109</v>
      </c>
    </row>
    <row r="2983" ht="12.75" customHeight="1">
      <c r="A2983" s="6" t="s">
        <v>9110</v>
      </c>
      <c r="B2983" s="6" t="s">
        <v>9111</v>
      </c>
    </row>
    <row r="2984" ht="12.75" customHeight="1">
      <c r="A2984" s="6" t="s">
        <v>9112</v>
      </c>
      <c r="B2984" s="6" t="s">
        <v>9113</v>
      </c>
    </row>
    <row r="2985" ht="12.75" customHeight="1">
      <c r="A2985" s="6" t="s">
        <v>9114</v>
      </c>
      <c r="B2985" s="6" t="s">
        <v>9115</v>
      </c>
    </row>
    <row r="2986" ht="12.75" customHeight="1">
      <c r="A2986" s="6" t="s">
        <v>9116</v>
      </c>
      <c r="B2986" s="6" t="s">
        <v>9117</v>
      </c>
    </row>
    <row r="2987" ht="12.75" customHeight="1">
      <c r="A2987" s="6" t="s">
        <v>9118</v>
      </c>
      <c r="B2987" s="6" t="s">
        <v>9119</v>
      </c>
    </row>
    <row r="2988" ht="12.75" customHeight="1">
      <c r="A2988" s="6" t="s">
        <v>9120</v>
      </c>
      <c r="B2988" s="6" t="s">
        <v>9121</v>
      </c>
    </row>
    <row r="2989" ht="12.75" customHeight="1">
      <c r="A2989" s="6" t="s">
        <v>9122</v>
      </c>
      <c r="B2989" s="6" t="s">
        <v>9123</v>
      </c>
    </row>
    <row r="2990" ht="12.75" customHeight="1">
      <c r="A2990" s="6" t="s">
        <v>9124</v>
      </c>
      <c r="B2990" s="6" t="s">
        <v>9125</v>
      </c>
    </row>
    <row r="2991" ht="12.75" customHeight="1">
      <c r="A2991" s="6" t="s">
        <v>9126</v>
      </c>
      <c r="B2991" s="6" t="s">
        <v>1212</v>
      </c>
    </row>
    <row r="2992" ht="12.75" customHeight="1">
      <c r="A2992" s="6" t="s">
        <v>9127</v>
      </c>
      <c r="B2992" s="6" t="s">
        <v>9128</v>
      </c>
    </row>
    <row r="2993" ht="12.75" customHeight="1">
      <c r="A2993" s="6" t="s">
        <v>9129</v>
      </c>
      <c r="B2993" s="6" t="s">
        <v>9130</v>
      </c>
    </row>
    <row r="2994" ht="12.75" customHeight="1">
      <c r="A2994" s="6" t="s">
        <v>9131</v>
      </c>
      <c r="B2994" s="6" t="s">
        <v>3375</v>
      </c>
    </row>
    <row r="2995" ht="12.75" customHeight="1">
      <c r="A2995" s="6" t="s">
        <v>9132</v>
      </c>
      <c r="B2995" s="6" t="s">
        <v>9133</v>
      </c>
    </row>
    <row r="2996" ht="12.75" customHeight="1">
      <c r="A2996" s="6" t="s">
        <v>9134</v>
      </c>
      <c r="B2996" s="6" t="s">
        <v>9135</v>
      </c>
    </row>
    <row r="2997" ht="12.75" customHeight="1">
      <c r="A2997" s="6" t="s">
        <v>9136</v>
      </c>
      <c r="B2997" s="6" t="s">
        <v>1336</v>
      </c>
    </row>
    <row r="2998" ht="12.75" customHeight="1">
      <c r="A2998" s="6" t="s">
        <v>9137</v>
      </c>
      <c r="B2998" s="6" t="s">
        <v>2967</v>
      </c>
    </row>
    <row r="2999" ht="12.75" customHeight="1">
      <c r="A2999" s="6" t="s">
        <v>9138</v>
      </c>
      <c r="B2999" s="6" t="s">
        <v>3400</v>
      </c>
    </row>
    <row r="3000" ht="12.75" customHeight="1">
      <c r="A3000" s="6" t="s">
        <v>9139</v>
      </c>
      <c r="B3000" s="6" t="s">
        <v>3397</v>
      </c>
    </row>
    <row r="3001" ht="12.75" customHeight="1">
      <c r="A3001" s="6" t="s">
        <v>9140</v>
      </c>
      <c r="B3001" s="6" t="s">
        <v>3402</v>
      </c>
    </row>
    <row r="3002" ht="12.75" customHeight="1">
      <c r="A3002" s="6" t="s">
        <v>9141</v>
      </c>
      <c r="B3002" s="6" t="s">
        <v>3401</v>
      </c>
    </row>
    <row r="3003" ht="12.75" customHeight="1">
      <c r="A3003" s="6" t="s">
        <v>9142</v>
      </c>
    </row>
    <row r="3004" ht="12.75" customHeight="1">
      <c r="A3004" s="6" t="s">
        <v>9143</v>
      </c>
      <c r="B3004" s="6" t="s">
        <v>1898</v>
      </c>
    </row>
    <row r="3005" ht="12.75" customHeight="1">
      <c r="A3005" s="6" t="s">
        <v>9144</v>
      </c>
      <c r="B3005" s="6" t="s">
        <v>9145</v>
      </c>
    </row>
    <row r="3006" ht="12.75" customHeight="1">
      <c r="A3006" s="6" t="s">
        <v>9146</v>
      </c>
      <c r="B3006" s="6" t="s">
        <v>9147</v>
      </c>
    </row>
    <row r="3007" ht="12.75" customHeight="1">
      <c r="A3007" s="6" t="s">
        <v>9148</v>
      </c>
      <c r="B3007" s="6" t="s">
        <v>9149</v>
      </c>
    </row>
    <row r="3008" ht="12.75" customHeight="1">
      <c r="A3008" s="6" t="s">
        <v>9150</v>
      </c>
      <c r="B3008" s="6" t="s">
        <v>9151</v>
      </c>
    </row>
    <row r="3009" ht="12.75" customHeight="1">
      <c r="A3009" s="6" t="s">
        <v>9152</v>
      </c>
      <c r="B3009" s="6" t="s">
        <v>1409</v>
      </c>
    </row>
    <row r="3010" ht="12.75" customHeight="1">
      <c r="A3010" s="6" t="s">
        <v>9153</v>
      </c>
      <c r="B3010" s="6" t="s">
        <v>3740</v>
      </c>
    </row>
    <row r="3011" ht="12.75" customHeight="1">
      <c r="A3011" s="6" t="s">
        <v>9154</v>
      </c>
      <c r="B3011" s="6" t="s">
        <v>3335</v>
      </c>
    </row>
    <row r="3012" ht="12.75" customHeight="1">
      <c r="A3012" s="6" t="s">
        <v>9155</v>
      </c>
      <c r="B3012" s="6" t="s">
        <v>1859</v>
      </c>
    </row>
    <row r="3013" ht="12.75" customHeight="1">
      <c r="A3013" s="6" t="s">
        <v>9156</v>
      </c>
      <c r="B3013" s="6" t="s">
        <v>536</v>
      </c>
    </row>
    <row r="3014" ht="12.75" customHeight="1">
      <c r="A3014" s="6" t="s">
        <v>9157</v>
      </c>
      <c r="B3014" s="6" t="s">
        <v>9158</v>
      </c>
    </row>
    <row r="3015" ht="12.75" customHeight="1">
      <c r="A3015" s="6" t="s">
        <v>9159</v>
      </c>
      <c r="B3015" s="6" t="s">
        <v>9160</v>
      </c>
    </row>
    <row r="3016" ht="12.75" customHeight="1">
      <c r="A3016" s="6" t="s">
        <v>9161</v>
      </c>
      <c r="B3016" s="6" t="s">
        <v>9162</v>
      </c>
    </row>
    <row r="3017" ht="12.75" customHeight="1">
      <c r="A3017" s="6" t="s">
        <v>9163</v>
      </c>
      <c r="B3017" s="6" t="s">
        <v>2400</v>
      </c>
    </row>
    <row r="3018" ht="12.75" customHeight="1">
      <c r="A3018" s="6" t="s">
        <v>9164</v>
      </c>
      <c r="B3018" s="6" t="s">
        <v>9165</v>
      </c>
    </row>
    <row r="3019" ht="12.75" customHeight="1">
      <c r="A3019" s="6" t="s">
        <v>9166</v>
      </c>
      <c r="B3019" s="6" t="s">
        <v>9167</v>
      </c>
    </row>
    <row r="3020" ht="12.75" customHeight="1">
      <c r="A3020" s="6" t="s">
        <v>9168</v>
      </c>
      <c r="B3020" s="6" t="s">
        <v>9169</v>
      </c>
    </row>
    <row r="3021" ht="12.75" customHeight="1">
      <c r="A3021" s="6" t="s">
        <v>9170</v>
      </c>
      <c r="B3021" s="6" t="s">
        <v>9171</v>
      </c>
    </row>
    <row r="3022" ht="12.75" customHeight="1">
      <c r="A3022" s="6" t="s">
        <v>9172</v>
      </c>
      <c r="B3022" s="6" t="s">
        <v>9173</v>
      </c>
    </row>
    <row r="3023" ht="12.75" customHeight="1">
      <c r="A3023" s="6" t="s">
        <v>9174</v>
      </c>
      <c r="B3023" s="6" t="s">
        <v>9175</v>
      </c>
    </row>
    <row r="3024" ht="12.75" customHeight="1">
      <c r="A3024" s="6" t="s">
        <v>9176</v>
      </c>
      <c r="B3024" s="6" t="s">
        <v>9177</v>
      </c>
    </row>
    <row r="3025" ht="12.75" customHeight="1">
      <c r="A3025" s="6" t="s">
        <v>9178</v>
      </c>
      <c r="B3025" s="6" t="s">
        <v>9179</v>
      </c>
    </row>
    <row r="3026" ht="12.75" customHeight="1">
      <c r="A3026" s="6" t="s">
        <v>9180</v>
      </c>
      <c r="B3026" s="6" t="s">
        <v>9181</v>
      </c>
    </row>
    <row r="3027" ht="12.75" customHeight="1">
      <c r="A3027" s="6" t="s">
        <v>9182</v>
      </c>
      <c r="B3027" s="6" t="s">
        <v>880</v>
      </c>
    </row>
    <row r="3028" ht="12.75" customHeight="1">
      <c r="A3028" s="6" t="s">
        <v>9183</v>
      </c>
      <c r="B3028" s="6" t="s">
        <v>2318</v>
      </c>
    </row>
    <row r="3029" ht="12.75" customHeight="1">
      <c r="A3029" s="6" t="s">
        <v>9184</v>
      </c>
      <c r="B3029" s="6" t="s">
        <v>9185</v>
      </c>
    </row>
    <row r="3030" ht="12.75" customHeight="1">
      <c r="A3030" s="6" t="s">
        <v>9186</v>
      </c>
      <c r="B3030" s="6" t="s">
        <v>9187</v>
      </c>
    </row>
    <row r="3031" ht="12.75" customHeight="1">
      <c r="A3031" s="6" t="s">
        <v>9188</v>
      </c>
      <c r="B3031" s="6" t="s">
        <v>9189</v>
      </c>
    </row>
    <row r="3032" ht="12.75" customHeight="1">
      <c r="A3032" s="6" t="s">
        <v>9190</v>
      </c>
      <c r="B3032" s="6" t="s">
        <v>9191</v>
      </c>
    </row>
    <row r="3033" ht="12.75" customHeight="1">
      <c r="A3033" s="6" t="s">
        <v>9192</v>
      </c>
      <c r="B3033" s="6" t="s">
        <v>2659</v>
      </c>
    </row>
    <row r="3034" ht="12.75" customHeight="1">
      <c r="A3034" s="6" t="s">
        <v>9193</v>
      </c>
      <c r="B3034" s="6" t="s">
        <v>9194</v>
      </c>
    </row>
    <row r="3035" ht="12.75" customHeight="1">
      <c r="A3035" s="6" t="s">
        <v>9195</v>
      </c>
      <c r="B3035" s="6" t="s">
        <v>9196</v>
      </c>
    </row>
    <row r="3036" ht="12.75" customHeight="1">
      <c r="A3036" s="6" t="s">
        <v>9197</v>
      </c>
      <c r="B3036" s="6" t="s">
        <v>9198</v>
      </c>
    </row>
    <row r="3037" ht="12.75" customHeight="1">
      <c r="A3037" s="6" t="s">
        <v>9199</v>
      </c>
      <c r="B3037" s="6" t="s">
        <v>9200</v>
      </c>
    </row>
    <row r="3038" ht="12.75" customHeight="1">
      <c r="A3038" s="6" t="s">
        <v>9201</v>
      </c>
      <c r="B3038" s="6" t="s">
        <v>2972</v>
      </c>
    </row>
    <row r="3039" ht="12.75" customHeight="1">
      <c r="A3039" s="6" t="s">
        <v>9202</v>
      </c>
      <c r="B3039" s="6" t="s">
        <v>9203</v>
      </c>
    </row>
    <row r="3040" ht="12.75" customHeight="1">
      <c r="A3040" s="6" t="s">
        <v>9204</v>
      </c>
      <c r="B3040" s="6" t="s">
        <v>9205</v>
      </c>
    </row>
    <row r="3041" ht="12.75" customHeight="1">
      <c r="A3041" s="6" t="s">
        <v>9206</v>
      </c>
      <c r="B3041" s="6" t="s">
        <v>9207</v>
      </c>
    </row>
    <row r="3042" ht="12.75" customHeight="1">
      <c r="A3042" s="6" t="s">
        <v>9208</v>
      </c>
      <c r="B3042" s="6" t="s">
        <v>9209</v>
      </c>
    </row>
    <row r="3043" ht="12.75" customHeight="1">
      <c r="A3043" s="6" t="s">
        <v>9210</v>
      </c>
      <c r="B3043" s="6" t="s">
        <v>9211</v>
      </c>
    </row>
    <row r="3044" ht="12.75" customHeight="1">
      <c r="A3044" s="6" t="s">
        <v>9212</v>
      </c>
      <c r="B3044" s="6" t="s">
        <v>9213</v>
      </c>
    </row>
    <row r="3045" ht="12.75" customHeight="1">
      <c r="A3045" s="6" t="s">
        <v>9214</v>
      </c>
      <c r="B3045" s="6" t="s">
        <v>9215</v>
      </c>
    </row>
    <row r="3046" ht="12.75" customHeight="1">
      <c r="A3046" s="6" t="s">
        <v>9216</v>
      </c>
      <c r="B3046" s="6" t="s">
        <v>9217</v>
      </c>
    </row>
    <row r="3047" ht="12.75" customHeight="1">
      <c r="A3047" s="6" t="s">
        <v>9218</v>
      </c>
      <c r="B3047" s="6" t="s">
        <v>9219</v>
      </c>
    </row>
    <row r="3048" ht="12.75" customHeight="1">
      <c r="A3048" s="6" t="s">
        <v>9220</v>
      </c>
      <c r="B3048" s="6" t="s">
        <v>9221</v>
      </c>
    </row>
    <row r="3049" ht="12.75" customHeight="1">
      <c r="A3049" s="6" t="s">
        <v>9222</v>
      </c>
      <c r="B3049" s="6" t="s">
        <v>9223</v>
      </c>
    </row>
    <row r="3050" ht="12.75" customHeight="1">
      <c r="A3050" s="6" t="s">
        <v>9224</v>
      </c>
      <c r="B3050" s="6" t="s">
        <v>9225</v>
      </c>
    </row>
    <row r="3051" ht="12.75" customHeight="1">
      <c r="A3051" s="6" t="s">
        <v>9226</v>
      </c>
      <c r="B3051" s="6" t="s">
        <v>9227</v>
      </c>
    </row>
    <row r="3052" ht="12.75" customHeight="1">
      <c r="A3052" s="6" t="s">
        <v>9228</v>
      </c>
      <c r="B3052" s="6" t="s">
        <v>9229</v>
      </c>
    </row>
    <row r="3053" ht="12.75" customHeight="1">
      <c r="A3053" s="6" t="s">
        <v>9230</v>
      </c>
      <c r="B3053" s="6" t="s">
        <v>9231</v>
      </c>
    </row>
    <row r="3054" ht="12.75" customHeight="1">
      <c r="A3054" s="6" t="s">
        <v>9232</v>
      </c>
      <c r="B3054" s="6" t="s">
        <v>9233</v>
      </c>
    </row>
    <row r="3055" ht="12.75" customHeight="1">
      <c r="A3055" s="6" t="s">
        <v>9234</v>
      </c>
      <c r="B3055" s="6" t="s">
        <v>9235</v>
      </c>
    </row>
    <row r="3056" ht="12.75" customHeight="1">
      <c r="A3056" s="6" t="s">
        <v>9236</v>
      </c>
      <c r="B3056" s="6" t="s">
        <v>9237</v>
      </c>
    </row>
    <row r="3057" ht="12.75" customHeight="1">
      <c r="A3057" s="6" t="s">
        <v>9238</v>
      </c>
      <c r="B3057" s="6" t="s">
        <v>9239</v>
      </c>
    </row>
    <row r="3058" ht="12.75" customHeight="1">
      <c r="A3058" s="6" t="s">
        <v>9240</v>
      </c>
      <c r="B3058" s="6" t="s">
        <v>9241</v>
      </c>
    </row>
    <row r="3059" ht="12.75" customHeight="1">
      <c r="A3059" s="6" t="s">
        <v>9242</v>
      </c>
      <c r="B3059" s="6" t="s">
        <v>9243</v>
      </c>
    </row>
    <row r="3060" ht="12.75" customHeight="1">
      <c r="A3060" s="6" t="s">
        <v>9244</v>
      </c>
      <c r="B3060" s="6" t="s">
        <v>9245</v>
      </c>
    </row>
    <row r="3061" ht="12.75" customHeight="1">
      <c r="A3061" s="6" t="s">
        <v>9246</v>
      </c>
      <c r="B3061" s="6" t="s">
        <v>9247</v>
      </c>
    </row>
    <row r="3062" ht="12.75" customHeight="1">
      <c r="A3062" s="6" t="s">
        <v>9248</v>
      </c>
      <c r="B3062" s="6" t="s">
        <v>9249</v>
      </c>
    </row>
    <row r="3063" ht="12.75" customHeight="1">
      <c r="A3063" s="6" t="s">
        <v>9250</v>
      </c>
      <c r="B3063" s="6" t="s">
        <v>9251</v>
      </c>
    </row>
    <row r="3064" ht="12.75" customHeight="1">
      <c r="A3064" s="6" t="s">
        <v>9252</v>
      </c>
      <c r="B3064" s="6" t="s">
        <v>9253</v>
      </c>
    </row>
    <row r="3065" ht="12.75" customHeight="1">
      <c r="A3065" s="6" t="s">
        <v>9254</v>
      </c>
      <c r="B3065" s="6" t="s">
        <v>9255</v>
      </c>
    </row>
    <row r="3066" ht="12.75" customHeight="1">
      <c r="A3066" s="6" t="s">
        <v>9256</v>
      </c>
      <c r="B3066" s="6" t="s">
        <v>9257</v>
      </c>
    </row>
    <row r="3067" ht="12.75" customHeight="1">
      <c r="A3067" s="6" t="s">
        <v>9258</v>
      </c>
      <c r="B3067" s="6" t="s">
        <v>9259</v>
      </c>
    </row>
    <row r="3068" ht="12.75" customHeight="1">
      <c r="A3068" s="6" t="s">
        <v>9260</v>
      </c>
      <c r="B3068" s="6" t="s">
        <v>9261</v>
      </c>
    </row>
    <row r="3069" ht="12.75" customHeight="1">
      <c r="A3069" s="6" t="s">
        <v>9262</v>
      </c>
      <c r="B3069" s="6" t="s">
        <v>9263</v>
      </c>
    </row>
    <row r="3070" ht="12.75" customHeight="1">
      <c r="A3070" s="6" t="s">
        <v>9264</v>
      </c>
      <c r="B3070" s="6" t="s">
        <v>9265</v>
      </c>
    </row>
    <row r="3071" ht="12.75" customHeight="1">
      <c r="A3071" s="6" t="s">
        <v>9266</v>
      </c>
      <c r="B3071" s="6" t="s">
        <v>9267</v>
      </c>
    </row>
    <row r="3072" ht="12.75" customHeight="1">
      <c r="A3072" s="6" t="s">
        <v>9268</v>
      </c>
      <c r="B3072" s="6" t="s">
        <v>9269</v>
      </c>
    </row>
    <row r="3073" ht="12.75" customHeight="1">
      <c r="A3073" s="6" t="s">
        <v>9270</v>
      </c>
      <c r="B3073" s="6" t="s">
        <v>9271</v>
      </c>
    </row>
    <row r="3074" ht="12.75" customHeight="1">
      <c r="A3074" s="6" t="s">
        <v>9272</v>
      </c>
      <c r="B3074" s="6" t="s">
        <v>9273</v>
      </c>
    </row>
    <row r="3075" ht="12.75" customHeight="1">
      <c r="A3075" s="6" t="s">
        <v>9274</v>
      </c>
      <c r="B3075" s="6" t="s">
        <v>9275</v>
      </c>
    </row>
    <row r="3076" ht="12.75" customHeight="1">
      <c r="A3076" s="6" t="s">
        <v>9276</v>
      </c>
      <c r="B3076" s="6" t="s">
        <v>9277</v>
      </c>
    </row>
    <row r="3077" ht="12.75" customHeight="1">
      <c r="A3077" s="6" t="s">
        <v>9278</v>
      </c>
      <c r="B3077" s="6" t="s">
        <v>9279</v>
      </c>
    </row>
    <row r="3078" ht="12.75" customHeight="1">
      <c r="A3078" s="6" t="s">
        <v>9280</v>
      </c>
      <c r="B3078" s="6" t="s">
        <v>9281</v>
      </c>
    </row>
    <row r="3079" ht="12.75" customHeight="1">
      <c r="A3079" s="6" t="s">
        <v>9282</v>
      </c>
      <c r="B3079" s="6" t="s">
        <v>9283</v>
      </c>
    </row>
    <row r="3080" ht="12.75" customHeight="1">
      <c r="A3080" s="6" t="s">
        <v>9284</v>
      </c>
      <c r="B3080" s="6" t="s">
        <v>9285</v>
      </c>
    </row>
    <row r="3081" ht="12.75" customHeight="1">
      <c r="A3081" s="6" t="s">
        <v>9286</v>
      </c>
      <c r="B3081" s="6" t="s">
        <v>9287</v>
      </c>
    </row>
    <row r="3082" ht="12.75" customHeight="1">
      <c r="A3082" s="6" t="s">
        <v>9288</v>
      </c>
      <c r="B3082" s="6" t="s">
        <v>9289</v>
      </c>
    </row>
    <row r="3083" ht="12.75" customHeight="1">
      <c r="A3083" s="6" t="s">
        <v>9290</v>
      </c>
      <c r="B3083" s="6" t="s">
        <v>9291</v>
      </c>
    </row>
    <row r="3084" ht="12.75" customHeight="1">
      <c r="A3084" s="6" t="s">
        <v>9292</v>
      </c>
      <c r="B3084" s="6" t="s">
        <v>9293</v>
      </c>
    </row>
    <row r="3085" ht="12.75" customHeight="1">
      <c r="A3085" s="6" t="s">
        <v>9294</v>
      </c>
      <c r="B3085" s="6" t="s">
        <v>9295</v>
      </c>
    </row>
    <row r="3086" ht="12.75" customHeight="1">
      <c r="A3086" s="6" t="s">
        <v>9296</v>
      </c>
      <c r="B3086" s="6" t="s">
        <v>9297</v>
      </c>
    </row>
    <row r="3087" ht="12.75" customHeight="1">
      <c r="A3087" s="6" t="s">
        <v>9298</v>
      </c>
      <c r="B3087" s="6" t="s">
        <v>9299</v>
      </c>
    </row>
    <row r="3088" ht="12.75" customHeight="1">
      <c r="A3088" s="6" t="s">
        <v>9300</v>
      </c>
      <c r="B3088" s="6" t="s">
        <v>9301</v>
      </c>
    </row>
    <row r="3089" ht="12.75" customHeight="1">
      <c r="A3089" s="6" t="s">
        <v>9302</v>
      </c>
      <c r="B3089" s="6" t="s">
        <v>9303</v>
      </c>
    </row>
    <row r="3090" ht="12.75" customHeight="1">
      <c r="A3090" s="6" t="s">
        <v>9304</v>
      </c>
      <c r="B3090" s="6" t="s">
        <v>9305</v>
      </c>
    </row>
    <row r="3091" ht="12.75" customHeight="1">
      <c r="A3091" s="6" t="s">
        <v>9306</v>
      </c>
      <c r="B3091" s="6" t="s">
        <v>1626</v>
      </c>
    </row>
    <row r="3092" ht="12.75" customHeight="1">
      <c r="A3092" s="6" t="s">
        <v>9307</v>
      </c>
      <c r="B3092" s="6" t="s">
        <v>9308</v>
      </c>
    </row>
    <row r="3093" ht="12.75" customHeight="1">
      <c r="A3093" s="6" t="s">
        <v>9309</v>
      </c>
      <c r="B3093" s="6" t="s">
        <v>9310</v>
      </c>
    </row>
    <row r="3094" ht="12.75" customHeight="1">
      <c r="A3094" s="6" t="s">
        <v>9311</v>
      </c>
      <c r="B3094" s="6" t="s">
        <v>9312</v>
      </c>
    </row>
    <row r="3095" ht="12.75" customHeight="1">
      <c r="A3095" s="6" t="s">
        <v>9313</v>
      </c>
      <c r="B3095" s="6" t="s">
        <v>1851</v>
      </c>
    </row>
    <row r="3096" ht="12.75" customHeight="1">
      <c r="A3096" s="6" t="s">
        <v>9314</v>
      </c>
      <c r="B3096" s="6" t="s">
        <v>2090</v>
      </c>
    </row>
    <row r="3097" ht="12.75" customHeight="1">
      <c r="A3097" s="6" t="s">
        <v>9315</v>
      </c>
      <c r="B3097" s="6" t="s">
        <v>9316</v>
      </c>
    </row>
    <row r="3098" ht="12.75" customHeight="1">
      <c r="A3098" s="6" t="s">
        <v>9317</v>
      </c>
      <c r="B3098" s="6" t="s">
        <v>9318</v>
      </c>
    </row>
    <row r="3099" ht="12.75" customHeight="1">
      <c r="A3099" s="6" t="s">
        <v>9319</v>
      </c>
      <c r="B3099" s="6" t="s">
        <v>9320</v>
      </c>
    </row>
    <row r="3100" ht="12.75" customHeight="1">
      <c r="A3100" s="6" t="s">
        <v>9321</v>
      </c>
      <c r="B3100" s="6" t="s">
        <v>9322</v>
      </c>
    </row>
    <row r="3101" ht="12.75" customHeight="1">
      <c r="A3101" s="6" t="s">
        <v>9323</v>
      </c>
      <c r="B3101" s="6" t="s">
        <v>9324</v>
      </c>
    </row>
    <row r="3102" ht="12.75" customHeight="1">
      <c r="A3102" s="6" t="s">
        <v>9325</v>
      </c>
      <c r="B3102" s="6" t="s">
        <v>9326</v>
      </c>
    </row>
    <row r="3103" ht="12.75" customHeight="1">
      <c r="A3103" s="6" t="s">
        <v>9327</v>
      </c>
      <c r="B3103" s="6" t="s">
        <v>9328</v>
      </c>
    </row>
    <row r="3104" ht="12.75" customHeight="1">
      <c r="A3104" s="6" t="s">
        <v>9329</v>
      </c>
      <c r="B3104" s="6" t="s">
        <v>9330</v>
      </c>
    </row>
    <row r="3105" ht="12.75" customHeight="1">
      <c r="A3105" s="6" t="s">
        <v>9331</v>
      </c>
      <c r="B3105" s="6" t="s">
        <v>9332</v>
      </c>
    </row>
    <row r="3106" ht="12.75" customHeight="1">
      <c r="A3106" s="6" t="s">
        <v>9333</v>
      </c>
      <c r="B3106" s="6" t="s">
        <v>9334</v>
      </c>
    </row>
    <row r="3107" ht="12.75" customHeight="1">
      <c r="A3107" s="6" t="s">
        <v>9335</v>
      </c>
      <c r="B3107" s="6" t="s">
        <v>9336</v>
      </c>
    </row>
    <row r="3108" ht="12.75" customHeight="1">
      <c r="A3108" s="6" t="s">
        <v>9337</v>
      </c>
      <c r="B3108" s="6" t="s">
        <v>9338</v>
      </c>
    </row>
    <row r="3109" ht="12.75" customHeight="1">
      <c r="A3109" s="6" t="s">
        <v>9339</v>
      </c>
      <c r="B3109" s="6" t="s">
        <v>9340</v>
      </c>
    </row>
    <row r="3110" ht="12.75" customHeight="1">
      <c r="A3110" s="6" t="s">
        <v>9341</v>
      </c>
      <c r="B3110" s="6" t="s">
        <v>9342</v>
      </c>
    </row>
    <row r="3111" ht="12.75" customHeight="1">
      <c r="A3111" s="6" t="s">
        <v>9343</v>
      </c>
      <c r="B3111" s="6" t="s">
        <v>9344</v>
      </c>
    </row>
    <row r="3112" ht="12.75" customHeight="1">
      <c r="A3112" s="6" t="s">
        <v>9345</v>
      </c>
      <c r="B3112" s="6" t="s">
        <v>9346</v>
      </c>
    </row>
    <row r="3113" ht="12.75" customHeight="1">
      <c r="A3113" s="6" t="s">
        <v>9347</v>
      </c>
      <c r="B3113" s="6" t="s">
        <v>9348</v>
      </c>
    </row>
    <row r="3114" ht="12.75" customHeight="1">
      <c r="A3114" s="6" t="s">
        <v>9349</v>
      </c>
      <c r="B3114" s="6" t="s">
        <v>9350</v>
      </c>
    </row>
    <row r="3115" ht="12.75" customHeight="1">
      <c r="A3115" s="6" t="s">
        <v>9351</v>
      </c>
      <c r="B3115" s="6" t="s">
        <v>9352</v>
      </c>
    </row>
    <row r="3116" ht="12.75" customHeight="1">
      <c r="A3116" s="6" t="s">
        <v>9353</v>
      </c>
      <c r="B3116" s="6" t="s">
        <v>9354</v>
      </c>
    </row>
    <row r="3117" ht="12.75" customHeight="1">
      <c r="A3117" s="6" t="s">
        <v>9355</v>
      </c>
      <c r="B3117" s="6" t="s">
        <v>9356</v>
      </c>
    </row>
    <row r="3118" ht="12.75" customHeight="1">
      <c r="A3118" s="6" t="s">
        <v>9357</v>
      </c>
      <c r="B3118" s="6" t="s">
        <v>9358</v>
      </c>
    </row>
    <row r="3119" ht="12.75" customHeight="1">
      <c r="A3119" s="6" t="s">
        <v>9359</v>
      </c>
      <c r="B3119" s="6" t="s">
        <v>9360</v>
      </c>
    </row>
    <row r="3120" ht="12.75" customHeight="1">
      <c r="A3120" s="6" t="s">
        <v>9361</v>
      </c>
      <c r="B3120" s="6" t="s">
        <v>9362</v>
      </c>
    </row>
    <row r="3121" ht="12.75" customHeight="1">
      <c r="A3121" s="6" t="s">
        <v>9363</v>
      </c>
      <c r="B3121" s="6" t="s">
        <v>9364</v>
      </c>
    </row>
    <row r="3122" ht="12.75" customHeight="1">
      <c r="A3122" s="6" t="s">
        <v>9365</v>
      </c>
      <c r="B3122" s="6" t="s">
        <v>9366</v>
      </c>
    </row>
    <row r="3123" ht="12.75" customHeight="1">
      <c r="A3123" s="6" t="s">
        <v>9367</v>
      </c>
      <c r="B3123" s="6" t="s">
        <v>9368</v>
      </c>
    </row>
    <row r="3124" ht="12.75" customHeight="1">
      <c r="A3124" s="6" t="s">
        <v>9369</v>
      </c>
      <c r="B3124" s="6" t="s">
        <v>9370</v>
      </c>
    </row>
    <row r="3125" ht="12.75" customHeight="1">
      <c r="A3125" s="6" t="s">
        <v>9371</v>
      </c>
      <c r="B3125" s="6" t="s">
        <v>9372</v>
      </c>
    </row>
    <row r="3126" ht="12.75" customHeight="1">
      <c r="A3126" s="6" t="s">
        <v>9373</v>
      </c>
      <c r="B3126" s="6" t="s">
        <v>9374</v>
      </c>
    </row>
    <row r="3127" ht="12.75" customHeight="1">
      <c r="A3127" s="6" t="s">
        <v>9375</v>
      </c>
      <c r="B3127" s="6" t="s">
        <v>9376</v>
      </c>
    </row>
    <row r="3128" ht="12.75" customHeight="1">
      <c r="A3128" s="6" t="s">
        <v>9377</v>
      </c>
      <c r="B3128" s="6" t="s">
        <v>9378</v>
      </c>
    </row>
    <row r="3129" ht="12.75" customHeight="1">
      <c r="A3129" s="6" t="s">
        <v>9379</v>
      </c>
      <c r="B3129" s="6" t="s">
        <v>9380</v>
      </c>
    </row>
    <row r="3130" ht="12.75" customHeight="1">
      <c r="A3130" s="6" t="s">
        <v>9381</v>
      </c>
      <c r="B3130" s="6" t="s">
        <v>9382</v>
      </c>
    </row>
    <row r="3131" ht="12.75" customHeight="1">
      <c r="A3131" s="6" t="s">
        <v>9383</v>
      </c>
      <c r="B3131" s="6" t="s">
        <v>9384</v>
      </c>
    </row>
    <row r="3132" ht="12.75" customHeight="1">
      <c r="A3132" s="6" t="s">
        <v>9385</v>
      </c>
      <c r="B3132" s="6" t="s">
        <v>9386</v>
      </c>
    </row>
    <row r="3133" ht="12.75" customHeight="1">
      <c r="A3133" s="6" t="s">
        <v>9387</v>
      </c>
      <c r="B3133" s="6" t="s">
        <v>9388</v>
      </c>
    </row>
    <row r="3134" ht="12.75" customHeight="1">
      <c r="A3134" s="6" t="s">
        <v>9389</v>
      </c>
      <c r="B3134" s="6" t="s">
        <v>9390</v>
      </c>
    </row>
    <row r="3135" ht="12.75" customHeight="1">
      <c r="A3135" s="6" t="s">
        <v>9391</v>
      </c>
      <c r="B3135" s="6" t="s">
        <v>9392</v>
      </c>
    </row>
    <row r="3136" ht="12.75" customHeight="1">
      <c r="A3136" s="6" t="s">
        <v>9393</v>
      </c>
      <c r="B3136" s="6" t="s">
        <v>676</v>
      </c>
    </row>
    <row r="3137" ht="12.75" customHeight="1">
      <c r="A3137" s="6" t="s">
        <v>9394</v>
      </c>
      <c r="B3137" s="6" t="s">
        <v>9395</v>
      </c>
    </row>
    <row r="3138" ht="12.75" customHeight="1">
      <c r="A3138" s="6" t="s">
        <v>9396</v>
      </c>
      <c r="B3138" s="6" t="s">
        <v>9397</v>
      </c>
    </row>
    <row r="3139" ht="12.75" customHeight="1">
      <c r="A3139" s="6" t="s">
        <v>9398</v>
      </c>
      <c r="B3139" s="6" t="s">
        <v>9399</v>
      </c>
    </row>
    <row r="3140" ht="12.75" customHeight="1">
      <c r="A3140" s="6" t="s">
        <v>9400</v>
      </c>
      <c r="B3140" s="6" t="s">
        <v>9401</v>
      </c>
    </row>
    <row r="3141" ht="12.75" customHeight="1">
      <c r="A3141" s="6" t="s">
        <v>9402</v>
      </c>
      <c r="B3141" s="6" t="s">
        <v>9403</v>
      </c>
    </row>
    <row r="3142" ht="12.75" customHeight="1">
      <c r="A3142" s="6" t="s">
        <v>9404</v>
      </c>
      <c r="B3142" s="6" t="s">
        <v>9405</v>
      </c>
    </row>
    <row r="3143" ht="12.75" customHeight="1">
      <c r="A3143" s="6" t="s">
        <v>9406</v>
      </c>
      <c r="B3143" s="6" t="s">
        <v>9407</v>
      </c>
    </row>
    <row r="3144" ht="12.75" customHeight="1">
      <c r="A3144" s="6" t="s">
        <v>9408</v>
      </c>
      <c r="B3144" s="6" t="s">
        <v>9409</v>
      </c>
    </row>
    <row r="3145" ht="12.75" customHeight="1">
      <c r="A3145" s="6" t="s">
        <v>9410</v>
      </c>
      <c r="B3145" s="6" t="s">
        <v>9411</v>
      </c>
    </row>
    <row r="3146" ht="12.75" customHeight="1">
      <c r="A3146" s="6" t="s">
        <v>9412</v>
      </c>
      <c r="B3146" s="6" t="s">
        <v>9413</v>
      </c>
    </row>
    <row r="3147" ht="12.75" customHeight="1">
      <c r="A3147" s="6" t="s">
        <v>9414</v>
      </c>
      <c r="B3147" s="6" t="s">
        <v>9415</v>
      </c>
    </row>
    <row r="3148" ht="12.75" customHeight="1">
      <c r="A3148" s="6" t="s">
        <v>9416</v>
      </c>
      <c r="B3148" s="6" t="s">
        <v>9417</v>
      </c>
    </row>
    <row r="3149" ht="12.75" customHeight="1">
      <c r="A3149" s="6" t="s">
        <v>9418</v>
      </c>
      <c r="B3149" s="6" t="s">
        <v>9419</v>
      </c>
    </row>
    <row r="3150" ht="12.75" customHeight="1">
      <c r="A3150" s="6" t="s">
        <v>9420</v>
      </c>
      <c r="B3150" s="6" t="s">
        <v>9421</v>
      </c>
    </row>
    <row r="3151" ht="12.75" customHeight="1">
      <c r="A3151" s="6" t="s">
        <v>9422</v>
      </c>
      <c r="B3151" s="6" t="s">
        <v>9423</v>
      </c>
    </row>
    <row r="3152" ht="12.75" customHeight="1">
      <c r="A3152" s="6" t="s">
        <v>9424</v>
      </c>
      <c r="B3152" s="6" t="s">
        <v>9425</v>
      </c>
    </row>
    <row r="3153" ht="12.75" customHeight="1">
      <c r="A3153" s="6" t="s">
        <v>9426</v>
      </c>
      <c r="B3153" s="6" t="s">
        <v>9427</v>
      </c>
    </row>
    <row r="3154" ht="12.75" customHeight="1">
      <c r="A3154" s="6" t="s">
        <v>9428</v>
      </c>
      <c r="B3154" s="6" t="s">
        <v>9429</v>
      </c>
    </row>
    <row r="3155" ht="12.75" customHeight="1">
      <c r="A3155" s="6" t="s">
        <v>9430</v>
      </c>
      <c r="B3155" s="6" t="s">
        <v>9431</v>
      </c>
    </row>
    <row r="3156" ht="12.75" customHeight="1">
      <c r="A3156" s="6" t="s">
        <v>9432</v>
      </c>
      <c r="B3156" s="6" t="s">
        <v>9433</v>
      </c>
    </row>
    <row r="3157" ht="12.75" customHeight="1">
      <c r="A3157" s="6" t="s">
        <v>9434</v>
      </c>
      <c r="B3157" s="6" t="s">
        <v>9435</v>
      </c>
    </row>
    <row r="3158" ht="12.75" customHeight="1">
      <c r="A3158" s="6" t="s">
        <v>9436</v>
      </c>
      <c r="B3158" s="6" t="s">
        <v>9437</v>
      </c>
    </row>
    <row r="3159" ht="12.75" customHeight="1">
      <c r="A3159" s="6" t="s">
        <v>9438</v>
      </c>
      <c r="B3159" s="6" t="s">
        <v>9439</v>
      </c>
    </row>
    <row r="3160" ht="12.75" customHeight="1">
      <c r="A3160" s="6" t="s">
        <v>9440</v>
      </c>
      <c r="B3160" s="6" t="s">
        <v>9441</v>
      </c>
    </row>
    <row r="3161" ht="12.75" customHeight="1">
      <c r="A3161" s="6" t="s">
        <v>9442</v>
      </c>
      <c r="B3161" s="6" t="s">
        <v>2564</v>
      </c>
    </row>
    <row r="3162" ht="12.75" customHeight="1">
      <c r="A3162" s="6" t="s">
        <v>9443</v>
      </c>
      <c r="B3162" s="6" t="s">
        <v>9444</v>
      </c>
    </row>
    <row r="3163" ht="12.75" customHeight="1">
      <c r="A3163" s="6" t="s">
        <v>9445</v>
      </c>
      <c r="B3163" s="6" t="s">
        <v>9446</v>
      </c>
    </row>
    <row r="3164" ht="12.75" customHeight="1">
      <c r="A3164" s="6" t="s">
        <v>9447</v>
      </c>
      <c r="B3164" s="6" t="s">
        <v>9448</v>
      </c>
    </row>
    <row r="3165" ht="12.75" customHeight="1">
      <c r="A3165" s="6" t="s">
        <v>9449</v>
      </c>
      <c r="B3165" s="6" t="s">
        <v>9450</v>
      </c>
    </row>
    <row r="3166" ht="12.75" customHeight="1">
      <c r="A3166" s="6" t="s">
        <v>9451</v>
      </c>
      <c r="B3166" s="6" t="s">
        <v>9452</v>
      </c>
    </row>
    <row r="3167" ht="12.75" customHeight="1">
      <c r="A3167" s="6" t="s">
        <v>9453</v>
      </c>
      <c r="B3167" s="6" t="s">
        <v>9454</v>
      </c>
    </row>
    <row r="3168" ht="12.75" customHeight="1">
      <c r="A3168" s="6" t="s">
        <v>9455</v>
      </c>
      <c r="B3168" s="6" t="s">
        <v>9456</v>
      </c>
    </row>
    <row r="3169" ht="12.75" customHeight="1">
      <c r="A3169" s="6" t="s">
        <v>9457</v>
      </c>
      <c r="B3169" s="6" t="s">
        <v>9458</v>
      </c>
    </row>
    <row r="3170" ht="12.75" customHeight="1">
      <c r="A3170" s="6" t="s">
        <v>9459</v>
      </c>
      <c r="B3170" s="6" t="s">
        <v>9460</v>
      </c>
    </row>
    <row r="3171" ht="12.75" customHeight="1">
      <c r="A3171" s="6" t="s">
        <v>9461</v>
      </c>
      <c r="B3171" s="6" t="s">
        <v>9462</v>
      </c>
    </row>
    <row r="3172" ht="12.75" customHeight="1">
      <c r="A3172" s="6" t="s">
        <v>9463</v>
      </c>
      <c r="B3172" s="6" t="s">
        <v>9464</v>
      </c>
    </row>
    <row r="3173" ht="12.75" customHeight="1">
      <c r="A3173" s="6" t="s">
        <v>9465</v>
      </c>
      <c r="B3173" s="6" t="s">
        <v>9466</v>
      </c>
    </row>
    <row r="3174" ht="12.75" customHeight="1">
      <c r="A3174" s="6" t="s">
        <v>9467</v>
      </c>
      <c r="B3174" s="6" t="s">
        <v>9468</v>
      </c>
    </row>
    <row r="3175" ht="12.75" customHeight="1">
      <c r="A3175" s="6" t="s">
        <v>9469</v>
      </c>
      <c r="B3175" s="6" t="s">
        <v>9470</v>
      </c>
    </row>
    <row r="3176" ht="12.75" customHeight="1">
      <c r="A3176" s="6" t="s">
        <v>9471</v>
      </c>
      <c r="B3176" s="6" t="s">
        <v>9472</v>
      </c>
    </row>
    <row r="3177" ht="12.75" customHeight="1">
      <c r="A3177" s="6" t="s">
        <v>9473</v>
      </c>
      <c r="B3177" s="6" t="s">
        <v>9474</v>
      </c>
    </row>
    <row r="3178" ht="12.75" customHeight="1">
      <c r="A3178" s="6" t="s">
        <v>9475</v>
      </c>
      <c r="B3178" s="6" t="s">
        <v>9476</v>
      </c>
    </row>
    <row r="3179" ht="12.75" customHeight="1">
      <c r="A3179" s="6" t="s">
        <v>9477</v>
      </c>
      <c r="B3179" s="6" t="s">
        <v>9478</v>
      </c>
    </row>
    <row r="3180" ht="12.75" customHeight="1">
      <c r="A3180" s="6" t="s">
        <v>9479</v>
      </c>
      <c r="B3180" s="6" t="s">
        <v>9480</v>
      </c>
    </row>
    <row r="3181" ht="12.75" customHeight="1">
      <c r="A3181" s="6" t="s">
        <v>9481</v>
      </c>
      <c r="B3181" s="6" t="s">
        <v>9482</v>
      </c>
    </row>
    <row r="3182" ht="12.75" customHeight="1">
      <c r="A3182" s="6" t="s">
        <v>9483</v>
      </c>
      <c r="B3182" s="6" t="s">
        <v>9484</v>
      </c>
    </row>
    <row r="3183" ht="12.75" customHeight="1">
      <c r="A3183" s="6" t="s">
        <v>9485</v>
      </c>
      <c r="B3183" s="6" t="s">
        <v>9486</v>
      </c>
    </row>
    <row r="3184" ht="12.75" customHeight="1">
      <c r="A3184" s="6" t="s">
        <v>9487</v>
      </c>
      <c r="B3184" s="6" t="s">
        <v>9488</v>
      </c>
    </row>
    <row r="3185" ht="12.75" customHeight="1">
      <c r="A3185" s="6" t="s">
        <v>9489</v>
      </c>
      <c r="B3185" s="6" t="s">
        <v>9490</v>
      </c>
    </row>
    <row r="3186" ht="12.75" customHeight="1">
      <c r="A3186" s="6" t="s">
        <v>9491</v>
      </c>
      <c r="B3186" s="6" t="s">
        <v>9492</v>
      </c>
    </row>
    <row r="3187" ht="12.75" customHeight="1">
      <c r="A3187" s="6" t="s">
        <v>9493</v>
      </c>
      <c r="B3187" s="6" t="s">
        <v>9494</v>
      </c>
    </row>
    <row r="3188" ht="12.75" customHeight="1">
      <c r="A3188" s="6" t="s">
        <v>9495</v>
      </c>
      <c r="B3188" s="6" t="s">
        <v>9496</v>
      </c>
    </row>
    <row r="3189" ht="12.75" customHeight="1">
      <c r="A3189" s="6" t="s">
        <v>9497</v>
      </c>
      <c r="B3189" s="6" t="s">
        <v>9498</v>
      </c>
    </row>
    <row r="3190" ht="12.75" customHeight="1">
      <c r="A3190" s="6" t="s">
        <v>9499</v>
      </c>
      <c r="B3190" s="6" t="s">
        <v>9500</v>
      </c>
    </row>
    <row r="3191" ht="12.75" customHeight="1">
      <c r="A3191" s="6" t="s">
        <v>9501</v>
      </c>
      <c r="B3191" s="6" t="s">
        <v>9502</v>
      </c>
    </row>
    <row r="3192" ht="12.75" customHeight="1">
      <c r="A3192" s="6" t="s">
        <v>9503</v>
      </c>
      <c r="B3192" s="6" t="s">
        <v>410</v>
      </c>
    </row>
    <row r="3193" ht="12.75" customHeight="1">
      <c r="A3193" s="6" t="s">
        <v>9504</v>
      </c>
      <c r="B3193" s="6" t="s">
        <v>9505</v>
      </c>
    </row>
    <row r="3194" ht="12.75" customHeight="1">
      <c r="A3194" s="6" t="s">
        <v>9506</v>
      </c>
      <c r="B3194" s="6" t="s">
        <v>721</v>
      </c>
    </row>
    <row r="3195" ht="12.75" customHeight="1">
      <c r="A3195" s="6" t="s">
        <v>9507</v>
      </c>
      <c r="B3195" s="6" t="s">
        <v>9508</v>
      </c>
    </row>
    <row r="3196" ht="12.75" customHeight="1">
      <c r="A3196" s="6" t="s">
        <v>9509</v>
      </c>
      <c r="B3196" s="6" t="s">
        <v>9510</v>
      </c>
    </row>
    <row r="3197" ht="12.75" customHeight="1">
      <c r="A3197" s="6" t="s">
        <v>9511</v>
      </c>
      <c r="B3197" s="6" t="s">
        <v>9512</v>
      </c>
    </row>
    <row r="3198" ht="12.75" customHeight="1">
      <c r="A3198" s="6" t="s">
        <v>9513</v>
      </c>
      <c r="B3198" s="6" t="s">
        <v>9514</v>
      </c>
    </row>
    <row r="3199" ht="12.75" customHeight="1">
      <c r="A3199" s="6" t="s">
        <v>9515</v>
      </c>
      <c r="B3199" s="6" t="s">
        <v>9516</v>
      </c>
    </row>
    <row r="3200" ht="12.75" customHeight="1">
      <c r="A3200" s="6" t="s">
        <v>9517</v>
      </c>
      <c r="B3200" s="6" t="s">
        <v>9518</v>
      </c>
    </row>
    <row r="3201" ht="12.75" customHeight="1">
      <c r="A3201" s="6" t="s">
        <v>9519</v>
      </c>
      <c r="B3201" s="6" t="s">
        <v>9520</v>
      </c>
    </row>
    <row r="3202" ht="12.75" customHeight="1">
      <c r="A3202" s="6" t="s">
        <v>9521</v>
      </c>
      <c r="B3202" s="6" t="s">
        <v>9522</v>
      </c>
    </row>
    <row r="3203" ht="12.75" customHeight="1">
      <c r="A3203" s="6" t="s">
        <v>9523</v>
      </c>
      <c r="B3203" s="6" t="s">
        <v>9524</v>
      </c>
    </row>
    <row r="3204" ht="12.75" customHeight="1">
      <c r="A3204" s="6" t="s">
        <v>9525</v>
      </c>
      <c r="B3204" s="6" t="s">
        <v>9526</v>
      </c>
    </row>
    <row r="3205" ht="12.75" customHeight="1">
      <c r="A3205" s="6" t="s">
        <v>9527</v>
      </c>
      <c r="B3205" s="6" t="s">
        <v>9528</v>
      </c>
    </row>
    <row r="3206" ht="12.75" customHeight="1">
      <c r="A3206" s="6" t="s">
        <v>9529</v>
      </c>
      <c r="B3206" s="6" t="s">
        <v>1134</v>
      </c>
    </row>
    <row r="3207" ht="12.75" customHeight="1">
      <c r="A3207" s="6" t="s">
        <v>9530</v>
      </c>
      <c r="B3207" s="6" t="s">
        <v>519</v>
      </c>
    </row>
    <row r="3208" ht="12.75" customHeight="1">
      <c r="A3208" s="6" t="s">
        <v>9531</v>
      </c>
      <c r="B3208" s="6" t="s">
        <v>9532</v>
      </c>
    </row>
    <row r="3209" ht="12.75" customHeight="1">
      <c r="A3209" s="6" t="s">
        <v>9533</v>
      </c>
      <c r="B3209" s="6" t="s">
        <v>2737</v>
      </c>
    </row>
    <row r="3210" ht="12.75" customHeight="1">
      <c r="A3210" s="6" t="s">
        <v>9534</v>
      </c>
      <c r="B3210" s="6" t="s">
        <v>2688</v>
      </c>
    </row>
    <row r="3211" ht="12.75" customHeight="1">
      <c r="A3211" s="6" t="s">
        <v>9535</v>
      </c>
      <c r="B3211" s="6" t="s">
        <v>1521</v>
      </c>
    </row>
    <row r="3212" ht="12.75" customHeight="1">
      <c r="A3212" s="6" t="s">
        <v>9536</v>
      </c>
      <c r="B3212" s="6" t="s">
        <v>9537</v>
      </c>
    </row>
    <row r="3213" ht="12.75" customHeight="1">
      <c r="A3213" s="6" t="s">
        <v>9538</v>
      </c>
      <c r="B3213" s="6" t="s">
        <v>9539</v>
      </c>
    </row>
    <row r="3214" ht="12.75" customHeight="1">
      <c r="A3214" s="6" t="s">
        <v>9540</v>
      </c>
      <c r="B3214" s="6" t="s">
        <v>9541</v>
      </c>
    </row>
    <row r="3215" ht="12.75" customHeight="1">
      <c r="A3215" s="6" t="s">
        <v>9542</v>
      </c>
      <c r="B3215" s="6" t="s">
        <v>9543</v>
      </c>
    </row>
    <row r="3216" ht="12.75" customHeight="1">
      <c r="A3216" s="6" t="s">
        <v>9544</v>
      </c>
      <c r="B3216" s="6" t="s">
        <v>9545</v>
      </c>
    </row>
    <row r="3217" ht="12.75" customHeight="1">
      <c r="A3217" s="6" t="s">
        <v>9546</v>
      </c>
      <c r="B3217" s="6" t="s">
        <v>9547</v>
      </c>
    </row>
    <row r="3218" ht="12.75" customHeight="1">
      <c r="A3218" s="6" t="s">
        <v>9548</v>
      </c>
      <c r="B3218" s="6" t="s">
        <v>9549</v>
      </c>
    </row>
    <row r="3219" ht="12.75" customHeight="1">
      <c r="A3219" s="6" t="s">
        <v>9550</v>
      </c>
      <c r="B3219" s="6" t="s">
        <v>9551</v>
      </c>
    </row>
    <row r="3220" ht="12.75" customHeight="1">
      <c r="A3220" s="6" t="s">
        <v>9552</v>
      </c>
      <c r="B3220" s="6" t="s">
        <v>9553</v>
      </c>
    </row>
    <row r="3221" ht="12.75" customHeight="1">
      <c r="A3221" s="6" t="s">
        <v>9554</v>
      </c>
    </row>
    <row r="3222" ht="12.75" customHeight="1">
      <c r="A3222" s="6" t="s">
        <v>9555</v>
      </c>
      <c r="B3222" s="6" t="s">
        <v>9556</v>
      </c>
    </row>
    <row r="3223" ht="12.75" customHeight="1">
      <c r="A3223" s="6" t="s">
        <v>9557</v>
      </c>
      <c r="B3223" s="6" t="s">
        <v>9558</v>
      </c>
    </row>
    <row r="3224" ht="12.75" customHeight="1">
      <c r="A3224" s="6" t="s">
        <v>9559</v>
      </c>
      <c r="B3224" s="6" t="s">
        <v>9560</v>
      </c>
    </row>
    <row r="3225" ht="12.75" customHeight="1">
      <c r="A3225" s="6" t="s">
        <v>9561</v>
      </c>
      <c r="B3225" s="6" t="s">
        <v>9562</v>
      </c>
    </row>
    <row r="3226" ht="12.75" customHeight="1">
      <c r="A3226" s="6" t="s">
        <v>9563</v>
      </c>
      <c r="B3226" s="6" t="s">
        <v>9564</v>
      </c>
    </row>
    <row r="3227" ht="12.75" customHeight="1">
      <c r="A3227" s="6" t="s">
        <v>9565</v>
      </c>
      <c r="B3227" s="6" t="s">
        <v>9566</v>
      </c>
    </row>
    <row r="3228" ht="12.75" customHeight="1">
      <c r="A3228" s="6" t="s">
        <v>9567</v>
      </c>
      <c r="B3228" s="6" t="s">
        <v>9568</v>
      </c>
    </row>
    <row r="3229" ht="12.75" customHeight="1">
      <c r="A3229" s="6" t="s">
        <v>9569</v>
      </c>
      <c r="B3229" s="6" t="s">
        <v>9570</v>
      </c>
    </row>
    <row r="3230" ht="12.75" customHeight="1">
      <c r="A3230" s="6" t="s">
        <v>9571</v>
      </c>
      <c r="B3230" s="6" t="s">
        <v>9572</v>
      </c>
    </row>
    <row r="3231" ht="12.75" customHeight="1">
      <c r="A3231" s="6" t="s">
        <v>9573</v>
      </c>
      <c r="B3231" s="6" t="s">
        <v>9574</v>
      </c>
    </row>
    <row r="3232" ht="12.75" customHeight="1">
      <c r="A3232" s="6" t="s">
        <v>9575</v>
      </c>
      <c r="B3232" s="6" t="s">
        <v>9576</v>
      </c>
    </row>
    <row r="3233" ht="12.75" customHeight="1">
      <c r="A3233" s="6" t="s">
        <v>9577</v>
      </c>
      <c r="B3233" s="6" t="s">
        <v>9578</v>
      </c>
    </row>
    <row r="3234" ht="12.75" customHeight="1">
      <c r="A3234" s="6" t="s">
        <v>9579</v>
      </c>
      <c r="B3234" s="6" t="s">
        <v>1874</v>
      </c>
    </row>
    <row r="3235" ht="12.75" customHeight="1">
      <c r="A3235" s="6" t="s">
        <v>9580</v>
      </c>
      <c r="B3235" s="6" t="s">
        <v>9581</v>
      </c>
    </row>
    <row r="3236" ht="12.75" customHeight="1">
      <c r="A3236" s="6" t="s">
        <v>9582</v>
      </c>
      <c r="B3236" s="6" t="s">
        <v>9583</v>
      </c>
    </row>
    <row r="3237" ht="12.75" customHeight="1">
      <c r="A3237" s="6" t="s">
        <v>9584</v>
      </c>
      <c r="B3237" s="6" t="s">
        <v>3658</v>
      </c>
    </row>
    <row r="3238" ht="12.75" customHeight="1">
      <c r="A3238" s="6" t="s">
        <v>9585</v>
      </c>
      <c r="B3238" s="6" t="s">
        <v>9586</v>
      </c>
    </row>
    <row r="3239" ht="12.75" customHeight="1">
      <c r="A3239" s="6" t="s">
        <v>9587</v>
      </c>
      <c r="B3239" s="6" t="s">
        <v>9588</v>
      </c>
    </row>
    <row r="3240" ht="12.75" customHeight="1">
      <c r="A3240" s="6" t="s">
        <v>9589</v>
      </c>
      <c r="B3240" s="6" t="s">
        <v>1198</v>
      </c>
    </row>
    <row r="3241" ht="12.75" customHeight="1">
      <c r="A3241" s="6" t="s">
        <v>9590</v>
      </c>
      <c r="B3241" s="6" t="s">
        <v>9591</v>
      </c>
    </row>
    <row r="3242" ht="12.75" customHeight="1">
      <c r="A3242" s="6" t="s">
        <v>9592</v>
      </c>
      <c r="B3242" s="6" t="s">
        <v>9593</v>
      </c>
    </row>
    <row r="3243" ht="12.75" customHeight="1">
      <c r="A3243" s="6" t="s">
        <v>9594</v>
      </c>
      <c r="B3243" s="6" t="s">
        <v>9595</v>
      </c>
    </row>
    <row r="3244" ht="12.75" customHeight="1">
      <c r="A3244" s="6" t="s">
        <v>9596</v>
      </c>
      <c r="B3244" s="6" t="s">
        <v>9597</v>
      </c>
    </row>
    <row r="3245" ht="12.75" customHeight="1">
      <c r="A3245" s="6" t="s">
        <v>9598</v>
      </c>
      <c r="B3245" s="6" t="s">
        <v>9599</v>
      </c>
    </row>
    <row r="3246" ht="12.75" customHeight="1">
      <c r="A3246" s="6" t="s">
        <v>9600</v>
      </c>
      <c r="B3246" s="6" t="s">
        <v>9601</v>
      </c>
    </row>
    <row r="3247" ht="12.75" customHeight="1">
      <c r="A3247" s="6" t="s">
        <v>9602</v>
      </c>
      <c r="B3247" s="6" t="s">
        <v>9603</v>
      </c>
    </row>
    <row r="3248" ht="12.75" customHeight="1">
      <c r="A3248" s="6" t="s">
        <v>9604</v>
      </c>
      <c r="B3248" s="6" t="s">
        <v>9605</v>
      </c>
    </row>
    <row r="3249" ht="12.75" customHeight="1">
      <c r="A3249" s="6" t="s">
        <v>9606</v>
      </c>
      <c r="B3249" s="6" t="s">
        <v>9607</v>
      </c>
    </row>
    <row r="3250" ht="12.75" customHeight="1">
      <c r="A3250" s="6" t="s">
        <v>9608</v>
      </c>
      <c r="B3250" s="6" t="s">
        <v>3703</v>
      </c>
    </row>
    <row r="3251" ht="12.75" customHeight="1">
      <c r="A3251" s="6" t="s">
        <v>9609</v>
      </c>
      <c r="B3251" s="6" t="s">
        <v>9610</v>
      </c>
    </row>
    <row r="3252" ht="12.75" customHeight="1">
      <c r="A3252" s="6" t="s">
        <v>9611</v>
      </c>
      <c r="B3252" s="6" t="s">
        <v>9612</v>
      </c>
    </row>
    <row r="3253" ht="12.75" customHeight="1">
      <c r="A3253" s="6" t="s">
        <v>9613</v>
      </c>
      <c r="B3253" s="6" t="s">
        <v>3153</v>
      </c>
    </row>
    <row r="3254" ht="12.75" customHeight="1">
      <c r="A3254" s="6" t="s">
        <v>9614</v>
      </c>
      <c r="B3254" s="6" t="s">
        <v>9615</v>
      </c>
    </row>
    <row r="3255" ht="12.75" customHeight="1">
      <c r="A3255" s="6" t="s">
        <v>9616</v>
      </c>
      <c r="B3255" s="6" t="s">
        <v>9617</v>
      </c>
    </row>
    <row r="3256" ht="12.75" customHeight="1">
      <c r="A3256" s="6" t="s">
        <v>9618</v>
      </c>
      <c r="B3256" s="6" t="s">
        <v>9619</v>
      </c>
    </row>
    <row r="3257" ht="12.75" customHeight="1">
      <c r="A3257" s="6" t="s">
        <v>9620</v>
      </c>
      <c r="B3257" s="6" t="s">
        <v>9621</v>
      </c>
    </row>
    <row r="3258" ht="12.75" customHeight="1">
      <c r="A3258" s="6" t="s">
        <v>9622</v>
      </c>
      <c r="B3258" s="6" t="s">
        <v>9623</v>
      </c>
    </row>
    <row r="3259" ht="12.75" customHeight="1">
      <c r="A3259" s="6" t="s">
        <v>9624</v>
      </c>
      <c r="B3259" s="6" t="s">
        <v>9625</v>
      </c>
    </row>
    <row r="3260" ht="12.75" customHeight="1">
      <c r="A3260" s="6" t="s">
        <v>9626</v>
      </c>
      <c r="B3260" s="6" t="s">
        <v>9627</v>
      </c>
    </row>
    <row r="3261" ht="12.75" customHeight="1">
      <c r="A3261" s="6" t="s">
        <v>9628</v>
      </c>
      <c r="B3261" s="6" t="s">
        <v>9629</v>
      </c>
    </row>
    <row r="3262" ht="12.75" customHeight="1">
      <c r="A3262" s="6" t="s">
        <v>9630</v>
      </c>
      <c r="B3262" s="6" t="s">
        <v>1209</v>
      </c>
    </row>
    <row r="3263" ht="12.75" customHeight="1">
      <c r="A3263" s="6" t="s">
        <v>9631</v>
      </c>
      <c r="B3263" s="6" t="s">
        <v>9632</v>
      </c>
    </row>
    <row r="3264" ht="12.75" customHeight="1">
      <c r="A3264" s="6" t="s">
        <v>9633</v>
      </c>
      <c r="B3264" s="6" t="s">
        <v>3198</v>
      </c>
    </row>
    <row r="3265" ht="12.75" customHeight="1">
      <c r="A3265" s="6" t="s">
        <v>9634</v>
      </c>
      <c r="B3265" s="6" t="s">
        <v>3363</v>
      </c>
    </row>
    <row r="3266" ht="12.75" customHeight="1">
      <c r="A3266" s="6" t="s">
        <v>9635</v>
      </c>
      <c r="B3266" s="6" t="s">
        <v>1583</v>
      </c>
    </row>
    <row r="3267" ht="12.75" customHeight="1">
      <c r="A3267" s="6" t="s">
        <v>9636</v>
      </c>
      <c r="B3267" s="6" t="s">
        <v>9637</v>
      </c>
    </row>
    <row r="3268" ht="12.75" customHeight="1">
      <c r="A3268" s="6" t="s">
        <v>9638</v>
      </c>
      <c r="B3268" s="6" t="s">
        <v>9639</v>
      </c>
    </row>
    <row r="3269" ht="12.75" customHeight="1">
      <c r="A3269" s="6" t="s">
        <v>9640</v>
      </c>
      <c r="B3269" s="6" t="s">
        <v>9641</v>
      </c>
    </row>
    <row r="3270" ht="12.75" customHeight="1">
      <c r="A3270" s="6" t="s">
        <v>9642</v>
      </c>
      <c r="B3270" s="6" t="s">
        <v>9643</v>
      </c>
    </row>
    <row r="3271" ht="12.75" customHeight="1">
      <c r="A3271" s="6" t="s">
        <v>9644</v>
      </c>
      <c r="B3271" s="6" t="s">
        <v>9645</v>
      </c>
    </row>
    <row r="3272" ht="12.75" customHeight="1">
      <c r="A3272" s="6" t="s">
        <v>9646</v>
      </c>
      <c r="B3272" s="6" t="s">
        <v>9647</v>
      </c>
    </row>
    <row r="3273" ht="12.75" customHeight="1">
      <c r="A3273" s="6" t="s">
        <v>9648</v>
      </c>
      <c r="B3273" s="6" t="s">
        <v>9649</v>
      </c>
    </row>
    <row r="3274" ht="12.75" customHeight="1">
      <c r="A3274" s="6" t="s">
        <v>9650</v>
      </c>
      <c r="B3274" s="6" t="s">
        <v>9651</v>
      </c>
    </row>
    <row r="3275" ht="12.75" customHeight="1">
      <c r="A3275" s="6" t="s">
        <v>9652</v>
      </c>
      <c r="B3275" s="6" t="s">
        <v>2311</v>
      </c>
    </row>
    <row r="3276" ht="12.75" customHeight="1">
      <c r="A3276" s="6" t="s">
        <v>9653</v>
      </c>
      <c r="B3276" s="6" t="s">
        <v>9654</v>
      </c>
    </row>
    <row r="3277" ht="12.75" customHeight="1">
      <c r="A3277" s="6" t="s">
        <v>9655</v>
      </c>
    </row>
    <row r="3278" ht="12.75" customHeight="1">
      <c r="A3278" s="6" t="s">
        <v>9656</v>
      </c>
      <c r="B3278" s="6" t="s">
        <v>9657</v>
      </c>
    </row>
    <row r="3279" ht="12.75" customHeight="1">
      <c r="A3279" s="6" t="s">
        <v>9658</v>
      </c>
      <c r="B3279" s="6" t="s">
        <v>9659</v>
      </c>
    </row>
    <row r="3280" ht="12.75" customHeight="1">
      <c r="A3280" s="6" t="s">
        <v>9660</v>
      </c>
      <c r="B3280" s="6" t="s">
        <v>9661</v>
      </c>
    </row>
    <row r="3281" ht="12.75" customHeight="1">
      <c r="A3281" s="6" t="s">
        <v>9662</v>
      </c>
      <c r="B3281" s="6" t="s">
        <v>9663</v>
      </c>
    </row>
    <row r="3282" ht="12.75" customHeight="1">
      <c r="A3282" s="6" t="s">
        <v>9664</v>
      </c>
      <c r="B3282" s="6" t="s">
        <v>9665</v>
      </c>
    </row>
    <row r="3283" ht="12.75" customHeight="1">
      <c r="A3283" s="6" t="s">
        <v>9666</v>
      </c>
      <c r="B3283" s="6" t="s">
        <v>9667</v>
      </c>
    </row>
    <row r="3284" ht="12.75" customHeight="1">
      <c r="A3284" s="6" t="s">
        <v>9668</v>
      </c>
      <c r="B3284" s="6" t="s">
        <v>2473</v>
      </c>
    </row>
    <row r="3285" ht="12.75" customHeight="1">
      <c r="A3285" s="6" t="s">
        <v>9669</v>
      </c>
      <c r="B3285" s="6" t="s">
        <v>1031</v>
      </c>
    </row>
    <row r="3286" ht="12.75" customHeight="1">
      <c r="A3286" s="6" t="s">
        <v>9670</v>
      </c>
      <c r="B3286" s="6" t="s">
        <v>9671</v>
      </c>
    </row>
    <row r="3287" ht="12.75" customHeight="1">
      <c r="A3287" s="6" t="s">
        <v>9672</v>
      </c>
      <c r="B3287" s="6" t="s">
        <v>2186</v>
      </c>
    </row>
    <row r="3288" ht="12.75" customHeight="1">
      <c r="A3288" s="6" t="s">
        <v>9673</v>
      </c>
      <c r="B3288" s="6" t="s">
        <v>3176</v>
      </c>
    </row>
    <row r="3289" ht="12.75" customHeight="1">
      <c r="A3289" s="6" t="s">
        <v>9674</v>
      </c>
      <c r="B3289" s="6" t="s">
        <v>9675</v>
      </c>
    </row>
    <row r="3290" ht="12.75" customHeight="1">
      <c r="A3290" s="6" t="s">
        <v>9676</v>
      </c>
      <c r="B3290" s="6" t="s">
        <v>9677</v>
      </c>
    </row>
    <row r="3291" ht="12.75" customHeight="1">
      <c r="A3291" s="6" t="s">
        <v>9678</v>
      </c>
      <c r="B3291" s="6" t="s">
        <v>9679</v>
      </c>
    </row>
    <row r="3292" ht="12.75" customHeight="1">
      <c r="A3292" s="6" t="s">
        <v>9680</v>
      </c>
      <c r="B3292" s="6" t="s">
        <v>9681</v>
      </c>
    </row>
    <row r="3293" ht="12.75" customHeight="1">
      <c r="A3293" s="6" t="s">
        <v>9682</v>
      </c>
      <c r="B3293" s="6" t="s">
        <v>1297</v>
      </c>
    </row>
    <row r="3294" ht="12.75" customHeight="1">
      <c r="A3294" s="6" t="s">
        <v>9683</v>
      </c>
      <c r="B3294" s="6" t="s">
        <v>2728</v>
      </c>
    </row>
    <row r="3295" ht="12.75" customHeight="1">
      <c r="A3295" s="6" t="s">
        <v>9684</v>
      </c>
      <c r="B3295" s="6" t="s">
        <v>1120</v>
      </c>
    </row>
    <row r="3296" ht="12.75" customHeight="1">
      <c r="A3296" s="6" t="s">
        <v>9685</v>
      </c>
      <c r="B3296" s="6" t="s">
        <v>204</v>
      </c>
    </row>
    <row r="3297" ht="12.75" customHeight="1">
      <c r="A3297" s="6" t="s">
        <v>9686</v>
      </c>
      <c r="B3297" s="6" t="s">
        <v>1885</v>
      </c>
    </row>
    <row r="3298" ht="12.75" customHeight="1">
      <c r="A3298" s="6" t="s">
        <v>9687</v>
      </c>
    </row>
    <row r="3299" ht="12.75" customHeight="1">
      <c r="A3299" s="6" t="s">
        <v>9688</v>
      </c>
      <c r="B3299" s="6" t="s">
        <v>9689</v>
      </c>
    </row>
    <row r="3300" ht="12.75" customHeight="1">
      <c r="A3300" s="6" t="s">
        <v>9690</v>
      </c>
      <c r="B3300" s="6" t="s">
        <v>845</v>
      </c>
    </row>
    <row r="3301" ht="12.75" customHeight="1">
      <c r="A3301" s="6" t="s">
        <v>9691</v>
      </c>
      <c r="B3301" s="6" t="s">
        <v>900</v>
      </c>
    </row>
    <row r="3302" ht="12.75" customHeight="1">
      <c r="A3302" s="6" t="s">
        <v>9692</v>
      </c>
      <c r="B3302" s="6" t="s">
        <v>156</v>
      </c>
    </row>
    <row r="3303" ht="12.75" customHeight="1">
      <c r="A3303" s="6" t="s">
        <v>9693</v>
      </c>
      <c r="B3303" s="6" t="s">
        <v>982</v>
      </c>
    </row>
    <row r="3304" ht="12.75" customHeight="1">
      <c r="A3304" s="6" t="s">
        <v>9694</v>
      </c>
      <c r="B3304" s="6" t="s">
        <v>9695</v>
      </c>
    </row>
    <row r="3305" ht="12.75" customHeight="1">
      <c r="A3305" s="6" t="s">
        <v>9696</v>
      </c>
      <c r="B3305" s="6" t="s">
        <v>9697</v>
      </c>
    </row>
    <row r="3306" ht="12.75" customHeight="1">
      <c r="A3306" s="6" t="s">
        <v>9698</v>
      </c>
      <c r="B3306" s="6" t="s">
        <v>9699</v>
      </c>
    </row>
    <row r="3307" ht="12.75" customHeight="1">
      <c r="A3307" s="6" t="s">
        <v>9700</v>
      </c>
      <c r="B3307" s="6" t="s">
        <v>9701</v>
      </c>
    </row>
    <row r="3308" ht="12.75" customHeight="1">
      <c r="A3308" s="6" t="s">
        <v>9702</v>
      </c>
      <c r="B3308" s="6" t="s">
        <v>9703</v>
      </c>
    </row>
    <row r="3309" ht="12.75" customHeight="1">
      <c r="A3309" s="6" t="s">
        <v>9704</v>
      </c>
      <c r="B3309" s="6" t="s">
        <v>9705</v>
      </c>
    </row>
    <row r="3310" ht="12.75" customHeight="1">
      <c r="A3310" s="6" t="s">
        <v>9706</v>
      </c>
      <c r="B3310" s="6" t="s">
        <v>9707</v>
      </c>
    </row>
    <row r="3311" ht="12.75" customHeight="1">
      <c r="A3311" s="6" t="s">
        <v>9708</v>
      </c>
      <c r="B3311" s="6" t="s">
        <v>1112</v>
      </c>
    </row>
    <row r="3312" ht="12.75" customHeight="1">
      <c r="A3312" s="6" t="s">
        <v>9709</v>
      </c>
      <c r="B3312" s="6" t="s">
        <v>9710</v>
      </c>
    </row>
    <row r="3313" ht="12.75" customHeight="1">
      <c r="A3313" s="6" t="s">
        <v>9711</v>
      </c>
      <c r="B3313" s="6" t="s">
        <v>1822</v>
      </c>
    </row>
    <row r="3314" ht="12.75" customHeight="1">
      <c r="A3314" s="6" t="s">
        <v>9712</v>
      </c>
      <c r="B3314" s="6" t="s">
        <v>9713</v>
      </c>
    </row>
    <row r="3315" ht="12.75" customHeight="1">
      <c r="A3315" s="6" t="s">
        <v>9714</v>
      </c>
      <c r="B3315" s="6" t="s">
        <v>443</v>
      </c>
    </row>
    <row r="3316" ht="12.75" customHeight="1">
      <c r="A3316" s="6" t="s">
        <v>9715</v>
      </c>
      <c r="B3316" s="6" t="s">
        <v>212</v>
      </c>
    </row>
    <row r="3317" ht="12.75" customHeight="1">
      <c r="A3317" s="6" t="s">
        <v>9716</v>
      </c>
      <c r="B3317" s="6" t="s">
        <v>9717</v>
      </c>
    </row>
    <row r="3318" ht="12.75" customHeight="1">
      <c r="A3318" s="6" t="s">
        <v>9718</v>
      </c>
      <c r="B3318" s="6" t="s">
        <v>795</v>
      </c>
    </row>
    <row r="3319" ht="12.75" customHeight="1">
      <c r="A3319" s="6" t="s">
        <v>9719</v>
      </c>
      <c r="B3319" s="6" t="s">
        <v>9720</v>
      </c>
    </row>
    <row r="3320" ht="12.75" customHeight="1">
      <c r="A3320" s="6" t="s">
        <v>9721</v>
      </c>
      <c r="B3320" s="6" t="s">
        <v>9722</v>
      </c>
    </row>
    <row r="3321" ht="12.75" customHeight="1">
      <c r="A3321" s="6" t="s">
        <v>9723</v>
      </c>
      <c r="B3321" s="6" t="s">
        <v>9724</v>
      </c>
    </row>
    <row r="3322" ht="12.75" customHeight="1">
      <c r="A3322" s="6" t="s">
        <v>9725</v>
      </c>
    </row>
    <row r="3323" ht="12.75" customHeight="1">
      <c r="A3323" s="6" t="s">
        <v>9726</v>
      </c>
      <c r="B3323" s="6" t="s">
        <v>9727</v>
      </c>
    </row>
    <row r="3324" ht="12.75" customHeight="1">
      <c r="A3324" s="6" t="s">
        <v>9728</v>
      </c>
      <c r="B3324" s="6" t="s">
        <v>9729</v>
      </c>
    </row>
    <row r="3325" ht="12.75" customHeight="1">
      <c r="A3325" s="6" t="s">
        <v>9730</v>
      </c>
      <c r="B3325" s="6" t="s">
        <v>9731</v>
      </c>
    </row>
    <row r="3326" ht="12.75" customHeight="1">
      <c r="A3326" s="6" t="s">
        <v>9732</v>
      </c>
      <c r="B3326" s="6" t="s">
        <v>761</v>
      </c>
    </row>
    <row r="3327" ht="12.75" customHeight="1">
      <c r="A3327" s="6" t="s">
        <v>9733</v>
      </c>
      <c r="B3327" s="6" t="s">
        <v>117</v>
      </c>
    </row>
    <row r="3328" ht="12.75" customHeight="1">
      <c r="A3328" s="6" t="s">
        <v>9734</v>
      </c>
      <c r="B3328" s="6" t="s">
        <v>1666</v>
      </c>
    </row>
    <row r="3329" ht="12.75" customHeight="1">
      <c r="A3329" s="6" t="s">
        <v>9735</v>
      </c>
      <c r="B3329" s="6" t="s">
        <v>960</v>
      </c>
    </row>
    <row r="3330" ht="12.75" customHeight="1">
      <c r="A3330" s="6" t="s">
        <v>9736</v>
      </c>
      <c r="B3330" s="6" t="s">
        <v>2106</v>
      </c>
    </row>
    <row r="3331" ht="12.75" customHeight="1">
      <c r="A3331" s="6" t="s">
        <v>9737</v>
      </c>
      <c r="B3331" s="6" t="s">
        <v>9738</v>
      </c>
    </row>
    <row r="3332" ht="12.75" customHeight="1">
      <c r="A3332" s="6" t="s">
        <v>9739</v>
      </c>
      <c r="B3332" s="6" t="s">
        <v>9740</v>
      </c>
    </row>
    <row r="3333" ht="12.75" customHeight="1">
      <c r="A3333" s="6" t="s">
        <v>9741</v>
      </c>
      <c r="B3333" s="6" t="s">
        <v>9742</v>
      </c>
    </row>
    <row r="3334" ht="12.75" customHeight="1">
      <c r="A3334" s="6" t="s">
        <v>9743</v>
      </c>
    </row>
    <row r="3335" ht="12.75" customHeight="1">
      <c r="A3335" s="6" t="s">
        <v>9744</v>
      </c>
      <c r="B3335" s="6" t="s">
        <v>9745</v>
      </c>
    </row>
    <row r="3336" ht="12.75" customHeight="1">
      <c r="A3336" s="6" t="s">
        <v>9746</v>
      </c>
      <c r="B3336" s="6" t="s">
        <v>9747</v>
      </c>
    </row>
    <row r="3337" ht="12.75" customHeight="1">
      <c r="A3337" s="6" t="s">
        <v>9748</v>
      </c>
      <c r="B3337" s="6" t="s">
        <v>9749</v>
      </c>
    </row>
    <row r="3338" ht="12.75" customHeight="1">
      <c r="A3338" s="6" t="s">
        <v>9750</v>
      </c>
      <c r="B3338" s="6" t="s">
        <v>9751</v>
      </c>
    </row>
    <row r="3339" ht="12.75" customHeight="1">
      <c r="A3339" s="6" t="s">
        <v>9752</v>
      </c>
      <c r="B3339" s="6" t="s">
        <v>9753</v>
      </c>
    </row>
    <row r="3340" ht="12.75" customHeight="1">
      <c r="A3340" s="6" t="s">
        <v>9754</v>
      </c>
      <c r="B3340" s="6" t="s">
        <v>9755</v>
      </c>
    </row>
    <row r="3341" ht="12.75" customHeight="1">
      <c r="A3341" s="6" t="s">
        <v>9756</v>
      </c>
      <c r="B3341" s="6" t="s">
        <v>9757</v>
      </c>
    </row>
    <row r="3342" ht="12.75" customHeight="1">
      <c r="A3342" s="6" t="s">
        <v>9758</v>
      </c>
      <c r="B3342" s="6" t="s">
        <v>9759</v>
      </c>
    </row>
    <row r="3343" ht="12.75" customHeight="1">
      <c r="A3343" s="6" t="s">
        <v>9760</v>
      </c>
      <c r="B3343" s="6" t="s">
        <v>9761</v>
      </c>
    </row>
    <row r="3344" ht="12.75" customHeight="1">
      <c r="A3344" s="6" t="s">
        <v>9762</v>
      </c>
      <c r="B3344" s="6" t="s">
        <v>9763</v>
      </c>
    </row>
    <row r="3345" ht="12.75" customHeight="1">
      <c r="A3345" s="6" t="s">
        <v>9764</v>
      </c>
      <c r="B3345" s="6" t="s">
        <v>9765</v>
      </c>
    </row>
    <row r="3346" ht="12.75" customHeight="1">
      <c r="A3346" s="6" t="s">
        <v>9766</v>
      </c>
      <c r="B3346" s="6" t="s">
        <v>9767</v>
      </c>
    </row>
    <row r="3347" ht="12.75" customHeight="1">
      <c r="A3347" s="6" t="s">
        <v>9768</v>
      </c>
      <c r="B3347" s="6" t="s">
        <v>9769</v>
      </c>
    </row>
    <row r="3348" ht="12.75" customHeight="1">
      <c r="A3348" s="6" t="s">
        <v>9770</v>
      </c>
      <c r="B3348" s="6" t="s">
        <v>9771</v>
      </c>
    </row>
    <row r="3349" ht="12.75" customHeight="1">
      <c r="A3349" s="6" t="s">
        <v>9772</v>
      </c>
      <c r="B3349" s="6" t="s">
        <v>9773</v>
      </c>
    </row>
    <row r="3350" ht="12.75" customHeight="1">
      <c r="A3350" s="6" t="s">
        <v>9774</v>
      </c>
      <c r="B3350" s="6" t="s">
        <v>9775</v>
      </c>
    </row>
    <row r="3351" ht="12.75" customHeight="1">
      <c r="A3351" s="6" t="s">
        <v>9776</v>
      </c>
      <c r="B3351" s="6" t="s">
        <v>9777</v>
      </c>
    </row>
    <row r="3352" ht="12.75" customHeight="1">
      <c r="A3352" s="6" t="s">
        <v>9778</v>
      </c>
      <c r="B3352" s="6" t="s">
        <v>9779</v>
      </c>
    </row>
    <row r="3353" ht="12.75" customHeight="1">
      <c r="A3353" s="6" t="s">
        <v>9780</v>
      </c>
      <c r="B3353" s="6" t="s">
        <v>9781</v>
      </c>
    </row>
    <row r="3354" ht="12.75" customHeight="1">
      <c r="A3354" s="6" t="s">
        <v>9782</v>
      </c>
      <c r="B3354" s="6" t="s">
        <v>9783</v>
      </c>
    </row>
    <row r="3355" ht="12.75" customHeight="1">
      <c r="A3355" s="6" t="s">
        <v>9784</v>
      </c>
      <c r="B3355" s="6" t="s">
        <v>9785</v>
      </c>
    </row>
    <row r="3356" ht="12.75" customHeight="1">
      <c r="A3356" s="6" t="s">
        <v>9786</v>
      </c>
      <c r="B3356" s="6" t="s">
        <v>9787</v>
      </c>
    </row>
    <row r="3357" ht="12.75" customHeight="1">
      <c r="A3357" s="6" t="s">
        <v>9788</v>
      </c>
      <c r="B3357" s="6" t="s">
        <v>9789</v>
      </c>
    </row>
    <row r="3358" ht="12.75" customHeight="1">
      <c r="A3358" s="6" t="s">
        <v>9790</v>
      </c>
    </row>
    <row r="3359" ht="12.75" customHeight="1">
      <c r="A3359" s="6" t="s">
        <v>9791</v>
      </c>
      <c r="B3359" s="6" t="s">
        <v>9792</v>
      </c>
    </row>
    <row r="3360" ht="12.75" customHeight="1">
      <c r="A3360" s="6" t="s">
        <v>9793</v>
      </c>
      <c r="B3360" s="6" t="s">
        <v>9794</v>
      </c>
    </row>
    <row r="3361" ht="12.75" customHeight="1">
      <c r="A3361" s="6" t="s">
        <v>9795</v>
      </c>
      <c r="B3361" s="6" t="s">
        <v>9796</v>
      </c>
    </row>
    <row r="3362" ht="12.75" customHeight="1">
      <c r="A3362" s="6" t="s">
        <v>9797</v>
      </c>
      <c r="B3362" s="6" t="s">
        <v>9798</v>
      </c>
    </row>
    <row r="3363" ht="12.75" customHeight="1">
      <c r="A3363" s="6" t="s">
        <v>9799</v>
      </c>
      <c r="B3363" s="6" t="s">
        <v>9800</v>
      </c>
    </row>
    <row r="3364" ht="12.75" customHeight="1">
      <c r="A3364" s="6" t="s">
        <v>9801</v>
      </c>
      <c r="B3364" s="6" t="s">
        <v>9802</v>
      </c>
    </row>
    <row r="3365" ht="12.75" customHeight="1">
      <c r="A3365" s="6" t="s">
        <v>9803</v>
      </c>
    </row>
    <row r="3366" ht="12.75" customHeight="1">
      <c r="A3366" s="6" t="s">
        <v>9804</v>
      </c>
      <c r="B3366" s="6" t="s">
        <v>9805</v>
      </c>
    </row>
    <row r="3367" ht="12.75" customHeight="1">
      <c r="A3367" s="6" t="s">
        <v>9806</v>
      </c>
      <c r="B3367" s="6" t="s">
        <v>9807</v>
      </c>
    </row>
    <row r="3368" ht="12.75" customHeight="1">
      <c r="A3368" s="6" t="s">
        <v>9808</v>
      </c>
      <c r="B3368" s="6" t="s">
        <v>9809</v>
      </c>
    </row>
    <row r="3369" ht="12.75" customHeight="1">
      <c r="A3369" s="6" t="s">
        <v>9810</v>
      </c>
      <c r="B3369" s="6" t="s">
        <v>9811</v>
      </c>
    </row>
    <row r="3370" ht="12.75" customHeight="1">
      <c r="A3370" s="6" t="s">
        <v>9812</v>
      </c>
      <c r="B3370" s="6" t="s">
        <v>9813</v>
      </c>
    </row>
    <row r="3371" ht="12.75" customHeight="1">
      <c r="A3371" s="6" t="s">
        <v>9814</v>
      </c>
      <c r="B3371" s="6" t="s">
        <v>9815</v>
      </c>
    </row>
    <row r="3372" ht="12.75" customHeight="1">
      <c r="A3372" s="6" t="s">
        <v>9816</v>
      </c>
      <c r="B3372" s="6" t="s">
        <v>9817</v>
      </c>
    </row>
    <row r="3373" ht="12.75" customHeight="1">
      <c r="A3373" s="6" t="s">
        <v>9818</v>
      </c>
      <c r="B3373" s="6" t="s">
        <v>9819</v>
      </c>
    </row>
    <row r="3374" ht="12.75" customHeight="1">
      <c r="A3374" s="6" t="s">
        <v>9820</v>
      </c>
      <c r="B3374" s="6" t="s">
        <v>6859</v>
      </c>
    </row>
    <row r="3375" ht="12.75" customHeight="1">
      <c r="A3375" s="6" t="s">
        <v>9821</v>
      </c>
      <c r="B3375" s="6" t="s">
        <v>9781</v>
      </c>
    </row>
    <row r="3376" ht="12.75" customHeight="1">
      <c r="A3376" s="6" t="s">
        <v>9822</v>
      </c>
      <c r="B3376" s="6" t="s">
        <v>9823</v>
      </c>
    </row>
    <row r="3377" ht="12.75" customHeight="1">
      <c r="A3377" s="6" t="s">
        <v>9824</v>
      </c>
      <c r="B3377" s="6" t="s">
        <v>9825</v>
      </c>
    </row>
    <row r="3378" ht="12.75" customHeight="1">
      <c r="A3378" s="6" t="s">
        <v>9826</v>
      </c>
      <c r="B3378" s="6" t="s">
        <v>9827</v>
      </c>
    </row>
    <row r="3379" ht="12.75" customHeight="1">
      <c r="A3379" s="6" t="s">
        <v>9828</v>
      </c>
      <c r="B3379" s="6" t="s">
        <v>9829</v>
      </c>
    </row>
    <row r="3380" ht="12.75" customHeight="1">
      <c r="A3380" s="6" t="s">
        <v>9830</v>
      </c>
      <c r="B3380" s="6" t="s">
        <v>9831</v>
      </c>
    </row>
    <row r="3381" ht="12.75" customHeight="1">
      <c r="A3381" s="6" t="s">
        <v>9832</v>
      </c>
      <c r="B3381" s="6" t="s">
        <v>9833</v>
      </c>
    </row>
    <row r="3382" ht="12.75" customHeight="1">
      <c r="A3382" s="6" t="s">
        <v>9834</v>
      </c>
      <c r="B3382" s="6" t="s">
        <v>9835</v>
      </c>
    </row>
    <row r="3383" ht="12.75" customHeight="1">
      <c r="A3383" s="6" t="s">
        <v>9836</v>
      </c>
      <c r="B3383" s="6" t="s">
        <v>9837</v>
      </c>
    </row>
    <row r="3384" ht="12.75" customHeight="1">
      <c r="A3384" s="6" t="s">
        <v>9838</v>
      </c>
      <c r="B3384" s="6" t="s">
        <v>9839</v>
      </c>
    </row>
    <row r="3385" ht="12.75" customHeight="1">
      <c r="A3385" s="6" t="s">
        <v>9840</v>
      </c>
      <c r="B3385" s="6" t="s">
        <v>9841</v>
      </c>
    </row>
    <row r="3386" ht="12.75" customHeight="1">
      <c r="A3386" s="6" t="s">
        <v>9842</v>
      </c>
      <c r="B3386" s="6" t="s">
        <v>9843</v>
      </c>
    </row>
    <row r="3387" ht="12.75" customHeight="1">
      <c r="A3387" s="6" t="s">
        <v>9844</v>
      </c>
      <c r="B3387" s="6" t="s">
        <v>9845</v>
      </c>
    </row>
    <row r="3388" ht="12.75" customHeight="1">
      <c r="A3388" s="6" t="s">
        <v>9846</v>
      </c>
      <c r="B3388" s="6" t="s">
        <v>9847</v>
      </c>
    </row>
    <row r="3389" ht="12.75" customHeight="1">
      <c r="A3389" s="6" t="s">
        <v>9848</v>
      </c>
      <c r="B3389" s="6" t="s">
        <v>9849</v>
      </c>
    </row>
    <row r="3390" ht="12.75" customHeight="1">
      <c r="A3390" s="6" t="s">
        <v>9850</v>
      </c>
      <c r="B3390" s="6" t="s">
        <v>9851</v>
      </c>
    </row>
    <row r="3391" ht="12.75" customHeight="1">
      <c r="A3391" s="6" t="s">
        <v>9852</v>
      </c>
      <c r="B3391" s="6" t="s">
        <v>9853</v>
      </c>
    </row>
    <row r="3392" ht="12.75" customHeight="1">
      <c r="A3392" s="6" t="s">
        <v>9854</v>
      </c>
      <c r="B3392" s="6" t="s">
        <v>9855</v>
      </c>
    </row>
    <row r="3393" ht="12.75" customHeight="1">
      <c r="A3393" s="6" t="s">
        <v>9856</v>
      </c>
      <c r="B3393" s="6" t="s">
        <v>9857</v>
      </c>
    </row>
    <row r="3394" ht="12.75" customHeight="1">
      <c r="A3394" s="6" t="s">
        <v>9858</v>
      </c>
      <c r="B3394" s="6" t="s">
        <v>9859</v>
      </c>
    </row>
    <row r="3395" ht="12.75" customHeight="1">
      <c r="A3395" s="6" t="s">
        <v>9860</v>
      </c>
      <c r="B3395" s="6" t="s">
        <v>9861</v>
      </c>
    </row>
    <row r="3396" ht="12.75" customHeight="1">
      <c r="A3396" s="6" t="s">
        <v>9862</v>
      </c>
      <c r="B3396" s="6" t="s">
        <v>9863</v>
      </c>
    </row>
    <row r="3397" ht="12.75" customHeight="1">
      <c r="A3397" s="6" t="s">
        <v>9864</v>
      </c>
      <c r="B3397" s="6" t="s">
        <v>9865</v>
      </c>
    </row>
    <row r="3398" ht="12.75" customHeight="1">
      <c r="A3398" s="6" t="s">
        <v>9866</v>
      </c>
      <c r="B3398" s="6" t="s">
        <v>9867</v>
      </c>
    </row>
    <row r="3399" ht="12.75" customHeight="1">
      <c r="A3399" s="6" t="s">
        <v>9868</v>
      </c>
      <c r="B3399" s="6" t="s">
        <v>9865</v>
      </c>
    </row>
    <row r="3400" ht="12.75" customHeight="1">
      <c r="A3400" s="6" t="s">
        <v>9869</v>
      </c>
      <c r="B3400" s="6" t="s">
        <v>9870</v>
      </c>
    </row>
    <row r="3401" ht="12.75" customHeight="1">
      <c r="A3401" s="6" t="s">
        <v>9871</v>
      </c>
      <c r="B3401" s="6" t="s">
        <v>9872</v>
      </c>
    </row>
    <row r="3402" ht="12.75" customHeight="1">
      <c r="A3402" s="6" t="s">
        <v>9873</v>
      </c>
      <c r="B3402" s="6" t="s">
        <v>9874</v>
      </c>
    </row>
    <row r="3403" ht="12.75" customHeight="1">
      <c r="A3403" s="6" t="s">
        <v>9875</v>
      </c>
      <c r="B3403" s="6" t="s">
        <v>9876</v>
      </c>
    </row>
    <row r="3404" ht="12.75" customHeight="1">
      <c r="A3404" s="6" t="s">
        <v>9877</v>
      </c>
      <c r="B3404" s="6" t="s">
        <v>9878</v>
      </c>
    </row>
    <row r="3405" ht="12.75" customHeight="1">
      <c r="A3405" s="6" t="s">
        <v>9879</v>
      </c>
    </row>
    <row r="3406" ht="12.75" customHeight="1">
      <c r="A3406" s="6" t="s">
        <v>9880</v>
      </c>
      <c r="B3406" s="6" t="s">
        <v>2153</v>
      </c>
    </row>
    <row r="3407" ht="12.75" customHeight="1">
      <c r="A3407" s="6" t="s">
        <v>9881</v>
      </c>
      <c r="B3407" s="6" t="s">
        <v>9882</v>
      </c>
    </row>
    <row r="3408" ht="12.75" customHeight="1">
      <c r="A3408" s="6" t="s">
        <v>9883</v>
      </c>
      <c r="B3408" s="6" t="s">
        <v>9884</v>
      </c>
    </row>
    <row r="3409" ht="12.75" customHeight="1">
      <c r="A3409" s="6" t="s">
        <v>9885</v>
      </c>
      <c r="B3409" s="6" t="s">
        <v>9886</v>
      </c>
    </row>
    <row r="3410" ht="12.75" customHeight="1">
      <c r="A3410" s="6" t="s">
        <v>9887</v>
      </c>
      <c r="B3410" s="6" t="s">
        <v>9888</v>
      </c>
    </row>
    <row r="3411" ht="12.75" customHeight="1">
      <c r="A3411" s="6" t="s">
        <v>9889</v>
      </c>
      <c r="B3411" s="6" t="s">
        <v>9890</v>
      </c>
    </row>
    <row r="3412" ht="12.75" customHeight="1">
      <c r="A3412" s="6" t="s">
        <v>9891</v>
      </c>
      <c r="B3412" s="6" t="s">
        <v>9892</v>
      </c>
    </row>
    <row r="3413" ht="12.75" customHeight="1">
      <c r="A3413" s="6" t="s">
        <v>9893</v>
      </c>
      <c r="B3413" s="6" t="s">
        <v>9894</v>
      </c>
    </row>
    <row r="3414" ht="12.75" customHeight="1">
      <c r="A3414" s="6" t="s">
        <v>9895</v>
      </c>
    </row>
    <row r="3415" ht="12.75" customHeight="1">
      <c r="A3415" s="6" t="s">
        <v>9896</v>
      </c>
      <c r="B3415" s="6" t="s">
        <v>9897</v>
      </c>
    </row>
    <row r="3416" ht="12.75" customHeight="1">
      <c r="A3416" s="6" t="s">
        <v>9898</v>
      </c>
      <c r="B3416" s="6" t="s">
        <v>9899</v>
      </c>
    </row>
    <row r="3417" ht="12.75" customHeight="1">
      <c r="A3417" s="6" t="s">
        <v>9900</v>
      </c>
      <c r="B3417" s="6" t="s">
        <v>9901</v>
      </c>
    </row>
    <row r="3418" ht="12.75" customHeight="1">
      <c r="A3418" s="6" t="s">
        <v>9902</v>
      </c>
      <c r="B3418" s="6" t="s">
        <v>9903</v>
      </c>
    </row>
    <row r="3419" ht="12.75" customHeight="1">
      <c r="A3419" s="6" t="s">
        <v>9904</v>
      </c>
    </row>
    <row r="3420" ht="12.75" customHeight="1">
      <c r="A3420" s="6" t="s">
        <v>9905</v>
      </c>
    </row>
    <row r="3421" ht="12.75" customHeight="1">
      <c r="A3421" s="6" t="s">
        <v>9906</v>
      </c>
      <c r="B3421" s="6" t="s">
        <v>9907</v>
      </c>
    </row>
    <row r="3422" ht="12.75" customHeight="1">
      <c r="A3422" s="6" t="s">
        <v>9908</v>
      </c>
      <c r="B3422" s="6" t="s">
        <v>9909</v>
      </c>
    </row>
    <row r="3423" ht="12.75" customHeight="1">
      <c r="A3423" s="6" t="s">
        <v>9910</v>
      </c>
      <c r="B3423" s="6" t="s">
        <v>9911</v>
      </c>
    </row>
    <row r="3424" ht="12.75" customHeight="1">
      <c r="A3424" s="6" t="s">
        <v>9912</v>
      </c>
      <c r="B3424" s="6" t="s">
        <v>9913</v>
      </c>
    </row>
    <row r="3425" ht="12.75" customHeight="1">
      <c r="A3425" s="6" t="s">
        <v>9914</v>
      </c>
      <c r="B3425" s="6" t="s">
        <v>9915</v>
      </c>
    </row>
    <row r="3426" ht="12.75" customHeight="1">
      <c r="A3426" s="6" t="s">
        <v>9916</v>
      </c>
      <c r="B3426" s="6" t="s">
        <v>9917</v>
      </c>
    </row>
    <row r="3427" ht="12.75" customHeight="1">
      <c r="A3427" s="6" t="s">
        <v>9918</v>
      </c>
      <c r="B3427" s="6" t="s">
        <v>9919</v>
      </c>
    </row>
    <row r="3428" ht="12.75" customHeight="1">
      <c r="A3428" s="6" t="s">
        <v>9920</v>
      </c>
      <c r="B3428" s="6" t="s">
        <v>9921</v>
      </c>
    </row>
    <row r="3429" ht="12.75" customHeight="1">
      <c r="A3429" s="6" t="s">
        <v>9922</v>
      </c>
      <c r="B3429" s="6" t="s">
        <v>9923</v>
      </c>
    </row>
    <row r="3430" ht="12.75" customHeight="1">
      <c r="A3430" s="6" t="s">
        <v>9924</v>
      </c>
      <c r="B3430" s="6" t="s">
        <v>9925</v>
      </c>
    </row>
    <row r="3431" ht="12.75" customHeight="1">
      <c r="A3431" s="6" t="s">
        <v>9926</v>
      </c>
      <c r="B3431" s="6" t="s">
        <v>9927</v>
      </c>
    </row>
    <row r="3432" ht="12.75" customHeight="1">
      <c r="A3432" s="6" t="s">
        <v>9928</v>
      </c>
      <c r="B3432" s="6" t="s">
        <v>9929</v>
      </c>
    </row>
    <row r="3433" ht="12.75" customHeight="1">
      <c r="A3433" s="6" t="s">
        <v>9930</v>
      </c>
      <c r="B3433" s="6" t="s">
        <v>9931</v>
      </c>
    </row>
    <row r="3434" ht="12.75" customHeight="1">
      <c r="A3434" s="6" t="s">
        <v>9932</v>
      </c>
      <c r="B3434" s="6" t="s">
        <v>9933</v>
      </c>
    </row>
    <row r="3435" ht="12.75" customHeight="1">
      <c r="A3435" s="6" t="s">
        <v>9934</v>
      </c>
      <c r="B3435" s="6" t="s">
        <v>9935</v>
      </c>
    </row>
    <row r="3436" ht="12.75" customHeight="1">
      <c r="A3436" s="6" t="s">
        <v>9936</v>
      </c>
      <c r="B3436" s="6" t="s">
        <v>9937</v>
      </c>
    </row>
    <row r="3437" ht="12.75" customHeight="1">
      <c r="A3437" s="6" t="s">
        <v>9938</v>
      </c>
      <c r="B3437" s="6" t="s">
        <v>9939</v>
      </c>
    </row>
    <row r="3438" ht="12.75" customHeight="1">
      <c r="A3438" s="6" t="s">
        <v>9940</v>
      </c>
      <c r="B3438" s="6" t="s">
        <v>9941</v>
      </c>
    </row>
    <row r="3439" ht="12.75" customHeight="1">
      <c r="A3439" s="6" t="s">
        <v>9942</v>
      </c>
      <c r="B3439" s="6" t="s">
        <v>9943</v>
      </c>
    </row>
    <row r="3440" ht="12.75" customHeight="1">
      <c r="A3440" s="6" t="s">
        <v>9944</v>
      </c>
      <c r="B3440" s="6" t="s">
        <v>9945</v>
      </c>
    </row>
    <row r="3441" ht="12.75" customHeight="1">
      <c r="A3441" s="6" t="s">
        <v>9946</v>
      </c>
      <c r="B3441" s="6" t="s">
        <v>9947</v>
      </c>
    </row>
    <row r="3442" ht="12.75" customHeight="1">
      <c r="A3442" s="6" t="s">
        <v>9948</v>
      </c>
      <c r="B3442" s="6" t="s">
        <v>9949</v>
      </c>
    </row>
    <row r="3443" ht="12.75" customHeight="1">
      <c r="A3443" s="6" t="s">
        <v>9950</v>
      </c>
      <c r="B3443" s="6" t="s">
        <v>9951</v>
      </c>
    </row>
    <row r="3444" ht="12.75" customHeight="1">
      <c r="A3444" s="6" t="s">
        <v>9952</v>
      </c>
      <c r="B3444" s="6" t="s">
        <v>9953</v>
      </c>
    </row>
    <row r="3445" ht="12.75" customHeight="1">
      <c r="A3445" s="6" t="s">
        <v>9954</v>
      </c>
      <c r="B3445" s="6" t="s">
        <v>9955</v>
      </c>
    </row>
    <row r="3446" ht="12.75" customHeight="1">
      <c r="A3446" s="6" t="s">
        <v>9956</v>
      </c>
      <c r="B3446" s="6" t="s">
        <v>9957</v>
      </c>
    </row>
    <row r="3447" ht="12.75" customHeight="1">
      <c r="A3447" s="6" t="s">
        <v>9958</v>
      </c>
      <c r="B3447" s="6" t="s">
        <v>9959</v>
      </c>
    </row>
    <row r="3448" ht="12.75" customHeight="1">
      <c r="A3448" s="6" t="s">
        <v>9960</v>
      </c>
      <c r="B3448" s="6" t="s">
        <v>9961</v>
      </c>
    </row>
    <row r="3449" ht="12.75" customHeight="1">
      <c r="A3449" s="6" t="s">
        <v>9962</v>
      </c>
      <c r="B3449" s="6" t="s">
        <v>9963</v>
      </c>
    </row>
    <row r="3450" ht="12.75" customHeight="1">
      <c r="A3450" s="6" t="s">
        <v>9964</v>
      </c>
      <c r="B3450" s="6" t="s">
        <v>9965</v>
      </c>
    </row>
    <row r="3451" ht="12.75" customHeight="1">
      <c r="A3451" s="6" t="s">
        <v>9966</v>
      </c>
      <c r="B3451" s="6" t="s">
        <v>9967</v>
      </c>
    </row>
    <row r="3452" ht="12.75" customHeight="1">
      <c r="A3452" s="6" t="s">
        <v>9968</v>
      </c>
      <c r="B3452" s="6" t="s">
        <v>9969</v>
      </c>
    </row>
    <row r="3453" ht="12.75" customHeight="1">
      <c r="A3453" s="6" t="s">
        <v>9970</v>
      </c>
      <c r="B3453" s="6" t="s">
        <v>9971</v>
      </c>
    </row>
    <row r="3454" ht="12.75" customHeight="1">
      <c r="A3454" s="6" t="s">
        <v>9972</v>
      </c>
      <c r="B3454" s="6" t="s">
        <v>9973</v>
      </c>
    </row>
    <row r="3455" ht="12.75" customHeight="1">
      <c r="A3455" s="6" t="s">
        <v>9974</v>
      </c>
      <c r="B3455" s="6" t="s">
        <v>9975</v>
      </c>
    </row>
    <row r="3456" ht="12.75" customHeight="1">
      <c r="A3456" s="6" t="s">
        <v>9976</v>
      </c>
      <c r="B3456" s="6" t="s">
        <v>9977</v>
      </c>
    </row>
    <row r="3457" ht="12.75" customHeight="1">
      <c r="A3457" s="6" t="s">
        <v>9978</v>
      </c>
      <c r="B3457" s="6" t="s">
        <v>9979</v>
      </c>
    </row>
    <row r="3458" ht="12.75" customHeight="1">
      <c r="A3458" s="6" t="s">
        <v>9980</v>
      </c>
      <c r="B3458" s="6" t="s">
        <v>9981</v>
      </c>
    </row>
    <row r="3459" ht="12.75" customHeight="1">
      <c r="A3459" s="6" t="s">
        <v>9982</v>
      </c>
      <c r="B3459" s="6" t="s">
        <v>9983</v>
      </c>
    </row>
    <row r="3460" ht="12.75" customHeight="1">
      <c r="A3460" s="6" t="s">
        <v>9984</v>
      </c>
      <c r="B3460" s="6" t="s">
        <v>9985</v>
      </c>
    </row>
    <row r="3461" ht="12.75" customHeight="1">
      <c r="A3461" s="6" t="s">
        <v>9986</v>
      </c>
      <c r="B3461" s="6" t="s">
        <v>9987</v>
      </c>
    </row>
    <row r="3462" ht="12.75" customHeight="1">
      <c r="A3462" s="6" t="s">
        <v>9988</v>
      </c>
      <c r="B3462" s="6" t="s">
        <v>9989</v>
      </c>
    </row>
    <row r="3463" ht="12.75" customHeight="1">
      <c r="A3463" s="6" t="s">
        <v>9990</v>
      </c>
      <c r="B3463" s="6" t="s">
        <v>9991</v>
      </c>
    </row>
    <row r="3464" ht="12.75" customHeight="1">
      <c r="A3464" s="6" t="s">
        <v>9992</v>
      </c>
      <c r="B3464" s="6" t="s">
        <v>9993</v>
      </c>
    </row>
    <row r="3465" ht="12.75" customHeight="1">
      <c r="A3465" s="6" t="s">
        <v>9994</v>
      </c>
      <c r="B3465" s="6" t="s">
        <v>9995</v>
      </c>
    </row>
    <row r="3466" ht="12.75" customHeight="1">
      <c r="A3466" s="6" t="s">
        <v>9996</v>
      </c>
      <c r="B3466" s="6" t="s">
        <v>9997</v>
      </c>
    </row>
    <row r="3467" ht="12.75" customHeight="1">
      <c r="A3467" s="6" t="s">
        <v>9998</v>
      </c>
      <c r="B3467" s="6" t="s">
        <v>9999</v>
      </c>
    </row>
    <row r="3468" ht="12.75" customHeight="1">
      <c r="A3468" s="6" t="s">
        <v>10000</v>
      </c>
      <c r="B3468" s="6" t="s">
        <v>10001</v>
      </c>
    </row>
    <row r="3469" ht="12.75" customHeight="1">
      <c r="A3469" s="6" t="s">
        <v>10002</v>
      </c>
      <c r="B3469" s="6" t="s">
        <v>10003</v>
      </c>
    </row>
    <row r="3470" ht="12.75" customHeight="1">
      <c r="A3470" s="6" t="s">
        <v>10004</v>
      </c>
      <c r="B3470" s="6" t="s">
        <v>10005</v>
      </c>
    </row>
    <row r="3471" ht="12.75" customHeight="1">
      <c r="A3471" s="6" t="s">
        <v>10006</v>
      </c>
      <c r="B3471" s="6" t="s">
        <v>10007</v>
      </c>
    </row>
    <row r="3472" ht="12.75" customHeight="1">
      <c r="A3472" s="6" t="s">
        <v>10008</v>
      </c>
      <c r="B3472" s="6" t="s">
        <v>10009</v>
      </c>
    </row>
    <row r="3473" ht="12.75" customHeight="1">
      <c r="A3473" s="6" t="s">
        <v>10010</v>
      </c>
      <c r="B3473" s="6" t="s">
        <v>10011</v>
      </c>
    </row>
    <row r="3474" ht="12.75" customHeight="1">
      <c r="A3474" s="6" t="s">
        <v>10012</v>
      </c>
      <c r="B3474" s="6" t="s">
        <v>1041</v>
      </c>
    </row>
    <row r="3475" ht="12.75" customHeight="1">
      <c r="A3475" s="6" t="s">
        <v>10013</v>
      </c>
      <c r="B3475" s="6" t="s">
        <v>10014</v>
      </c>
    </row>
    <row r="3476" ht="12.75" customHeight="1">
      <c r="A3476" s="6" t="s">
        <v>10015</v>
      </c>
      <c r="B3476" s="6" t="s">
        <v>10016</v>
      </c>
    </row>
    <row r="3477" ht="12.75" customHeight="1">
      <c r="A3477" s="6" t="s">
        <v>10017</v>
      </c>
      <c r="B3477" s="6" t="s">
        <v>10014</v>
      </c>
    </row>
    <row r="3478" ht="12.75" customHeight="1">
      <c r="A3478" s="6" t="s">
        <v>10018</v>
      </c>
      <c r="B3478" s="6" t="s">
        <v>10019</v>
      </c>
    </row>
    <row r="3479" ht="12.75" customHeight="1">
      <c r="A3479" s="6" t="s">
        <v>10020</v>
      </c>
      <c r="B3479" s="6" t="s">
        <v>10021</v>
      </c>
    </row>
    <row r="3480" ht="12.75" customHeight="1">
      <c r="A3480" s="6" t="s">
        <v>10022</v>
      </c>
      <c r="B3480" s="6" t="s">
        <v>10023</v>
      </c>
    </row>
    <row r="3481" ht="12.75" customHeight="1">
      <c r="A3481" s="6" t="s">
        <v>10024</v>
      </c>
      <c r="B3481" s="6" t="s">
        <v>10025</v>
      </c>
    </row>
    <row r="3482" ht="12.75" customHeight="1">
      <c r="A3482" s="6" t="s">
        <v>10026</v>
      </c>
      <c r="B3482" s="6" t="s">
        <v>10027</v>
      </c>
    </row>
    <row r="3483" ht="12.75" customHeight="1">
      <c r="A3483" s="6" t="s">
        <v>10028</v>
      </c>
      <c r="B3483" s="6" t="s">
        <v>10029</v>
      </c>
    </row>
    <row r="3484" ht="12.75" customHeight="1">
      <c r="A3484" s="6" t="s">
        <v>10030</v>
      </c>
      <c r="B3484" s="6" t="s">
        <v>10031</v>
      </c>
    </row>
    <row r="3485" ht="12.75" customHeight="1">
      <c r="A3485" s="6" t="s">
        <v>10032</v>
      </c>
      <c r="B3485" s="6" t="s">
        <v>10033</v>
      </c>
    </row>
    <row r="3486" ht="12.75" customHeight="1">
      <c r="A3486" s="6" t="s">
        <v>10034</v>
      </c>
      <c r="B3486" s="6" t="s">
        <v>10035</v>
      </c>
    </row>
    <row r="3487" ht="12.75" customHeight="1">
      <c r="A3487" s="6" t="s">
        <v>10036</v>
      </c>
      <c r="B3487" s="6" t="s">
        <v>10037</v>
      </c>
    </row>
    <row r="3488" ht="12.75" customHeight="1">
      <c r="A3488" s="6" t="s">
        <v>10038</v>
      </c>
      <c r="B3488" s="6" t="s">
        <v>10039</v>
      </c>
    </row>
    <row r="3489" ht="12.75" customHeight="1">
      <c r="A3489" s="6" t="s">
        <v>10040</v>
      </c>
      <c r="B3489" s="6" t="s">
        <v>10041</v>
      </c>
    </row>
    <row r="3490" ht="12.75" customHeight="1">
      <c r="A3490" s="6" t="s">
        <v>10042</v>
      </c>
      <c r="B3490" s="6" t="s">
        <v>10043</v>
      </c>
    </row>
    <row r="3491" ht="12.75" customHeight="1">
      <c r="A3491" s="6" t="s">
        <v>10044</v>
      </c>
      <c r="B3491" s="6" t="s">
        <v>10045</v>
      </c>
    </row>
    <row r="3492" ht="12.75" customHeight="1">
      <c r="A3492" s="6" t="s">
        <v>10046</v>
      </c>
      <c r="B3492" s="6" t="s">
        <v>10047</v>
      </c>
    </row>
    <row r="3493" ht="12.75" customHeight="1">
      <c r="A3493" s="6" t="s">
        <v>10048</v>
      </c>
      <c r="B3493" s="6" t="s">
        <v>1290</v>
      </c>
    </row>
    <row r="3494" ht="12.75" customHeight="1">
      <c r="A3494" s="6" t="s">
        <v>10049</v>
      </c>
      <c r="B3494" s="6" t="s">
        <v>10050</v>
      </c>
    </row>
    <row r="3495" ht="12.75" customHeight="1">
      <c r="A3495" s="6" t="s">
        <v>10051</v>
      </c>
      <c r="B3495" s="6" t="s">
        <v>10052</v>
      </c>
    </row>
    <row r="3496" ht="12.75" customHeight="1">
      <c r="A3496" s="6" t="s">
        <v>10053</v>
      </c>
      <c r="B3496" s="6" t="s">
        <v>10054</v>
      </c>
    </row>
    <row r="3497" ht="12.75" customHeight="1">
      <c r="A3497" s="6" t="s">
        <v>10055</v>
      </c>
      <c r="B3497" s="6" t="s">
        <v>10056</v>
      </c>
    </row>
    <row r="3498" ht="12.75" customHeight="1">
      <c r="A3498" s="6" t="s">
        <v>10057</v>
      </c>
      <c r="B3498" s="6" t="s">
        <v>1632</v>
      </c>
    </row>
    <row r="3499" ht="12.75" customHeight="1">
      <c r="A3499" s="6" t="s">
        <v>10058</v>
      </c>
      <c r="B3499" s="6" t="s">
        <v>3130</v>
      </c>
    </row>
    <row r="3500" ht="12.75" customHeight="1">
      <c r="A3500" s="6" t="s">
        <v>10059</v>
      </c>
      <c r="B3500" s="6" t="s">
        <v>10060</v>
      </c>
    </row>
    <row r="3501" ht="12.75" customHeight="1">
      <c r="A3501" s="6" t="s">
        <v>10061</v>
      </c>
      <c r="B3501" s="6" t="s">
        <v>10062</v>
      </c>
    </row>
    <row r="3502" ht="12.75" customHeight="1">
      <c r="A3502" s="6" t="s">
        <v>10063</v>
      </c>
      <c r="B3502" s="6" t="s">
        <v>10064</v>
      </c>
    </row>
    <row r="3503" ht="12.75" customHeight="1">
      <c r="A3503" s="6" t="s">
        <v>10065</v>
      </c>
      <c r="B3503" s="6" t="s">
        <v>10066</v>
      </c>
    </row>
    <row r="3504" ht="12.75" customHeight="1">
      <c r="A3504" s="6" t="s">
        <v>10067</v>
      </c>
      <c r="B3504" s="6" t="s">
        <v>10068</v>
      </c>
    </row>
    <row r="3505" ht="12.75" customHeight="1">
      <c r="A3505" s="6" t="s">
        <v>10069</v>
      </c>
      <c r="B3505" s="6" t="s">
        <v>10070</v>
      </c>
    </row>
    <row r="3506" ht="12.75" customHeight="1">
      <c r="A3506" s="6" t="s">
        <v>10071</v>
      </c>
      <c r="B3506" s="6" t="s">
        <v>10072</v>
      </c>
    </row>
    <row r="3507" ht="12.75" customHeight="1">
      <c r="A3507" s="6" t="s">
        <v>10073</v>
      </c>
      <c r="B3507" s="6" t="s">
        <v>10074</v>
      </c>
    </row>
    <row r="3508" ht="12.75" customHeight="1">
      <c r="A3508" s="6" t="s">
        <v>10075</v>
      </c>
      <c r="B3508" s="6" t="s">
        <v>10076</v>
      </c>
    </row>
    <row r="3509" ht="12.75" customHeight="1">
      <c r="A3509" s="6" t="s">
        <v>10077</v>
      </c>
      <c r="B3509" s="6" t="s">
        <v>1912</v>
      </c>
    </row>
    <row r="3510" ht="12.75" customHeight="1">
      <c r="A3510" s="6" t="s">
        <v>10078</v>
      </c>
      <c r="B3510" s="6" t="s">
        <v>10079</v>
      </c>
    </row>
    <row r="3511" ht="12.75" customHeight="1">
      <c r="A3511" s="6" t="s">
        <v>10080</v>
      </c>
      <c r="B3511" s="6" t="s">
        <v>10081</v>
      </c>
    </row>
    <row r="3512" ht="12.75" customHeight="1">
      <c r="A3512" s="6" t="s">
        <v>10082</v>
      </c>
      <c r="B3512" s="6" t="s">
        <v>10083</v>
      </c>
    </row>
    <row r="3513" ht="12.75" customHeight="1">
      <c r="A3513" s="6" t="s">
        <v>10084</v>
      </c>
      <c r="B3513" s="6" t="s">
        <v>10085</v>
      </c>
    </row>
    <row r="3514" ht="12.75" customHeight="1">
      <c r="A3514" s="6" t="s">
        <v>10086</v>
      </c>
      <c r="B3514" s="6" t="s">
        <v>10087</v>
      </c>
    </row>
    <row r="3515" ht="12.75" customHeight="1">
      <c r="A3515" s="6" t="s">
        <v>10088</v>
      </c>
      <c r="B3515" s="6" t="s">
        <v>10089</v>
      </c>
    </row>
    <row r="3516" ht="12.75" customHeight="1">
      <c r="A3516" s="6" t="s">
        <v>10090</v>
      </c>
      <c r="B3516" s="6" t="s">
        <v>10091</v>
      </c>
    </row>
    <row r="3517" ht="12.75" customHeight="1">
      <c r="A3517" s="6" t="s">
        <v>10092</v>
      </c>
      <c r="B3517" s="6" t="s">
        <v>10093</v>
      </c>
    </row>
    <row r="3518" ht="12.75" customHeight="1">
      <c r="A3518" s="6" t="s">
        <v>10094</v>
      </c>
      <c r="B3518" s="6" t="s">
        <v>10095</v>
      </c>
    </row>
    <row r="3519" ht="12.75" customHeight="1">
      <c r="A3519" s="6" t="s">
        <v>10096</v>
      </c>
      <c r="B3519" s="6" t="s">
        <v>10097</v>
      </c>
    </row>
    <row r="3520" ht="12.75" customHeight="1">
      <c r="A3520" s="6" t="s">
        <v>10098</v>
      </c>
      <c r="B3520" s="6" t="s">
        <v>3468</v>
      </c>
    </row>
    <row r="3521" ht="12.75" customHeight="1">
      <c r="A3521" s="6" t="s">
        <v>10099</v>
      </c>
      <c r="B3521" s="6" t="s">
        <v>10100</v>
      </c>
    </row>
    <row r="3522" ht="12.75" customHeight="1">
      <c r="A3522" s="6" t="s">
        <v>10101</v>
      </c>
      <c r="B3522" s="6" t="s">
        <v>10102</v>
      </c>
    </row>
    <row r="3523" ht="12.75" customHeight="1">
      <c r="A3523" s="6" t="s">
        <v>10103</v>
      </c>
      <c r="B3523" s="6" t="s">
        <v>10104</v>
      </c>
    </row>
    <row r="3524" ht="12.75" customHeight="1">
      <c r="A3524" s="6" t="s">
        <v>10105</v>
      </c>
      <c r="B3524" s="6" t="s">
        <v>9945</v>
      </c>
    </row>
    <row r="3525" ht="12.75" customHeight="1">
      <c r="A3525" s="6" t="s">
        <v>10106</v>
      </c>
      <c r="B3525" s="6" t="s">
        <v>10107</v>
      </c>
    </row>
    <row r="3526" ht="12.75" customHeight="1">
      <c r="A3526" s="6" t="s">
        <v>10108</v>
      </c>
      <c r="B3526" s="6" t="s">
        <v>10109</v>
      </c>
    </row>
    <row r="3527" ht="12.75" customHeight="1">
      <c r="A3527" s="6" t="s">
        <v>10110</v>
      </c>
      <c r="B3527" s="6" t="s">
        <v>10111</v>
      </c>
    </row>
    <row r="3528" ht="12.75" customHeight="1">
      <c r="A3528" s="6" t="s">
        <v>10112</v>
      </c>
      <c r="B3528" s="6" t="s">
        <v>10113</v>
      </c>
    </row>
    <row r="3529" ht="12.75" customHeight="1">
      <c r="A3529" s="6" t="s">
        <v>10114</v>
      </c>
      <c r="B3529" s="6" t="s">
        <v>10115</v>
      </c>
    </row>
    <row r="3530" ht="12.75" customHeight="1">
      <c r="A3530" s="6" t="s">
        <v>10116</v>
      </c>
      <c r="B3530" s="6" t="s">
        <v>10117</v>
      </c>
    </row>
    <row r="3531" ht="12.75" customHeight="1">
      <c r="A3531" s="6" t="s">
        <v>10118</v>
      </c>
      <c r="B3531" s="6" t="s">
        <v>10119</v>
      </c>
    </row>
    <row r="3532" ht="12.75" customHeight="1">
      <c r="A3532" s="6" t="s">
        <v>10120</v>
      </c>
      <c r="B3532" s="6" t="s">
        <v>10121</v>
      </c>
    </row>
    <row r="3533" ht="12.75" customHeight="1">
      <c r="A3533" s="6" t="s">
        <v>10122</v>
      </c>
      <c r="B3533" s="6" t="s">
        <v>10123</v>
      </c>
    </row>
    <row r="3534" ht="12.75" customHeight="1">
      <c r="A3534" s="6" t="s">
        <v>10124</v>
      </c>
      <c r="B3534" s="6" t="s">
        <v>10125</v>
      </c>
    </row>
    <row r="3535" ht="12.75" customHeight="1">
      <c r="A3535" s="6" t="s">
        <v>10126</v>
      </c>
      <c r="B3535" s="6" t="s">
        <v>10127</v>
      </c>
    </row>
    <row r="3536" ht="12.75" customHeight="1">
      <c r="A3536" s="6" t="s">
        <v>10128</v>
      </c>
      <c r="B3536" s="6" t="s">
        <v>10129</v>
      </c>
    </row>
    <row r="3537" ht="12.75" customHeight="1">
      <c r="A3537" s="6" t="s">
        <v>10130</v>
      </c>
      <c r="B3537" s="6" t="s">
        <v>812</v>
      </c>
    </row>
    <row r="3538" ht="12.75" customHeight="1">
      <c r="A3538" s="6" t="s">
        <v>10131</v>
      </c>
      <c r="B3538" s="6" t="s">
        <v>10132</v>
      </c>
    </row>
    <row r="3539" ht="12.75" customHeight="1">
      <c r="A3539" s="6" t="s">
        <v>10133</v>
      </c>
      <c r="B3539" s="6" t="s">
        <v>10134</v>
      </c>
    </row>
    <row r="3540" ht="12.75" customHeight="1">
      <c r="A3540" s="6" t="s">
        <v>10135</v>
      </c>
      <c r="B3540" s="6" t="s">
        <v>10136</v>
      </c>
    </row>
    <row r="3541" ht="12.75" customHeight="1">
      <c r="A3541" s="6" t="s">
        <v>10137</v>
      </c>
      <c r="B3541" s="6" t="s">
        <v>10138</v>
      </c>
    </row>
    <row r="3542" ht="12.75" customHeight="1">
      <c r="A3542" s="6" t="s">
        <v>10139</v>
      </c>
      <c r="B3542" s="6" t="s">
        <v>10140</v>
      </c>
    </row>
    <row r="3543" ht="12.75" customHeight="1">
      <c r="A3543" s="6" t="s">
        <v>10141</v>
      </c>
      <c r="B3543" s="6" t="s">
        <v>10142</v>
      </c>
    </row>
    <row r="3544" ht="12.75" customHeight="1">
      <c r="A3544" s="6" t="s">
        <v>10143</v>
      </c>
      <c r="B3544" s="6" t="s">
        <v>1600</v>
      </c>
    </row>
    <row r="3545" ht="12.75" customHeight="1">
      <c r="A3545" s="6" t="s">
        <v>10144</v>
      </c>
      <c r="B3545" s="6" t="s">
        <v>826</v>
      </c>
    </row>
    <row r="3546" ht="12.75" customHeight="1">
      <c r="A3546" s="6" t="s">
        <v>10145</v>
      </c>
      <c r="B3546" s="6" t="s">
        <v>2796</v>
      </c>
    </row>
    <row r="3547" ht="12.75" customHeight="1">
      <c r="A3547" s="6" t="s">
        <v>10146</v>
      </c>
      <c r="B3547" s="6" t="s">
        <v>10147</v>
      </c>
    </row>
    <row r="3548" ht="12.75" customHeight="1">
      <c r="A3548" s="6" t="s">
        <v>10148</v>
      </c>
      <c r="B3548" s="6" t="s">
        <v>10149</v>
      </c>
    </row>
    <row r="3549" ht="12.75" customHeight="1">
      <c r="A3549" s="6" t="s">
        <v>10150</v>
      </c>
      <c r="B3549" s="6" t="s">
        <v>10151</v>
      </c>
    </row>
    <row r="3550" ht="12.75" customHeight="1">
      <c r="A3550" s="6" t="s">
        <v>10152</v>
      </c>
    </row>
    <row r="3551" ht="12.75" customHeight="1">
      <c r="A3551" s="6" t="s">
        <v>10153</v>
      </c>
      <c r="B3551" s="6" t="s">
        <v>323</v>
      </c>
    </row>
    <row r="3552" ht="12.75" customHeight="1">
      <c r="A3552" s="6" t="s">
        <v>10154</v>
      </c>
      <c r="B3552" s="6" t="s">
        <v>10155</v>
      </c>
    </row>
    <row r="3553" ht="12.75" customHeight="1">
      <c r="A3553" s="6" t="s">
        <v>10156</v>
      </c>
      <c r="B3553" s="6" t="s">
        <v>10157</v>
      </c>
    </row>
    <row r="3554" ht="12.75" customHeight="1">
      <c r="A3554" s="6" t="s">
        <v>10158</v>
      </c>
      <c r="B3554" s="6" t="s">
        <v>10159</v>
      </c>
    </row>
    <row r="3555" ht="12.75" customHeight="1">
      <c r="A3555" s="6" t="s">
        <v>10160</v>
      </c>
      <c r="B3555" s="6" t="s">
        <v>10161</v>
      </c>
    </row>
    <row r="3556" ht="12.75" customHeight="1">
      <c r="A3556" s="6" t="s">
        <v>10162</v>
      </c>
      <c r="B3556" s="6" t="s">
        <v>10163</v>
      </c>
    </row>
    <row r="3557" ht="12.75" customHeight="1">
      <c r="A3557" s="6" t="s">
        <v>10164</v>
      </c>
      <c r="B3557" s="6" t="s">
        <v>10165</v>
      </c>
    </row>
    <row r="3558" ht="12.75" customHeight="1">
      <c r="A3558" s="6" t="s">
        <v>10166</v>
      </c>
      <c r="B3558" s="6" t="s">
        <v>10167</v>
      </c>
    </row>
    <row r="3559" ht="12.75" customHeight="1">
      <c r="A3559" s="6" t="s">
        <v>10168</v>
      </c>
      <c r="B3559" s="6" t="s">
        <v>10169</v>
      </c>
    </row>
    <row r="3560" ht="12.75" customHeight="1">
      <c r="A3560" s="6" t="s">
        <v>10170</v>
      </c>
      <c r="B3560" s="6" t="s">
        <v>10171</v>
      </c>
    </row>
    <row r="3561" ht="12.75" customHeight="1">
      <c r="A3561" s="6" t="s">
        <v>10172</v>
      </c>
      <c r="B3561" s="6" t="s">
        <v>3003</v>
      </c>
    </row>
    <row r="3562" ht="12.75" customHeight="1">
      <c r="A3562" s="6" t="s">
        <v>10173</v>
      </c>
      <c r="B3562" s="6" t="s">
        <v>10174</v>
      </c>
    </row>
    <row r="3563" ht="12.75" customHeight="1">
      <c r="A3563" s="6" t="s">
        <v>10175</v>
      </c>
    </row>
    <row r="3564" ht="12.75" customHeight="1">
      <c r="A3564" s="6" t="s">
        <v>10176</v>
      </c>
      <c r="B3564" s="6" t="s">
        <v>10177</v>
      </c>
    </row>
    <row r="3565" ht="12.75" customHeight="1">
      <c r="A3565" s="6" t="s">
        <v>10178</v>
      </c>
      <c r="B3565" s="6" t="s">
        <v>10179</v>
      </c>
    </row>
    <row r="3566" ht="12.75" customHeight="1">
      <c r="A3566" s="6" t="s">
        <v>10180</v>
      </c>
      <c r="B3566" s="6" t="s">
        <v>10181</v>
      </c>
    </row>
    <row r="3567" ht="12.75" customHeight="1">
      <c r="A3567" s="6" t="s">
        <v>10182</v>
      </c>
      <c r="B3567" s="6" t="s">
        <v>10183</v>
      </c>
    </row>
    <row r="3568" ht="12.75" customHeight="1">
      <c r="A3568" s="6" t="s">
        <v>10184</v>
      </c>
      <c r="B3568" s="6" t="s">
        <v>10185</v>
      </c>
    </row>
    <row r="3569" ht="12.75" customHeight="1">
      <c r="A3569" s="6" t="s">
        <v>10186</v>
      </c>
      <c r="B3569" s="6" t="s">
        <v>10187</v>
      </c>
    </row>
    <row r="3570" ht="12.75" customHeight="1">
      <c r="A3570" s="6" t="s">
        <v>10188</v>
      </c>
      <c r="B3570" s="6" t="s">
        <v>10189</v>
      </c>
    </row>
    <row r="3571" ht="12.75" customHeight="1">
      <c r="A3571" s="6" t="s">
        <v>10190</v>
      </c>
      <c r="B3571" s="6" t="s">
        <v>10191</v>
      </c>
    </row>
    <row r="3572" ht="12.75" customHeight="1">
      <c r="A3572" s="6" t="s">
        <v>10192</v>
      </c>
      <c r="B3572" s="6" t="s">
        <v>10193</v>
      </c>
    </row>
    <row r="3573" ht="12.75" customHeight="1">
      <c r="A3573" s="6" t="s">
        <v>10194</v>
      </c>
      <c r="B3573" s="6" t="s">
        <v>10195</v>
      </c>
    </row>
    <row r="3574" ht="12.75" customHeight="1">
      <c r="A3574" s="6" t="s">
        <v>10196</v>
      </c>
      <c r="B3574" s="6" t="s">
        <v>3743</v>
      </c>
    </row>
    <row r="3575" ht="12.75" customHeight="1">
      <c r="A3575" s="6" t="s">
        <v>10197</v>
      </c>
      <c r="B3575" s="6" t="s">
        <v>10198</v>
      </c>
    </row>
    <row r="3576" ht="12.75" customHeight="1">
      <c r="A3576" s="6" t="s">
        <v>10199</v>
      </c>
      <c r="B3576" s="6" t="s">
        <v>10200</v>
      </c>
    </row>
    <row r="3577" ht="12.75" customHeight="1">
      <c r="A3577" s="6" t="s">
        <v>10201</v>
      </c>
      <c r="B3577" s="6" t="s">
        <v>10202</v>
      </c>
    </row>
    <row r="3578" ht="12.75" customHeight="1">
      <c r="A3578" s="6" t="s">
        <v>10203</v>
      </c>
      <c r="B3578" s="6" t="s">
        <v>10204</v>
      </c>
    </row>
    <row r="3579" ht="12.75" customHeight="1">
      <c r="A3579" s="6" t="s">
        <v>10205</v>
      </c>
      <c r="B3579" s="6" t="s">
        <v>1923</v>
      </c>
    </row>
    <row r="3580" ht="12.75" customHeight="1">
      <c r="A3580" s="6" t="s">
        <v>10206</v>
      </c>
      <c r="B3580" s="6" t="s">
        <v>10207</v>
      </c>
    </row>
    <row r="3581" ht="12.75" customHeight="1">
      <c r="A3581" s="6" t="s">
        <v>10208</v>
      </c>
      <c r="B3581" s="6" t="s">
        <v>10209</v>
      </c>
    </row>
    <row r="3582" ht="12.75" customHeight="1">
      <c r="A3582" s="6" t="s">
        <v>10210</v>
      </c>
      <c r="B3582" s="6" t="s">
        <v>10211</v>
      </c>
    </row>
    <row r="3583" ht="12.75" customHeight="1">
      <c r="A3583" s="6" t="s">
        <v>10212</v>
      </c>
      <c r="B3583" s="6" t="s">
        <v>10213</v>
      </c>
    </row>
    <row r="3584" ht="12.75" customHeight="1">
      <c r="A3584" s="6" t="s">
        <v>10214</v>
      </c>
      <c r="B3584" s="6" t="s">
        <v>10215</v>
      </c>
    </row>
    <row r="3585" ht="12.75" customHeight="1">
      <c r="A3585" s="6" t="s">
        <v>10216</v>
      </c>
      <c r="B3585" s="6" t="s">
        <v>1202</v>
      </c>
    </row>
    <row r="3586" ht="12.75" customHeight="1">
      <c r="A3586" s="6" t="s">
        <v>10217</v>
      </c>
      <c r="B3586" s="6" t="s">
        <v>10218</v>
      </c>
    </row>
    <row r="3587" ht="12.75" customHeight="1">
      <c r="A3587" s="6" t="s">
        <v>10219</v>
      </c>
      <c r="B3587" s="6" t="s">
        <v>10220</v>
      </c>
    </row>
    <row r="3588" ht="12.75" customHeight="1">
      <c r="A3588" s="6" t="s">
        <v>10221</v>
      </c>
      <c r="B3588" s="6" t="s">
        <v>834</v>
      </c>
    </row>
    <row r="3589" ht="12.75" customHeight="1">
      <c r="A3589" s="6" t="s">
        <v>10222</v>
      </c>
      <c r="B3589" s="6" t="s">
        <v>1561</v>
      </c>
    </row>
    <row r="3590" ht="12.75" customHeight="1">
      <c r="A3590" s="6" t="s">
        <v>10223</v>
      </c>
      <c r="B3590" s="6" t="s">
        <v>10224</v>
      </c>
    </row>
    <row r="3591" ht="12.75" customHeight="1">
      <c r="A3591" s="6" t="s">
        <v>10225</v>
      </c>
      <c r="B3591" s="6" t="s">
        <v>3552</v>
      </c>
    </row>
    <row r="3592" ht="12.75" customHeight="1">
      <c r="A3592" s="6" t="s">
        <v>10226</v>
      </c>
      <c r="B3592" s="6" t="s">
        <v>10227</v>
      </c>
    </row>
    <row r="3593" ht="12.75" customHeight="1">
      <c r="A3593" s="6" t="s">
        <v>10228</v>
      </c>
      <c r="B3593" s="6" t="s">
        <v>10229</v>
      </c>
    </row>
    <row r="3594" ht="12.75" customHeight="1">
      <c r="A3594" s="6" t="s">
        <v>10230</v>
      </c>
      <c r="B3594" s="6" t="s">
        <v>10231</v>
      </c>
    </row>
    <row r="3595" ht="12.75" customHeight="1">
      <c r="A3595" s="6" t="s">
        <v>10232</v>
      </c>
      <c r="B3595" s="6" t="s">
        <v>10233</v>
      </c>
    </row>
    <row r="3596" ht="12.75" customHeight="1">
      <c r="A3596" s="6" t="s">
        <v>10234</v>
      </c>
      <c r="B3596" s="6" t="s">
        <v>10235</v>
      </c>
    </row>
    <row r="3597" ht="12.75" customHeight="1">
      <c r="A3597" s="6" t="s">
        <v>10236</v>
      </c>
      <c r="B3597" s="6" t="s">
        <v>1057</v>
      </c>
    </row>
    <row r="3598" ht="12.75" customHeight="1">
      <c r="A3598" s="6" t="s">
        <v>10237</v>
      </c>
      <c r="B3598" s="6" t="s">
        <v>10238</v>
      </c>
    </row>
    <row r="3599" ht="12.75" customHeight="1">
      <c r="A3599" s="6" t="s">
        <v>10239</v>
      </c>
      <c r="B3599" s="6" t="s">
        <v>10240</v>
      </c>
    </row>
    <row r="3600" ht="12.75" customHeight="1">
      <c r="A3600" s="6" t="s">
        <v>10241</v>
      </c>
      <c r="B3600" s="6" t="s">
        <v>10242</v>
      </c>
    </row>
    <row r="3601" ht="12.75" customHeight="1">
      <c r="A3601" s="6" t="s">
        <v>10243</v>
      </c>
      <c r="B3601" s="6" t="s">
        <v>842</v>
      </c>
    </row>
    <row r="3602" ht="12.75" customHeight="1">
      <c r="A3602" s="6" t="s">
        <v>10244</v>
      </c>
      <c r="B3602" s="6" t="s">
        <v>10245</v>
      </c>
    </row>
    <row r="3603" ht="12.75" customHeight="1">
      <c r="A3603" s="6" t="s">
        <v>10246</v>
      </c>
      <c r="B3603" s="6" t="s">
        <v>10247</v>
      </c>
    </row>
    <row r="3604" ht="12.75" customHeight="1">
      <c r="A3604" s="6" t="s">
        <v>10248</v>
      </c>
      <c r="B3604" s="6" t="s">
        <v>10249</v>
      </c>
    </row>
    <row r="3605" ht="12.75" customHeight="1">
      <c r="A3605" s="6" t="s">
        <v>10250</v>
      </c>
      <c r="B3605" s="6" t="s">
        <v>10251</v>
      </c>
    </row>
    <row r="3606" ht="12.75" customHeight="1">
      <c r="A3606" s="6" t="s">
        <v>10252</v>
      </c>
      <c r="B3606" s="6" t="s">
        <v>10253</v>
      </c>
    </row>
    <row r="3607" ht="12.75" customHeight="1">
      <c r="A3607" s="6" t="s">
        <v>10254</v>
      </c>
      <c r="B3607" s="6" t="s">
        <v>10255</v>
      </c>
    </row>
    <row r="3608" ht="12.75" customHeight="1">
      <c r="A3608" s="6" t="s">
        <v>10256</v>
      </c>
      <c r="B3608" s="6" t="s">
        <v>10257</v>
      </c>
    </row>
    <row r="3609" ht="12.75" customHeight="1">
      <c r="A3609" s="6" t="s">
        <v>10258</v>
      </c>
      <c r="B3609" s="6" t="s">
        <v>10259</v>
      </c>
    </row>
    <row r="3610" ht="12.75" customHeight="1">
      <c r="A3610" s="6" t="s">
        <v>10260</v>
      </c>
      <c r="B3610" s="6" t="s">
        <v>10261</v>
      </c>
    </row>
    <row r="3611" ht="12.75" customHeight="1">
      <c r="A3611" s="6" t="s">
        <v>10262</v>
      </c>
      <c r="B3611" s="6" t="s">
        <v>10263</v>
      </c>
    </row>
    <row r="3612" ht="12.75" customHeight="1">
      <c r="A3612" s="6" t="s">
        <v>10264</v>
      </c>
      <c r="B3612" s="6" t="s">
        <v>10265</v>
      </c>
    </row>
    <row r="3613" ht="12.75" customHeight="1">
      <c r="A3613" s="6" t="s">
        <v>10266</v>
      </c>
      <c r="B3613" s="6" t="s">
        <v>10267</v>
      </c>
    </row>
    <row r="3614" ht="12.75" customHeight="1">
      <c r="A3614" s="6" t="s">
        <v>10268</v>
      </c>
      <c r="B3614" s="6" t="s">
        <v>10269</v>
      </c>
    </row>
    <row r="3615" ht="12.75" customHeight="1">
      <c r="A3615" s="6" t="s">
        <v>10270</v>
      </c>
      <c r="B3615" s="6" t="s">
        <v>10271</v>
      </c>
    </row>
    <row r="3616" ht="12.75" customHeight="1">
      <c r="A3616" s="6" t="s">
        <v>10272</v>
      </c>
      <c r="B3616" s="6" t="s">
        <v>10273</v>
      </c>
    </row>
    <row r="3617" ht="12.75" customHeight="1">
      <c r="A3617" s="6" t="s">
        <v>10274</v>
      </c>
      <c r="B3617" s="6" t="s">
        <v>10275</v>
      </c>
    </row>
    <row r="3618" ht="12.75" customHeight="1">
      <c r="A3618" s="6" t="s">
        <v>10276</v>
      </c>
      <c r="B3618" s="6" t="s">
        <v>10277</v>
      </c>
    </row>
    <row r="3619" ht="12.75" customHeight="1">
      <c r="A3619" s="6" t="s">
        <v>10278</v>
      </c>
      <c r="B3619" s="6" t="s">
        <v>10279</v>
      </c>
    </row>
    <row r="3620" ht="12.75" customHeight="1">
      <c r="A3620" s="6" t="s">
        <v>10280</v>
      </c>
      <c r="B3620" s="6" t="s">
        <v>10281</v>
      </c>
    </row>
    <row r="3621" ht="12.75" customHeight="1">
      <c r="A3621" s="6" t="s">
        <v>10282</v>
      </c>
      <c r="B3621" s="6" t="s">
        <v>642</v>
      </c>
    </row>
    <row r="3622" ht="12.75" customHeight="1">
      <c r="A3622" s="6" t="s">
        <v>10283</v>
      </c>
      <c r="B3622" s="6" t="s">
        <v>10284</v>
      </c>
    </row>
    <row r="3623" ht="12.75" customHeight="1">
      <c r="A3623" s="6" t="s">
        <v>10285</v>
      </c>
      <c r="B3623" s="6" t="s">
        <v>3819</v>
      </c>
    </row>
    <row r="3624" ht="12.75" customHeight="1">
      <c r="A3624" s="6" t="s">
        <v>10286</v>
      </c>
      <c r="B3624" s="6" t="s">
        <v>10287</v>
      </c>
    </row>
    <row r="3625" ht="12.75" customHeight="1">
      <c r="A3625" s="6" t="s">
        <v>10288</v>
      </c>
      <c r="B3625" s="6" t="s">
        <v>1270</v>
      </c>
    </row>
    <row r="3626" ht="12.75" customHeight="1">
      <c r="A3626" s="6" t="s">
        <v>10289</v>
      </c>
      <c r="B3626" s="6" t="s">
        <v>191</v>
      </c>
    </row>
    <row r="3627" ht="12.75" customHeight="1">
      <c r="A3627" s="6" t="s">
        <v>10290</v>
      </c>
      <c r="B3627" s="6" t="s">
        <v>1682</v>
      </c>
    </row>
    <row r="3628" ht="12.75" customHeight="1">
      <c r="A3628" s="6" t="s">
        <v>10291</v>
      </c>
      <c r="B3628" s="6" t="s">
        <v>1245</v>
      </c>
    </row>
    <row r="3629" ht="12.75" customHeight="1">
      <c r="A3629" s="6" t="s">
        <v>10292</v>
      </c>
      <c r="B3629" s="6" t="s">
        <v>10293</v>
      </c>
    </row>
    <row r="3630" ht="12.75" customHeight="1">
      <c r="A3630" s="6" t="s">
        <v>10294</v>
      </c>
      <c r="B3630" s="6" t="s">
        <v>10295</v>
      </c>
    </row>
    <row r="3631" ht="12.75" customHeight="1">
      <c r="A3631" s="6" t="s">
        <v>10296</v>
      </c>
      <c r="B3631" s="6" t="s">
        <v>10297</v>
      </c>
    </row>
    <row r="3632" ht="12.75" customHeight="1">
      <c r="A3632" s="6" t="s">
        <v>10298</v>
      </c>
      <c r="B3632" s="6" t="s">
        <v>10299</v>
      </c>
    </row>
    <row r="3633" ht="12.75" customHeight="1">
      <c r="A3633" s="6" t="s">
        <v>10300</v>
      </c>
      <c r="B3633" s="6" t="s">
        <v>10301</v>
      </c>
    </row>
    <row r="3634" ht="12.75" customHeight="1">
      <c r="A3634" s="6" t="s">
        <v>10302</v>
      </c>
      <c r="B3634" s="6" t="s">
        <v>10303</v>
      </c>
    </row>
    <row r="3635" ht="12.75" customHeight="1">
      <c r="A3635" s="6" t="s">
        <v>10304</v>
      </c>
      <c r="B3635" s="6" t="s">
        <v>10305</v>
      </c>
    </row>
    <row r="3636" ht="12.75" customHeight="1">
      <c r="A3636" s="6" t="s">
        <v>10306</v>
      </c>
      <c r="B3636" s="6" t="s">
        <v>3693</v>
      </c>
    </row>
    <row r="3637" ht="12.75" customHeight="1">
      <c r="A3637" s="6" t="s">
        <v>10307</v>
      </c>
      <c r="B3637" s="6" t="s">
        <v>10308</v>
      </c>
    </row>
    <row r="3638" ht="12.75" customHeight="1">
      <c r="A3638" s="6" t="s">
        <v>10309</v>
      </c>
      <c r="B3638" s="6" t="s">
        <v>3826</v>
      </c>
    </row>
    <row r="3639" ht="12.75" customHeight="1">
      <c r="A3639" s="6" t="s">
        <v>10310</v>
      </c>
      <c r="B3639" s="6" t="s">
        <v>822</v>
      </c>
    </row>
    <row r="3640" ht="12.75" customHeight="1">
      <c r="A3640" s="6" t="s">
        <v>10311</v>
      </c>
      <c r="B3640" s="6" t="s">
        <v>10312</v>
      </c>
    </row>
    <row r="3641" ht="12.75" customHeight="1">
      <c r="A3641" s="6" t="s">
        <v>10313</v>
      </c>
      <c r="B3641" s="6" t="s">
        <v>2476</v>
      </c>
    </row>
    <row r="3642" ht="12.75" customHeight="1">
      <c r="A3642" s="6" t="s">
        <v>10314</v>
      </c>
      <c r="B3642" s="6" t="s">
        <v>1253</v>
      </c>
    </row>
    <row r="3643" ht="12.75" customHeight="1">
      <c r="A3643" s="6" t="s">
        <v>10315</v>
      </c>
      <c r="B3643" s="6" t="s">
        <v>2392</v>
      </c>
    </row>
    <row r="3644" ht="12.75" customHeight="1">
      <c r="A3644" s="6" t="s">
        <v>10316</v>
      </c>
      <c r="B3644" s="6" t="s">
        <v>2389</v>
      </c>
    </row>
    <row r="3645" ht="12.75" customHeight="1">
      <c r="A3645" s="6" t="s">
        <v>10317</v>
      </c>
      <c r="B3645" s="6" t="s">
        <v>10318</v>
      </c>
    </row>
    <row r="3646" ht="12.75" customHeight="1">
      <c r="A3646" s="6" t="s">
        <v>10319</v>
      </c>
      <c r="B3646" s="6" t="s">
        <v>10320</v>
      </c>
    </row>
    <row r="3647" ht="12.75" customHeight="1">
      <c r="A3647" s="6" t="s">
        <v>10321</v>
      </c>
      <c r="B3647" s="6" t="s">
        <v>2538</v>
      </c>
    </row>
    <row r="3648" ht="12.75" customHeight="1">
      <c r="A3648" s="6" t="s">
        <v>10322</v>
      </c>
      <c r="B3648" s="6" t="s">
        <v>454</v>
      </c>
    </row>
    <row r="3649" ht="12.75" customHeight="1">
      <c r="A3649" s="6" t="s">
        <v>10323</v>
      </c>
      <c r="B3649" s="6" t="s">
        <v>10324</v>
      </c>
    </row>
    <row r="3650" ht="12.75" customHeight="1">
      <c r="A3650" s="6" t="s">
        <v>10325</v>
      </c>
      <c r="B3650" s="6" t="s">
        <v>10326</v>
      </c>
    </row>
    <row r="3651" ht="12.75" customHeight="1">
      <c r="A3651" s="6" t="s">
        <v>10327</v>
      </c>
      <c r="B3651" s="6" t="s">
        <v>10328</v>
      </c>
    </row>
    <row r="3652" ht="12.75" customHeight="1">
      <c r="A3652" s="6" t="s">
        <v>10329</v>
      </c>
      <c r="B3652" s="6" t="s">
        <v>10330</v>
      </c>
    </row>
    <row r="3653" ht="12.75" customHeight="1">
      <c r="A3653" s="6" t="s">
        <v>10331</v>
      </c>
      <c r="B3653" s="6" t="s">
        <v>10332</v>
      </c>
    </row>
    <row r="3654" ht="12.75" customHeight="1">
      <c r="A3654" s="6" t="s">
        <v>10333</v>
      </c>
      <c r="B3654" s="6" t="s">
        <v>1716</v>
      </c>
    </row>
    <row r="3655" ht="12.75" customHeight="1">
      <c r="A3655" s="6" t="s">
        <v>10334</v>
      </c>
      <c r="B3655" s="6" t="s">
        <v>1125</v>
      </c>
    </row>
    <row r="3656" ht="12.75" customHeight="1">
      <c r="A3656" s="6" t="s">
        <v>10335</v>
      </c>
      <c r="B3656" s="6" t="s">
        <v>10336</v>
      </c>
    </row>
    <row r="3657" ht="12.75" customHeight="1">
      <c r="A3657" s="6" t="s">
        <v>10337</v>
      </c>
      <c r="B3657" s="6" t="s">
        <v>10338</v>
      </c>
    </row>
    <row r="3658" ht="12.75" customHeight="1">
      <c r="A3658" s="6" t="s">
        <v>10339</v>
      </c>
      <c r="B3658" s="6" t="s">
        <v>10340</v>
      </c>
    </row>
    <row r="3659" ht="12.75" customHeight="1">
      <c r="A3659" s="6" t="s">
        <v>10341</v>
      </c>
      <c r="B3659" s="6" t="s">
        <v>10342</v>
      </c>
    </row>
    <row r="3660" ht="12.75" customHeight="1">
      <c r="A3660" s="6" t="s">
        <v>10343</v>
      </c>
      <c r="B3660" s="6" t="s">
        <v>10344</v>
      </c>
    </row>
    <row r="3661" ht="12.75" customHeight="1">
      <c r="A3661" s="6" t="s">
        <v>10345</v>
      </c>
      <c r="B3661" s="6" t="s">
        <v>10346</v>
      </c>
    </row>
    <row r="3662" ht="12.75" customHeight="1">
      <c r="A3662" s="6" t="s">
        <v>10347</v>
      </c>
      <c r="B3662" s="6" t="s">
        <v>10348</v>
      </c>
    </row>
    <row r="3663" ht="12.75" customHeight="1">
      <c r="A3663" s="6" t="s">
        <v>10349</v>
      </c>
      <c r="B3663" s="6" t="s">
        <v>10350</v>
      </c>
    </row>
    <row r="3664" ht="12.75" customHeight="1">
      <c r="A3664" s="6" t="s">
        <v>10351</v>
      </c>
      <c r="B3664" s="6" t="s">
        <v>10352</v>
      </c>
    </row>
    <row r="3665" ht="12.75" customHeight="1">
      <c r="A3665" s="6" t="s">
        <v>10353</v>
      </c>
      <c r="B3665" s="6" t="s">
        <v>10354</v>
      </c>
    </row>
    <row r="3666" ht="12.75" customHeight="1">
      <c r="A3666" s="6" t="s">
        <v>10355</v>
      </c>
      <c r="B3666" s="6" t="s">
        <v>10356</v>
      </c>
    </row>
    <row r="3667" ht="12.75" customHeight="1">
      <c r="A3667" s="6" t="s">
        <v>10357</v>
      </c>
      <c r="B3667" s="6" t="s">
        <v>10358</v>
      </c>
    </row>
    <row r="3668" ht="12.75" customHeight="1">
      <c r="A3668" s="6" t="s">
        <v>10359</v>
      </c>
      <c r="B3668" s="6" t="s">
        <v>428</v>
      </c>
    </row>
    <row r="3669" ht="12.75" customHeight="1">
      <c r="A3669" s="6" t="s">
        <v>10360</v>
      </c>
      <c r="B3669" s="6" t="s">
        <v>3279</v>
      </c>
    </row>
    <row r="3670" ht="12.75" customHeight="1">
      <c r="A3670" s="6" t="s">
        <v>10361</v>
      </c>
      <c r="B3670" s="6" t="s">
        <v>10362</v>
      </c>
    </row>
    <row r="3671" ht="12.75" customHeight="1">
      <c r="A3671" s="6" t="s">
        <v>10363</v>
      </c>
      <c r="B3671" s="6" t="s">
        <v>10364</v>
      </c>
    </row>
    <row r="3672" ht="12.75" customHeight="1">
      <c r="A3672" s="6" t="s">
        <v>10365</v>
      </c>
      <c r="B3672" s="6" t="s">
        <v>10366</v>
      </c>
    </row>
    <row r="3673" ht="12.75" customHeight="1">
      <c r="A3673" s="6" t="s">
        <v>10367</v>
      </c>
      <c r="B3673" s="6" t="s">
        <v>98</v>
      </c>
    </row>
    <row r="3674" ht="12.75" customHeight="1">
      <c r="A3674" s="6" t="s">
        <v>10368</v>
      </c>
      <c r="B3674" s="6" t="s">
        <v>1316</v>
      </c>
    </row>
    <row r="3675" ht="12.75" customHeight="1">
      <c r="A3675" s="6" t="s">
        <v>10369</v>
      </c>
      <c r="B3675" s="6" t="s">
        <v>153</v>
      </c>
    </row>
    <row r="3676" ht="12.75" customHeight="1">
      <c r="A3676" s="6" t="s">
        <v>10370</v>
      </c>
      <c r="B3676" s="6" t="s">
        <v>360</v>
      </c>
    </row>
    <row r="3677" ht="12.75" customHeight="1">
      <c r="A3677" s="6" t="s">
        <v>10371</v>
      </c>
      <c r="B3677" s="6" t="s">
        <v>10372</v>
      </c>
    </row>
    <row r="3678" ht="12.75" customHeight="1">
      <c r="A3678" s="6" t="s">
        <v>10373</v>
      </c>
      <c r="B3678" s="6" t="s">
        <v>10374</v>
      </c>
    </row>
    <row r="3679" ht="12.75" customHeight="1">
      <c r="A3679" s="6" t="s">
        <v>10375</v>
      </c>
      <c r="B3679" s="6" t="s">
        <v>10376</v>
      </c>
    </row>
    <row r="3680" ht="12.75" customHeight="1">
      <c r="A3680" s="6" t="s">
        <v>10377</v>
      </c>
      <c r="B3680" s="6" t="s">
        <v>10378</v>
      </c>
    </row>
    <row r="3681" ht="12.75" customHeight="1">
      <c r="A3681" s="6" t="s">
        <v>10379</v>
      </c>
      <c r="B3681" s="6" t="s">
        <v>10380</v>
      </c>
    </row>
    <row r="3682" ht="12.75" customHeight="1">
      <c r="A3682" s="6" t="s">
        <v>10381</v>
      </c>
      <c r="B3682" s="6" t="s">
        <v>10382</v>
      </c>
    </row>
    <row r="3683" ht="12.75" customHeight="1">
      <c r="A3683" s="6" t="s">
        <v>10383</v>
      </c>
      <c r="B3683" s="6" t="s">
        <v>10384</v>
      </c>
    </row>
    <row r="3684" ht="12.75" customHeight="1">
      <c r="A3684" s="6" t="s">
        <v>10385</v>
      </c>
      <c r="B3684" s="6" t="s">
        <v>10386</v>
      </c>
    </row>
    <row r="3685" ht="12.75" customHeight="1">
      <c r="A3685" s="6" t="s">
        <v>10387</v>
      </c>
      <c r="B3685" s="6" t="s">
        <v>10388</v>
      </c>
    </row>
    <row r="3686" ht="12.75" customHeight="1">
      <c r="A3686" s="6" t="s">
        <v>10389</v>
      </c>
      <c r="B3686" s="6" t="s">
        <v>10390</v>
      </c>
    </row>
    <row r="3687" ht="12.75" customHeight="1">
      <c r="A3687" s="6" t="s">
        <v>10391</v>
      </c>
      <c r="B3687" s="6" t="s">
        <v>10392</v>
      </c>
    </row>
    <row r="3688" ht="12.75" customHeight="1">
      <c r="A3688" s="6" t="s">
        <v>10393</v>
      </c>
      <c r="B3688" s="6" t="s">
        <v>10394</v>
      </c>
    </row>
    <row r="3689" ht="12.75" customHeight="1">
      <c r="A3689" s="6" t="s">
        <v>10395</v>
      </c>
      <c r="B3689" s="6" t="s">
        <v>10396</v>
      </c>
    </row>
    <row r="3690" ht="12.75" customHeight="1">
      <c r="A3690" s="6" t="s">
        <v>10397</v>
      </c>
      <c r="B3690" s="6" t="s">
        <v>10398</v>
      </c>
    </row>
    <row r="3691" ht="12.75" customHeight="1">
      <c r="A3691" s="6" t="s">
        <v>10399</v>
      </c>
      <c r="B3691" s="6" t="s">
        <v>10400</v>
      </c>
    </row>
    <row r="3692" ht="12.75" customHeight="1">
      <c r="A3692" s="6" t="s">
        <v>10401</v>
      </c>
      <c r="B3692" s="6" t="s">
        <v>10402</v>
      </c>
    </row>
    <row r="3693" ht="12.75" customHeight="1">
      <c r="A3693" s="6" t="s">
        <v>10403</v>
      </c>
      <c r="B3693" s="6" t="s">
        <v>10404</v>
      </c>
    </row>
    <row r="3694" ht="12.75" customHeight="1">
      <c r="A3694" s="6" t="s">
        <v>10405</v>
      </c>
      <c r="B3694" s="6" t="s">
        <v>10406</v>
      </c>
    </row>
    <row r="3695" ht="12.75" customHeight="1">
      <c r="A3695" s="6" t="s">
        <v>10407</v>
      </c>
      <c r="B3695" s="6" t="s">
        <v>10408</v>
      </c>
    </row>
    <row r="3696" ht="12.75" customHeight="1">
      <c r="A3696" s="6" t="s">
        <v>10409</v>
      </c>
    </row>
    <row r="3697" ht="12.75" customHeight="1">
      <c r="A3697" s="6" t="s">
        <v>10410</v>
      </c>
    </row>
    <row r="3698" ht="12.75" customHeight="1">
      <c r="A3698" s="6" t="s">
        <v>10411</v>
      </c>
    </row>
    <row r="3699" ht="12.75" customHeight="1">
      <c r="A3699" s="6" t="s">
        <v>10412</v>
      </c>
      <c r="B3699" s="6" t="s">
        <v>10413</v>
      </c>
    </row>
    <row r="3700" ht="12.75" customHeight="1">
      <c r="A3700" s="6" t="s">
        <v>10414</v>
      </c>
      <c r="B3700" s="6" t="s">
        <v>10415</v>
      </c>
    </row>
    <row r="3701" ht="12.75" customHeight="1">
      <c r="A3701" s="6" t="s">
        <v>10416</v>
      </c>
      <c r="B3701" s="6" t="s">
        <v>10417</v>
      </c>
    </row>
    <row r="3702" ht="12.75" customHeight="1">
      <c r="A3702" s="6" t="s">
        <v>10418</v>
      </c>
      <c r="B3702" s="6" t="s">
        <v>10419</v>
      </c>
    </row>
    <row r="3703" ht="12.75" customHeight="1">
      <c r="A3703" s="6" t="s">
        <v>10420</v>
      </c>
      <c r="B3703" s="6" t="s">
        <v>10421</v>
      </c>
    </row>
    <row r="3704" ht="12.75" customHeight="1">
      <c r="A3704" s="6" t="s">
        <v>10422</v>
      </c>
      <c r="B3704" s="6" t="s">
        <v>10423</v>
      </c>
    </row>
    <row r="3705" ht="12.75" customHeight="1">
      <c r="A3705" s="6" t="s">
        <v>10424</v>
      </c>
      <c r="B3705" s="6" t="s">
        <v>10425</v>
      </c>
    </row>
    <row r="3706" ht="12.75" customHeight="1">
      <c r="A3706" s="6" t="s">
        <v>10426</v>
      </c>
      <c r="B3706" s="6" t="s">
        <v>10427</v>
      </c>
    </row>
    <row r="3707" ht="12.75" customHeight="1">
      <c r="A3707" s="6" t="s">
        <v>10428</v>
      </c>
      <c r="B3707" s="6" t="s">
        <v>10429</v>
      </c>
    </row>
    <row r="3708" ht="12.75" customHeight="1">
      <c r="A3708" s="6" t="s">
        <v>10430</v>
      </c>
      <c r="B3708" s="6" t="s">
        <v>10431</v>
      </c>
    </row>
    <row r="3709" ht="12.75" customHeight="1">
      <c r="A3709" s="6" t="s">
        <v>10432</v>
      </c>
      <c r="B3709" s="6" t="s">
        <v>10433</v>
      </c>
    </row>
    <row r="3710" ht="12.75" customHeight="1">
      <c r="A3710" s="6" t="s">
        <v>10434</v>
      </c>
      <c r="B3710" s="6" t="s">
        <v>10435</v>
      </c>
    </row>
    <row r="3711" ht="12.75" customHeight="1">
      <c r="A3711" s="6" t="s">
        <v>10436</v>
      </c>
      <c r="B3711" s="6" t="s">
        <v>10437</v>
      </c>
    </row>
    <row r="3712" ht="12.75" customHeight="1">
      <c r="A3712" s="6" t="s">
        <v>10438</v>
      </c>
      <c r="B3712" s="6" t="s">
        <v>10439</v>
      </c>
    </row>
    <row r="3713" ht="12.75" customHeight="1">
      <c r="A3713" s="6" t="s">
        <v>10440</v>
      </c>
      <c r="B3713" s="6" t="s">
        <v>10441</v>
      </c>
    </row>
    <row r="3714" ht="12.75" customHeight="1">
      <c r="A3714" s="6" t="s">
        <v>10442</v>
      </c>
      <c r="B3714" s="6" t="s">
        <v>10443</v>
      </c>
    </row>
    <row r="3715" ht="12.75" customHeight="1">
      <c r="A3715" s="6" t="s">
        <v>10444</v>
      </c>
      <c r="B3715" s="6" t="s">
        <v>10445</v>
      </c>
    </row>
    <row r="3716" ht="12.75" customHeight="1">
      <c r="A3716" s="6" t="s">
        <v>10446</v>
      </c>
      <c r="B3716" s="6" t="s">
        <v>10447</v>
      </c>
    </row>
    <row r="3717" ht="12.75" customHeight="1">
      <c r="A3717" s="6" t="s">
        <v>10448</v>
      </c>
      <c r="B3717" s="6" t="s">
        <v>10449</v>
      </c>
    </row>
    <row r="3718" ht="12.75" customHeight="1">
      <c r="A3718" s="6" t="s">
        <v>10450</v>
      </c>
      <c r="B3718" s="6" t="s">
        <v>10451</v>
      </c>
    </row>
    <row r="3719" ht="12.75" customHeight="1">
      <c r="A3719" s="6" t="s">
        <v>10452</v>
      </c>
      <c r="B3719" s="6" t="s">
        <v>10453</v>
      </c>
    </row>
    <row r="3720" ht="12.75" customHeight="1">
      <c r="A3720" s="6" t="s">
        <v>10454</v>
      </c>
      <c r="B3720" s="6" t="s">
        <v>10455</v>
      </c>
    </row>
    <row r="3721" ht="12.75" customHeight="1">
      <c r="A3721" s="6" t="s">
        <v>10456</v>
      </c>
      <c r="B3721" s="6" t="s">
        <v>10457</v>
      </c>
    </row>
    <row r="3722" ht="12.75" customHeight="1">
      <c r="A3722" s="6" t="s">
        <v>10458</v>
      </c>
      <c r="B3722" s="6" t="s">
        <v>10459</v>
      </c>
    </row>
    <row r="3723" ht="12.75" customHeight="1">
      <c r="A3723" s="6" t="s">
        <v>10460</v>
      </c>
      <c r="B3723" s="6" t="s">
        <v>10461</v>
      </c>
    </row>
    <row r="3724" ht="12.75" customHeight="1">
      <c r="A3724" s="6" t="s">
        <v>10462</v>
      </c>
      <c r="B3724" s="6" t="s">
        <v>10463</v>
      </c>
    </row>
    <row r="3725" ht="12.75" customHeight="1">
      <c r="A3725" s="6" t="s">
        <v>10464</v>
      </c>
      <c r="B3725" s="6" t="s">
        <v>10465</v>
      </c>
    </row>
    <row r="3726" ht="12.75" customHeight="1">
      <c r="A3726" s="6" t="s">
        <v>10466</v>
      </c>
      <c r="B3726" s="6" t="s">
        <v>10467</v>
      </c>
    </row>
    <row r="3727" ht="12.75" customHeight="1">
      <c r="A3727" s="6" t="s">
        <v>10468</v>
      </c>
      <c r="B3727" s="6" t="s">
        <v>10469</v>
      </c>
    </row>
    <row r="3728" ht="12.75" customHeight="1">
      <c r="A3728" s="6" t="s">
        <v>10470</v>
      </c>
      <c r="B3728" s="6" t="s">
        <v>10471</v>
      </c>
    </row>
    <row r="3729" ht="12.75" customHeight="1">
      <c r="A3729" s="6" t="s">
        <v>10472</v>
      </c>
      <c r="B3729" s="6" t="s">
        <v>10473</v>
      </c>
    </row>
    <row r="3730" ht="12.75" customHeight="1">
      <c r="A3730" s="6" t="s">
        <v>10474</v>
      </c>
      <c r="B3730" s="6" t="s">
        <v>10475</v>
      </c>
    </row>
    <row r="3731" ht="12.75" customHeight="1">
      <c r="A3731" s="6" t="s">
        <v>10476</v>
      </c>
      <c r="B3731" s="6" t="s">
        <v>10477</v>
      </c>
    </row>
    <row r="3732" ht="12.75" customHeight="1">
      <c r="A3732" s="6" t="s">
        <v>10478</v>
      </c>
      <c r="B3732" s="6" t="s">
        <v>10479</v>
      </c>
    </row>
    <row r="3733" ht="12.75" customHeight="1">
      <c r="A3733" s="6" t="s">
        <v>10480</v>
      </c>
      <c r="B3733" s="6" t="s">
        <v>10481</v>
      </c>
    </row>
    <row r="3734" ht="12.75" customHeight="1">
      <c r="A3734" s="6" t="s">
        <v>10482</v>
      </c>
      <c r="B3734" s="6" t="s">
        <v>10483</v>
      </c>
    </row>
    <row r="3735" ht="12.75" customHeight="1">
      <c r="A3735" s="6" t="s">
        <v>10484</v>
      </c>
    </row>
    <row r="3736" ht="12.75" customHeight="1">
      <c r="A3736" s="6" t="s">
        <v>10485</v>
      </c>
      <c r="B3736" s="6" t="s">
        <v>10486</v>
      </c>
    </row>
    <row r="3737" ht="12.75" customHeight="1">
      <c r="A3737" s="6" t="s">
        <v>10487</v>
      </c>
      <c r="B3737" s="6" t="s">
        <v>10488</v>
      </c>
    </row>
    <row r="3738" ht="12.75" customHeight="1">
      <c r="A3738" s="6" t="s">
        <v>10489</v>
      </c>
      <c r="B3738" s="6" t="s">
        <v>10490</v>
      </c>
    </row>
    <row r="3739" ht="12.75" customHeight="1">
      <c r="A3739" s="6" t="s">
        <v>10491</v>
      </c>
      <c r="B3739" s="6" t="s">
        <v>10492</v>
      </c>
    </row>
    <row r="3740" ht="12.75" customHeight="1">
      <c r="A3740" s="6" t="s">
        <v>10493</v>
      </c>
      <c r="B3740" s="6" t="s">
        <v>10494</v>
      </c>
    </row>
    <row r="3741" ht="12.75" customHeight="1">
      <c r="A3741" s="6" t="s">
        <v>10495</v>
      </c>
      <c r="B3741" s="6" t="s">
        <v>10496</v>
      </c>
    </row>
    <row r="3742" ht="12.75" customHeight="1">
      <c r="A3742" s="6" t="s">
        <v>10497</v>
      </c>
      <c r="B3742" s="6" t="s">
        <v>10498</v>
      </c>
    </row>
    <row r="3743" ht="12.75" customHeight="1">
      <c r="A3743" s="6" t="s">
        <v>10499</v>
      </c>
      <c r="B3743" s="6" t="s">
        <v>10500</v>
      </c>
    </row>
    <row r="3744" ht="12.75" customHeight="1">
      <c r="A3744" s="6" t="s">
        <v>10501</v>
      </c>
      <c r="B3744" s="6" t="s">
        <v>10502</v>
      </c>
    </row>
    <row r="3745" ht="12.75" customHeight="1">
      <c r="A3745" s="6" t="s">
        <v>10503</v>
      </c>
      <c r="B3745" s="6" t="s">
        <v>10504</v>
      </c>
    </row>
    <row r="3746" ht="12.75" customHeight="1">
      <c r="A3746" s="6" t="s">
        <v>10505</v>
      </c>
      <c r="B3746" s="6" t="s">
        <v>10506</v>
      </c>
    </row>
    <row r="3747" ht="12.75" customHeight="1">
      <c r="A3747" s="6" t="s">
        <v>10507</v>
      </c>
      <c r="B3747" s="6" t="s">
        <v>10508</v>
      </c>
    </row>
    <row r="3748" ht="12.75" customHeight="1">
      <c r="A3748" s="6" t="s">
        <v>10509</v>
      </c>
      <c r="B3748" s="6" t="s">
        <v>10510</v>
      </c>
    </row>
    <row r="3749" ht="12.75" customHeight="1">
      <c r="A3749" s="6" t="s">
        <v>10511</v>
      </c>
      <c r="B3749" s="6" t="s">
        <v>10512</v>
      </c>
    </row>
    <row r="3750" ht="12.75" customHeight="1">
      <c r="A3750" s="6" t="s">
        <v>10513</v>
      </c>
      <c r="B3750" s="6" t="s">
        <v>1278</v>
      </c>
    </row>
    <row r="3751" ht="12.75" customHeight="1">
      <c r="A3751" s="6" t="s">
        <v>10514</v>
      </c>
      <c r="B3751" s="6" t="s">
        <v>3770</v>
      </c>
    </row>
    <row r="3752" ht="12.75" customHeight="1">
      <c r="A3752" s="6" t="s">
        <v>10515</v>
      </c>
      <c r="B3752" s="6" t="s">
        <v>10516</v>
      </c>
    </row>
    <row r="3753" ht="12.75" customHeight="1">
      <c r="A3753" s="6" t="s">
        <v>10517</v>
      </c>
      <c r="B3753" s="6" t="s">
        <v>10518</v>
      </c>
    </row>
    <row r="3754" ht="12.75" customHeight="1">
      <c r="A3754" s="6" t="s">
        <v>10519</v>
      </c>
      <c r="B3754" s="6" t="s">
        <v>2028</v>
      </c>
    </row>
    <row r="3755" ht="12.75" customHeight="1">
      <c r="A3755" s="6" t="s">
        <v>10520</v>
      </c>
      <c r="B3755" s="6" t="s">
        <v>10521</v>
      </c>
    </row>
    <row r="3756" ht="12.75" customHeight="1">
      <c r="A3756" s="6" t="s">
        <v>10522</v>
      </c>
      <c r="B3756" s="6" t="s">
        <v>10523</v>
      </c>
    </row>
    <row r="3757" ht="12.75" customHeight="1">
      <c r="A3757" s="6" t="s">
        <v>10524</v>
      </c>
      <c r="B3757" s="6" t="s">
        <v>10525</v>
      </c>
    </row>
    <row r="3758" ht="12.75" customHeight="1">
      <c r="A3758" s="6" t="s">
        <v>10526</v>
      </c>
      <c r="B3758" s="6" t="s">
        <v>10527</v>
      </c>
    </row>
    <row r="3759" ht="12.75" customHeight="1">
      <c r="A3759" s="6" t="s">
        <v>10528</v>
      </c>
      <c r="B3759" s="6" t="s">
        <v>10529</v>
      </c>
    </row>
    <row r="3760" ht="12.75" customHeight="1">
      <c r="A3760" s="6" t="s">
        <v>10530</v>
      </c>
      <c r="B3760" s="6" t="s">
        <v>10531</v>
      </c>
    </row>
    <row r="3761" ht="12.75" customHeight="1">
      <c r="A3761" s="6" t="s">
        <v>10532</v>
      </c>
      <c r="B3761" s="6" t="s">
        <v>10533</v>
      </c>
    </row>
    <row r="3762" ht="12.75" customHeight="1">
      <c r="A3762" s="6" t="s">
        <v>10534</v>
      </c>
      <c r="B3762" s="6" t="s">
        <v>10535</v>
      </c>
    </row>
    <row r="3763" ht="12.75" customHeight="1">
      <c r="A3763" s="6" t="s">
        <v>10536</v>
      </c>
      <c r="B3763" s="6" t="s">
        <v>178</v>
      </c>
    </row>
    <row r="3764" ht="12.75" customHeight="1">
      <c r="A3764" s="6" t="s">
        <v>10537</v>
      </c>
      <c r="B3764" s="6" t="s">
        <v>10538</v>
      </c>
    </row>
    <row r="3765" ht="12.75" customHeight="1">
      <c r="A3765" s="6" t="s">
        <v>10539</v>
      </c>
      <c r="B3765" s="6" t="s">
        <v>10540</v>
      </c>
    </row>
    <row r="3766" ht="12.75" customHeight="1">
      <c r="A3766" s="6" t="s">
        <v>10541</v>
      </c>
      <c r="B3766" s="6" t="s">
        <v>10542</v>
      </c>
    </row>
    <row r="3767" ht="12.75" customHeight="1">
      <c r="A3767" s="6" t="s">
        <v>10543</v>
      </c>
      <c r="B3767" s="6" t="s">
        <v>10544</v>
      </c>
    </row>
    <row r="3768" ht="12.75" customHeight="1">
      <c r="A3768" s="6" t="s">
        <v>10545</v>
      </c>
      <c r="B3768" s="6" t="s">
        <v>10546</v>
      </c>
    </row>
    <row r="3769" ht="12.75" customHeight="1">
      <c r="A3769" s="6" t="s">
        <v>10547</v>
      </c>
      <c r="B3769" s="6" t="s">
        <v>10548</v>
      </c>
    </row>
    <row r="3770" ht="12.75" customHeight="1">
      <c r="A3770" s="6" t="s">
        <v>10549</v>
      </c>
      <c r="B3770" s="6" t="s">
        <v>10550</v>
      </c>
    </row>
    <row r="3771" ht="12.75" customHeight="1">
      <c r="A3771" s="6" t="s">
        <v>10551</v>
      </c>
      <c r="B3771" s="6" t="s">
        <v>10552</v>
      </c>
    </row>
    <row r="3772" ht="12.75" customHeight="1">
      <c r="A3772" s="6" t="s">
        <v>10553</v>
      </c>
      <c r="B3772" s="6" t="s">
        <v>10554</v>
      </c>
    </row>
    <row r="3773" ht="12.75" customHeight="1">
      <c r="A3773" s="6" t="s">
        <v>10555</v>
      </c>
      <c r="B3773" s="6" t="s">
        <v>10556</v>
      </c>
    </row>
    <row r="3774" ht="12.75" customHeight="1">
      <c r="A3774" s="6" t="s">
        <v>10557</v>
      </c>
      <c r="B3774" s="6" t="s">
        <v>10558</v>
      </c>
    </row>
    <row r="3775" ht="12.75" customHeight="1">
      <c r="A3775" s="6" t="s">
        <v>10559</v>
      </c>
    </row>
    <row r="3776" ht="12.75" customHeight="1">
      <c r="A3776" s="6" t="s">
        <v>10560</v>
      </c>
    </row>
    <row r="3777" ht="12.75" customHeight="1">
      <c r="A3777" s="6" t="s">
        <v>10561</v>
      </c>
      <c r="B3777" s="6" t="s">
        <v>10562</v>
      </c>
    </row>
    <row r="3778" ht="12.75" customHeight="1">
      <c r="A3778" s="6" t="s">
        <v>10563</v>
      </c>
      <c r="B3778" s="6" t="s">
        <v>10564</v>
      </c>
    </row>
    <row r="3779" ht="12.75" customHeight="1">
      <c r="A3779" s="6" t="s">
        <v>10565</v>
      </c>
      <c r="B3779" s="6" t="s">
        <v>1048</v>
      </c>
    </row>
    <row r="3780" ht="12.75" customHeight="1">
      <c r="A3780" s="6" t="s">
        <v>10566</v>
      </c>
      <c r="B3780" s="6" t="s">
        <v>10567</v>
      </c>
    </row>
    <row r="3781" ht="12.75" customHeight="1">
      <c r="A3781" s="6" t="s">
        <v>10568</v>
      </c>
      <c r="B3781" s="6" t="s">
        <v>10569</v>
      </c>
    </row>
    <row r="3782" ht="12.75" customHeight="1">
      <c r="A3782" s="6" t="s">
        <v>10570</v>
      </c>
      <c r="B3782" s="6" t="s">
        <v>10571</v>
      </c>
    </row>
    <row r="3783" ht="12.75" customHeight="1">
      <c r="A3783" s="6" t="s">
        <v>10572</v>
      </c>
      <c r="B3783" s="6" t="s">
        <v>10573</v>
      </c>
    </row>
    <row r="3784" ht="12.75" customHeight="1">
      <c r="A3784" s="6" t="s">
        <v>10574</v>
      </c>
    </row>
    <row r="3785" ht="12.75" customHeight="1">
      <c r="A3785" s="6" t="s">
        <v>10575</v>
      </c>
      <c r="B3785" s="6" t="s">
        <v>10576</v>
      </c>
    </row>
    <row r="3786" ht="12.75" customHeight="1">
      <c r="A3786" s="6" t="s">
        <v>10577</v>
      </c>
      <c r="B3786" s="6" t="s">
        <v>10578</v>
      </c>
    </row>
    <row r="3787" ht="12.75" customHeight="1">
      <c r="A3787" s="6" t="s">
        <v>10579</v>
      </c>
      <c r="B3787" s="6" t="s">
        <v>10580</v>
      </c>
    </row>
    <row r="3788" ht="12.75" customHeight="1">
      <c r="A3788" s="6" t="s">
        <v>10581</v>
      </c>
      <c r="B3788" s="6" t="s">
        <v>2381</v>
      </c>
    </row>
    <row r="3789" ht="12.75" customHeight="1">
      <c r="A3789" s="6" t="s">
        <v>10582</v>
      </c>
      <c r="B3789" s="6" t="s">
        <v>10583</v>
      </c>
    </row>
    <row r="3790" ht="12.75" customHeight="1">
      <c r="A3790" s="6" t="s">
        <v>10584</v>
      </c>
      <c r="B3790" s="6" t="s">
        <v>10585</v>
      </c>
    </row>
    <row r="3791" ht="12.75" customHeight="1">
      <c r="A3791" s="6" t="s">
        <v>10586</v>
      </c>
      <c r="B3791" s="6" t="s">
        <v>10587</v>
      </c>
    </row>
    <row r="3792" ht="12.75" customHeight="1">
      <c r="A3792" s="6" t="s">
        <v>10588</v>
      </c>
      <c r="B3792" s="6" t="s">
        <v>1155</v>
      </c>
    </row>
    <row r="3793" ht="12.75" customHeight="1">
      <c r="A3793" s="6" t="s">
        <v>10589</v>
      </c>
      <c r="B3793" s="6" t="s">
        <v>10590</v>
      </c>
    </row>
    <row r="3794" ht="12.75" customHeight="1">
      <c r="A3794" s="6" t="s">
        <v>10591</v>
      </c>
      <c r="B3794" s="6" t="s">
        <v>236</v>
      </c>
    </row>
    <row r="3795" ht="12.75" customHeight="1">
      <c r="A3795" s="6" t="s">
        <v>10592</v>
      </c>
      <c r="B3795" s="6" t="s">
        <v>10593</v>
      </c>
    </row>
    <row r="3796" ht="12.75" customHeight="1">
      <c r="A3796" s="6" t="s">
        <v>10594</v>
      </c>
      <c r="B3796" s="6" t="s">
        <v>3145</v>
      </c>
    </row>
    <row r="3797" ht="12.75" customHeight="1">
      <c r="A3797" s="6" t="s">
        <v>10595</v>
      </c>
    </row>
    <row r="3798" ht="12.75" customHeight="1">
      <c r="A3798" s="6" t="s">
        <v>10596</v>
      </c>
      <c r="B3798" s="6" t="s">
        <v>150</v>
      </c>
    </row>
    <row r="3799" ht="12.75" customHeight="1">
      <c r="A3799" s="6" t="s">
        <v>10597</v>
      </c>
      <c r="B3799" s="6" t="s">
        <v>10598</v>
      </c>
    </row>
    <row r="3800" ht="12.75" customHeight="1">
      <c r="A3800" s="6" t="s">
        <v>10599</v>
      </c>
      <c r="B3800" s="6" t="s">
        <v>1855</v>
      </c>
    </row>
    <row r="3801" ht="12.75" customHeight="1">
      <c r="A3801" s="6" t="s">
        <v>10600</v>
      </c>
      <c r="B3801" s="6" t="s">
        <v>1769</v>
      </c>
    </row>
    <row r="3802" ht="12.75" customHeight="1">
      <c r="A3802" s="6" t="s">
        <v>10601</v>
      </c>
      <c r="B3802" s="6" t="s">
        <v>10602</v>
      </c>
    </row>
    <row r="3803" ht="12.75" customHeight="1">
      <c r="A3803" s="6" t="s">
        <v>10603</v>
      </c>
      <c r="B3803" s="6" t="s">
        <v>10604</v>
      </c>
    </row>
    <row r="3804" ht="12.75" customHeight="1">
      <c r="A3804" s="6" t="s">
        <v>10605</v>
      </c>
      <c r="B3804" s="6" t="s">
        <v>10606</v>
      </c>
    </row>
    <row r="3805" ht="12.75" customHeight="1">
      <c r="A3805" s="6" t="s">
        <v>10607</v>
      </c>
      <c r="B3805" s="6" t="s">
        <v>10608</v>
      </c>
    </row>
    <row r="3806" ht="12.75" customHeight="1">
      <c r="A3806" s="6" t="s">
        <v>10609</v>
      </c>
      <c r="B3806" s="6" t="s">
        <v>431</v>
      </c>
    </row>
    <row r="3807" ht="12.75" customHeight="1">
      <c r="A3807" s="6" t="s">
        <v>10610</v>
      </c>
      <c r="B3807" s="6" t="s">
        <v>10611</v>
      </c>
    </row>
    <row r="3808" ht="12.75" customHeight="1">
      <c r="A3808" s="6" t="s">
        <v>10612</v>
      </c>
      <c r="B3808" s="6" t="s">
        <v>10613</v>
      </c>
    </row>
    <row r="3809" ht="12.75" customHeight="1">
      <c r="A3809" s="6" t="s">
        <v>10614</v>
      </c>
      <c r="B3809" s="6" t="s">
        <v>351</v>
      </c>
    </row>
    <row r="3810" ht="12.75" customHeight="1">
      <c r="A3810" s="6" t="s">
        <v>10615</v>
      </c>
      <c r="B3810" s="6" t="s">
        <v>3286</v>
      </c>
    </row>
    <row r="3811" ht="12.75" customHeight="1">
      <c r="A3811" s="6" t="s">
        <v>10616</v>
      </c>
      <c r="B3811" s="6" t="s">
        <v>10617</v>
      </c>
    </row>
    <row r="3812" ht="12.75" customHeight="1">
      <c r="A3812" s="6" t="s">
        <v>10618</v>
      </c>
      <c r="B3812" s="6" t="s">
        <v>10619</v>
      </c>
    </row>
    <row r="3813" ht="12.75" customHeight="1">
      <c r="A3813" s="6" t="s">
        <v>10620</v>
      </c>
      <c r="B3813" s="6" t="s">
        <v>10621</v>
      </c>
    </row>
    <row r="3814" ht="12.75" customHeight="1">
      <c r="A3814" s="6" t="s">
        <v>10622</v>
      </c>
      <c r="B3814" s="6" t="s">
        <v>10623</v>
      </c>
    </row>
    <row r="3815" ht="12.75" customHeight="1">
      <c r="A3815" s="6" t="s">
        <v>10624</v>
      </c>
      <c r="B3815" s="6" t="s">
        <v>10625</v>
      </c>
    </row>
    <row r="3816" ht="12.75" customHeight="1">
      <c r="A3816" s="6" t="s">
        <v>10626</v>
      </c>
      <c r="B3816" s="6" t="s">
        <v>1273</v>
      </c>
    </row>
    <row r="3817" ht="12.75" customHeight="1">
      <c r="A3817" s="6" t="s">
        <v>10627</v>
      </c>
      <c r="B3817" s="6" t="s">
        <v>10628</v>
      </c>
    </row>
    <row r="3818" ht="12.75" customHeight="1">
      <c r="A3818" s="6" t="s">
        <v>10629</v>
      </c>
      <c r="B3818" s="6" t="s">
        <v>224</v>
      </c>
    </row>
    <row r="3819" ht="12.75" customHeight="1">
      <c r="A3819" s="6" t="s">
        <v>10630</v>
      </c>
      <c r="B3819" s="6" t="s">
        <v>10631</v>
      </c>
    </row>
    <row r="3820" ht="12.75" customHeight="1">
      <c r="A3820" s="6" t="s">
        <v>10632</v>
      </c>
      <c r="B3820" s="6" t="s">
        <v>10633</v>
      </c>
    </row>
    <row r="3821" ht="12.75" customHeight="1">
      <c r="A3821" s="6" t="s">
        <v>10634</v>
      </c>
      <c r="B3821" s="6" t="s">
        <v>10635</v>
      </c>
    </row>
    <row r="3822" ht="12.75" customHeight="1">
      <c r="A3822" s="6" t="s">
        <v>10636</v>
      </c>
      <c r="B3822" s="6" t="s">
        <v>10637</v>
      </c>
    </row>
    <row r="3823" ht="12.75" customHeight="1">
      <c r="A3823" s="6" t="s">
        <v>10638</v>
      </c>
      <c r="B3823" s="6" t="s">
        <v>10639</v>
      </c>
    </row>
    <row r="3824" ht="12.75" customHeight="1">
      <c r="A3824" s="6" t="s">
        <v>10640</v>
      </c>
      <c r="B3824" s="6" t="s">
        <v>10641</v>
      </c>
    </row>
    <row r="3825" ht="12.75" customHeight="1">
      <c r="A3825" s="6" t="s">
        <v>10642</v>
      </c>
      <c r="B3825" s="6" t="s">
        <v>10643</v>
      </c>
    </row>
    <row r="3826" ht="12.75" customHeight="1">
      <c r="A3826" s="6" t="s">
        <v>10644</v>
      </c>
      <c r="B3826" s="6" t="s">
        <v>10645</v>
      </c>
    </row>
    <row r="3827" ht="12.75" customHeight="1">
      <c r="A3827" s="6" t="s">
        <v>10646</v>
      </c>
      <c r="B3827" s="6" t="s">
        <v>10647</v>
      </c>
    </row>
    <row r="3828" ht="12.75" customHeight="1">
      <c r="A3828" s="6" t="s">
        <v>10648</v>
      </c>
      <c r="B3828" s="6" t="s">
        <v>10649</v>
      </c>
    </row>
    <row r="3829" ht="12.75" customHeight="1">
      <c r="A3829" s="6" t="s">
        <v>10650</v>
      </c>
      <c r="B3829" s="6" t="s">
        <v>10651</v>
      </c>
    </row>
    <row r="3830" ht="12.75" customHeight="1">
      <c r="A3830" s="6" t="s">
        <v>10652</v>
      </c>
      <c r="B3830" s="6" t="s">
        <v>10653</v>
      </c>
    </row>
    <row r="3831" ht="12.75" customHeight="1">
      <c r="A3831" s="6" t="s">
        <v>10654</v>
      </c>
      <c r="B3831" s="6" t="s">
        <v>10655</v>
      </c>
    </row>
    <row r="3832" ht="12.75" customHeight="1">
      <c r="A3832" s="6" t="s">
        <v>10656</v>
      </c>
      <c r="B3832" s="6" t="s">
        <v>10657</v>
      </c>
    </row>
    <row r="3833" ht="12.75" customHeight="1">
      <c r="A3833" s="6" t="s">
        <v>10658</v>
      </c>
      <c r="B3833" s="6" t="s">
        <v>10659</v>
      </c>
    </row>
    <row r="3834" ht="12.75" customHeight="1">
      <c r="A3834" s="6" t="s">
        <v>10660</v>
      </c>
      <c r="B3834" s="6" t="s">
        <v>10661</v>
      </c>
    </row>
    <row r="3835" ht="12.75" customHeight="1">
      <c r="A3835" s="6" t="s">
        <v>10662</v>
      </c>
      <c r="B3835" s="6" t="s">
        <v>10663</v>
      </c>
    </row>
    <row r="3836" ht="12.75" customHeight="1">
      <c r="A3836" s="6" t="s">
        <v>10664</v>
      </c>
      <c r="B3836" s="6" t="s">
        <v>10665</v>
      </c>
    </row>
    <row r="3837" ht="12.75" customHeight="1">
      <c r="A3837" s="6" t="s">
        <v>10666</v>
      </c>
      <c r="B3837" s="6" t="s">
        <v>10667</v>
      </c>
    </row>
    <row r="3838" ht="12.75" customHeight="1">
      <c r="A3838" s="6" t="s">
        <v>10668</v>
      </c>
      <c r="B3838" s="6" t="s">
        <v>10669</v>
      </c>
    </row>
    <row r="3839" ht="12.75" customHeight="1">
      <c r="A3839" s="6" t="s">
        <v>10670</v>
      </c>
      <c r="B3839" s="6" t="s">
        <v>10671</v>
      </c>
    </row>
    <row r="3840" ht="12.75" customHeight="1">
      <c r="A3840" s="6" t="s">
        <v>10672</v>
      </c>
      <c r="B3840" s="6" t="s">
        <v>10673</v>
      </c>
    </row>
    <row r="3841" ht="12.75" customHeight="1">
      <c r="A3841" s="6" t="s">
        <v>10674</v>
      </c>
      <c r="B3841" s="6" t="s">
        <v>10675</v>
      </c>
    </row>
    <row r="3842" ht="12.75" customHeight="1">
      <c r="A3842" s="6" t="s">
        <v>10676</v>
      </c>
      <c r="B3842" s="6" t="s">
        <v>10677</v>
      </c>
    </row>
    <row r="3843" ht="12.75" customHeight="1">
      <c r="A3843" s="6" t="s">
        <v>10678</v>
      </c>
    </row>
    <row r="3844" ht="12.75" customHeight="1">
      <c r="A3844" s="6" t="s">
        <v>10679</v>
      </c>
    </row>
    <row r="3845" ht="12.75" customHeight="1">
      <c r="A3845" s="6" t="s">
        <v>10680</v>
      </c>
      <c r="B3845" s="6" t="s">
        <v>10681</v>
      </c>
    </row>
    <row r="3846" ht="12.75" customHeight="1">
      <c r="A3846" s="6" t="s">
        <v>10682</v>
      </c>
      <c r="B3846" s="6" t="s">
        <v>10683</v>
      </c>
    </row>
    <row r="3847" ht="12.75" customHeight="1">
      <c r="A3847" s="6" t="s">
        <v>10684</v>
      </c>
      <c r="B3847" s="6" t="s">
        <v>10685</v>
      </c>
    </row>
    <row r="3848" ht="12.75" customHeight="1">
      <c r="A3848" s="6" t="s">
        <v>10686</v>
      </c>
    </row>
    <row r="3849" ht="12.75" customHeight="1">
      <c r="A3849" s="6" t="s">
        <v>10687</v>
      </c>
    </row>
    <row r="3850" ht="12.75" customHeight="1">
      <c r="A3850" s="6" t="s">
        <v>10688</v>
      </c>
      <c r="B3850" s="6" t="s">
        <v>10689</v>
      </c>
    </row>
    <row r="3851" ht="12.75" customHeight="1">
      <c r="A3851" s="6" t="s">
        <v>10690</v>
      </c>
      <c r="B3851" s="6" t="s">
        <v>10691</v>
      </c>
    </row>
    <row r="3852" ht="12.75" customHeight="1">
      <c r="A3852" s="6" t="s">
        <v>10692</v>
      </c>
      <c r="B3852" s="6" t="s">
        <v>10693</v>
      </c>
    </row>
    <row r="3853" ht="12.75" customHeight="1">
      <c r="A3853" s="6" t="s">
        <v>10694</v>
      </c>
      <c r="B3853" s="6" t="s">
        <v>10695</v>
      </c>
    </row>
    <row r="3854" ht="12.75" customHeight="1">
      <c r="A3854" s="6" t="s">
        <v>10696</v>
      </c>
      <c r="B3854" s="6" t="s">
        <v>10697</v>
      </c>
    </row>
    <row r="3855" ht="12.75" customHeight="1">
      <c r="A3855" s="6" t="s">
        <v>10698</v>
      </c>
      <c r="B3855" s="6" t="s">
        <v>10699</v>
      </c>
    </row>
    <row r="3856" ht="12.75" customHeight="1">
      <c r="A3856" s="6" t="s">
        <v>10700</v>
      </c>
      <c r="B3856" s="6" t="s">
        <v>10701</v>
      </c>
    </row>
    <row r="3857" ht="12.75" customHeight="1">
      <c r="A3857" s="6" t="s">
        <v>10702</v>
      </c>
      <c r="B3857" s="6" t="s">
        <v>10703</v>
      </c>
    </row>
    <row r="3858" ht="12.75" customHeight="1">
      <c r="A3858" s="6" t="s">
        <v>10704</v>
      </c>
      <c r="B3858" s="6" t="s">
        <v>10705</v>
      </c>
    </row>
    <row r="3859" ht="12.75" customHeight="1">
      <c r="A3859" s="6" t="s">
        <v>10706</v>
      </c>
      <c r="B3859" s="6" t="s">
        <v>10707</v>
      </c>
    </row>
    <row r="3860" ht="12.75" customHeight="1">
      <c r="A3860" s="6" t="s">
        <v>10708</v>
      </c>
      <c r="B3860" s="6" t="s">
        <v>10709</v>
      </c>
    </row>
    <row r="3861" ht="12.75" customHeight="1">
      <c r="A3861" s="6" t="s">
        <v>10710</v>
      </c>
      <c r="B3861" s="6" t="s">
        <v>10711</v>
      </c>
    </row>
    <row r="3862" ht="12.75" customHeight="1">
      <c r="A3862" s="6" t="s">
        <v>10712</v>
      </c>
      <c r="B3862" s="6" t="s">
        <v>10713</v>
      </c>
    </row>
    <row r="3863" ht="12.75" customHeight="1">
      <c r="A3863" s="6" t="s">
        <v>10714</v>
      </c>
      <c r="B3863" s="6" t="s">
        <v>10715</v>
      </c>
    </row>
    <row r="3864" ht="12.75" customHeight="1">
      <c r="A3864" s="6" t="s">
        <v>10716</v>
      </c>
      <c r="B3864" s="6" t="s">
        <v>10717</v>
      </c>
    </row>
    <row r="3865" ht="12.75" customHeight="1">
      <c r="A3865" s="6" t="s">
        <v>10718</v>
      </c>
      <c r="B3865" s="6" t="s">
        <v>10719</v>
      </c>
    </row>
    <row r="3866" ht="12.75" customHeight="1">
      <c r="A3866" s="6" t="s">
        <v>10720</v>
      </c>
      <c r="B3866" s="6" t="s">
        <v>10721</v>
      </c>
    </row>
    <row r="3867" ht="12.75" customHeight="1">
      <c r="A3867" s="6" t="s">
        <v>10722</v>
      </c>
      <c r="B3867" s="6" t="s">
        <v>10723</v>
      </c>
    </row>
    <row r="3868" ht="12.75" customHeight="1">
      <c r="A3868" s="6" t="s">
        <v>10724</v>
      </c>
      <c r="B3868" s="6" t="s">
        <v>10725</v>
      </c>
    </row>
    <row r="3869" ht="12.75" customHeight="1">
      <c r="A3869" s="6" t="s">
        <v>10726</v>
      </c>
      <c r="B3869" s="6" t="s">
        <v>10727</v>
      </c>
    </row>
    <row r="3870" ht="12.75" customHeight="1">
      <c r="A3870" s="6" t="s">
        <v>10728</v>
      </c>
      <c r="B3870" s="6" t="s">
        <v>10729</v>
      </c>
    </row>
    <row r="3871" ht="12.75" customHeight="1">
      <c r="A3871" s="6" t="s">
        <v>10730</v>
      </c>
      <c r="B3871" s="6" t="s">
        <v>10731</v>
      </c>
    </row>
    <row r="3872" ht="12.75" customHeight="1">
      <c r="A3872" s="6" t="s">
        <v>10732</v>
      </c>
      <c r="B3872" s="6" t="s">
        <v>10733</v>
      </c>
    </row>
    <row r="3873" ht="12.75" customHeight="1">
      <c r="A3873" s="6" t="s">
        <v>10734</v>
      </c>
      <c r="B3873" s="6" t="s">
        <v>10735</v>
      </c>
    </row>
    <row r="3874" ht="12.75" customHeight="1">
      <c r="A3874" s="6" t="s">
        <v>10736</v>
      </c>
      <c r="B3874" s="6" t="s">
        <v>10737</v>
      </c>
    </row>
    <row r="3875" ht="12.75" customHeight="1">
      <c r="A3875" s="6" t="s">
        <v>10738</v>
      </c>
      <c r="B3875" s="6" t="s">
        <v>10739</v>
      </c>
    </row>
    <row r="3876" ht="12.75" customHeight="1">
      <c r="A3876" s="6" t="s">
        <v>10740</v>
      </c>
      <c r="B3876" s="6" t="s">
        <v>10741</v>
      </c>
    </row>
    <row r="3877" ht="12.75" customHeight="1">
      <c r="A3877" s="6" t="s">
        <v>10742</v>
      </c>
      <c r="B3877" s="6" t="s">
        <v>10743</v>
      </c>
    </row>
    <row r="3878" ht="12.75" customHeight="1">
      <c r="A3878" s="6" t="s">
        <v>10744</v>
      </c>
      <c r="B3878" s="6" t="s">
        <v>10745</v>
      </c>
    </row>
    <row r="3879" ht="12.75" customHeight="1">
      <c r="A3879" s="6" t="s">
        <v>10746</v>
      </c>
      <c r="B3879" s="6" t="s">
        <v>10747</v>
      </c>
    </row>
    <row r="3880" ht="12.75" customHeight="1">
      <c r="A3880" s="6" t="s">
        <v>10748</v>
      </c>
      <c r="B3880" s="6" t="s">
        <v>10749</v>
      </c>
    </row>
    <row r="3881" ht="12.75" customHeight="1">
      <c r="A3881" s="6" t="s">
        <v>10750</v>
      </c>
      <c r="B3881" s="6" t="s">
        <v>10751</v>
      </c>
    </row>
    <row r="3882" ht="12.75" customHeight="1">
      <c r="A3882" s="6" t="s">
        <v>10752</v>
      </c>
      <c r="B3882" s="6" t="s">
        <v>1788</v>
      </c>
    </row>
    <row r="3883" ht="12.75" customHeight="1">
      <c r="A3883" s="6" t="s">
        <v>10753</v>
      </c>
      <c r="B3883" s="6" t="s">
        <v>10754</v>
      </c>
    </row>
    <row r="3884" ht="12.75" customHeight="1">
      <c r="A3884" s="6" t="s">
        <v>10755</v>
      </c>
      <c r="B3884" s="6" t="s">
        <v>10756</v>
      </c>
    </row>
    <row r="3885" ht="12.75" customHeight="1">
      <c r="A3885" s="6" t="s">
        <v>10757</v>
      </c>
      <c r="B3885" s="6" t="s">
        <v>10758</v>
      </c>
    </row>
    <row r="3886" ht="12.75" customHeight="1">
      <c r="A3886" s="6" t="s">
        <v>10759</v>
      </c>
      <c r="B3886" s="6" t="s">
        <v>10760</v>
      </c>
    </row>
    <row r="3887" ht="12.75" customHeight="1">
      <c r="A3887" s="6" t="s">
        <v>10761</v>
      </c>
      <c r="B3887" s="6" t="s">
        <v>10762</v>
      </c>
    </row>
    <row r="3888" ht="12.75" customHeight="1">
      <c r="A3888" s="6" t="s">
        <v>10763</v>
      </c>
      <c r="B3888" s="6" t="s">
        <v>10764</v>
      </c>
    </row>
    <row r="3889" ht="12.75" customHeight="1">
      <c r="A3889" s="6" t="s">
        <v>10765</v>
      </c>
      <c r="B3889" s="6" t="s">
        <v>10766</v>
      </c>
    </row>
    <row r="3890" ht="12.75" customHeight="1">
      <c r="A3890" s="6" t="s">
        <v>10767</v>
      </c>
      <c r="B3890" s="6" t="s">
        <v>10768</v>
      </c>
    </row>
    <row r="3891" ht="12.75" customHeight="1">
      <c r="A3891" s="6" t="s">
        <v>10769</v>
      </c>
      <c r="B3891" s="6" t="s">
        <v>10770</v>
      </c>
    </row>
    <row r="3892" ht="12.75" customHeight="1">
      <c r="A3892" s="6" t="s">
        <v>10771</v>
      </c>
      <c r="B3892" s="6" t="s">
        <v>10772</v>
      </c>
    </row>
    <row r="3893" ht="12.75" customHeight="1">
      <c r="A3893" s="6" t="s">
        <v>10773</v>
      </c>
      <c r="B3893" s="6" t="s">
        <v>3082</v>
      </c>
    </row>
    <row r="3894" ht="12.75" customHeight="1">
      <c r="A3894" s="6" t="s">
        <v>10774</v>
      </c>
      <c r="B3894" s="6" t="s">
        <v>10775</v>
      </c>
    </row>
    <row r="3895" ht="12.75" customHeight="1">
      <c r="A3895" s="6" t="s">
        <v>10776</v>
      </c>
      <c r="B3895" s="6" t="s">
        <v>10777</v>
      </c>
    </row>
    <row r="3896" ht="12.75" customHeight="1">
      <c r="A3896" s="6" t="s">
        <v>10778</v>
      </c>
      <c r="B3896" s="6" t="s">
        <v>10779</v>
      </c>
    </row>
    <row r="3897" ht="12.75" customHeight="1">
      <c r="A3897" s="6" t="s">
        <v>10780</v>
      </c>
      <c r="B3897" s="6" t="s">
        <v>10781</v>
      </c>
    </row>
    <row r="3898" ht="12.75" customHeight="1">
      <c r="A3898" s="6" t="s">
        <v>10782</v>
      </c>
      <c r="B3898" s="6" t="s">
        <v>10783</v>
      </c>
    </row>
    <row r="3899" ht="12.75" customHeight="1">
      <c r="A3899" s="6" t="s">
        <v>10784</v>
      </c>
      <c r="B3899" s="6" t="s">
        <v>10785</v>
      </c>
    </row>
    <row r="3900" ht="12.75" customHeight="1">
      <c r="A3900" s="6" t="s">
        <v>10786</v>
      </c>
      <c r="B3900" s="6" t="s">
        <v>10787</v>
      </c>
    </row>
    <row r="3901" ht="12.75" customHeight="1">
      <c r="A3901" s="6" t="s">
        <v>10788</v>
      </c>
      <c r="B3901" s="6" t="s">
        <v>10789</v>
      </c>
    </row>
    <row r="3902" ht="12.75" customHeight="1">
      <c r="A3902" s="6" t="s">
        <v>10790</v>
      </c>
      <c r="B3902" s="6" t="s">
        <v>10791</v>
      </c>
    </row>
    <row r="3903" ht="12.75" customHeight="1">
      <c r="A3903" s="6" t="s">
        <v>10792</v>
      </c>
      <c r="B3903" s="6" t="s">
        <v>2879</v>
      </c>
    </row>
    <row r="3904" ht="12.75" customHeight="1">
      <c r="A3904" s="6" t="s">
        <v>10793</v>
      </c>
      <c r="B3904" s="6" t="s">
        <v>10794</v>
      </c>
    </row>
    <row r="3905" ht="12.75" customHeight="1">
      <c r="A3905" s="6" t="s">
        <v>10795</v>
      </c>
      <c r="B3905" s="6" t="s">
        <v>340</v>
      </c>
    </row>
    <row r="3906" ht="12.75" customHeight="1">
      <c r="A3906" s="6" t="s">
        <v>10796</v>
      </c>
      <c r="B3906" s="6" t="s">
        <v>10797</v>
      </c>
    </row>
    <row r="3907" ht="12.75" customHeight="1">
      <c r="A3907" s="6" t="s">
        <v>10798</v>
      </c>
      <c r="B3907" s="6" t="s">
        <v>10799</v>
      </c>
    </row>
    <row r="3908" ht="12.75" customHeight="1">
      <c r="A3908" s="6" t="s">
        <v>10800</v>
      </c>
      <c r="B3908" s="6" t="s">
        <v>10801</v>
      </c>
    </row>
    <row r="3909" ht="12.75" customHeight="1">
      <c r="A3909" s="6" t="s">
        <v>10802</v>
      </c>
      <c r="B3909" s="6" t="s">
        <v>10803</v>
      </c>
    </row>
    <row r="3910" ht="12.75" customHeight="1">
      <c r="A3910" s="6" t="s">
        <v>10804</v>
      </c>
      <c r="B3910" s="6" t="s">
        <v>10805</v>
      </c>
    </row>
    <row r="3911" ht="12.75" customHeight="1">
      <c r="A3911" s="6" t="s">
        <v>10806</v>
      </c>
      <c r="B3911" s="6" t="s">
        <v>776</v>
      </c>
    </row>
    <row r="3912" ht="12.75" customHeight="1">
      <c r="A3912" s="6" t="s">
        <v>10807</v>
      </c>
      <c r="B3912" s="6" t="s">
        <v>10808</v>
      </c>
    </row>
    <row r="3913" ht="12.75" customHeight="1">
      <c r="A3913" s="6" t="s">
        <v>10809</v>
      </c>
      <c r="B3913" s="6" t="s">
        <v>10810</v>
      </c>
    </row>
    <row r="3914" ht="12.75" customHeight="1">
      <c r="A3914" s="6" t="s">
        <v>10811</v>
      </c>
      <c r="B3914" s="6" t="s">
        <v>705</v>
      </c>
    </row>
    <row r="3915" ht="12.75" customHeight="1">
      <c r="A3915" s="6" t="s">
        <v>10812</v>
      </c>
      <c r="B3915" s="6" t="s">
        <v>10813</v>
      </c>
    </row>
    <row r="3916" ht="12.75" customHeight="1">
      <c r="A3916" s="6" t="s">
        <v>10814</v>
      </c>
      <c r="B3916" s="6" t="s">
        <v>10815</v>
      </c>
    </row>
    <row r="3917" ht="12.75" customHeight="1">
      <c r="A3917" s="6" t="s">
        <v>10816</v>
      </c>
      <c r="B3917" s="6" t="s">
        <v>10817</v>
      </c>
    </row>
    <row r="3918" ht="12.75" customHeight="1">
      <c r="A3918" s="6" t="s">
        <v>10818</v>
      </c>
      <c r="B3918" s="6" t="s">
        <v>10819</v>
      </c>
    </row>
    <row r="3919" ht="12.75" customHeight="1">
      <c r="A3919" s="6" t="s">
        <v>10820</v>
      </c>
    </row>
    <row r="3920" ht="12.75" customHeight="1">
      <c r="A3920" s="6" t="s">
        <v>10821</v>
      </c>
      <c r="B3920" s="6" t="s">
        <v>10822</v>
      </c>
    </row>
    <row r="3921" ht="12.75" customHeight="1">
      <c r="A3921" s="6" t="s">
        <v>10823</v>
      </c>
      <c r="B3921" s="6" t="s">
        <v>3428</v>
      </c>
    </row>
    <row r="3922" ht="12.75" customHeight="1">
      <c r="A3922" s="6" t="s">
        <v>10824</v>
      </c>
      <c r="B3922" s="6" t="s">
        <v>293</v>
      </c>
    </row>
    <row r="3923" ht="12.75" customHeight="1">
      <c r="A3923" s="6" t="s">
        <v>10825</v>
      </c>
      <c r="B3923" s="6" t="s">
        <v>10826</v>
      </c>
    </row>
    <row r="3924" ht="12.75" customHeight="1">
      <c r="A3924" s="6" t="s">
        <v>10827</v>
      </c>
      <c r="B3924" s="6" t="s">
        <v>10828</v>
      </c>
    </row>
    <row r="3925" ht="12.75" customHeight="1">
      <c r="A3925" s="6" t="s">
        <v>10829</v>
      </c>
      <c r="B3925" s="6" t="s">
        <v>10830</v>
      </c>
    </row>
    <row r="3926" ht="12.75" customHeight="1">
      <c r="A3926" s="6" t="s">
        <v>10831</v>
      </c>
      <c r="B3926" s="6" t="s">
        <v>10832</v>
      </c>
    </row>
    <row r="3927" ht="12.75" customHeight="1">
      <c r="A3927" s="6" t="s">
        <v>10833</v>
      </c>
      <c r="B3927" s="6" t="s">
        <v>10834</v>
      </c>
    </row>
    <row r="3928" ht="12.75" customHeight="1">
      <c r="A3928" s="6" t="s">
        <v>10835</v>
      </c>
      <c r="B3928" s="6" t="s">
        <v>10836</v>
      </c>
    </row>
    <row r="3929" ht="12.75" customHeight="1">
      <c r="A3929" s="6" t="s">
        <v>10837</v>
      </c>
      <c r="B3929" s="6" t="s">
        <v>2777</v>
      </c>
    </row>
  </sheetData>
  <printOptions/>
  <pageMargins bottom="0.75" footer="0.0" header="0.0" left="0.7" right="0.7" top="0.75"/>
  <pageSetup orientation="landscape"/>
  <drawing r:id="rId1"/>
</worksheet>
</file>