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efrag-my.sharepoint.com/personal/richard_boessen_efrag_org/Documents/Github/vsme-converter/samples/"/>
    </mc:Choice>
  </mc:AlternateContent>
  <xr:revisionPtr revIDLastSave="872" documentId="13_ncr:1_{94F889FC-E9D6-4F01-9F25-BB6C74FFAFD4}" xr6:coauthVersionLast="47" xr6:coauthVersionMax="47" xr10:uidLastSave="{1C8D6BA3-DEC9-4649-8A87-D4D0E45B6FE4}"/>
  <bookViews>
    <workbookView xWindow="-120" yWindow="-120" windowWidth="29040" windowHeight="17520" tabRatio="672" activeTab="2" xr2:uid="{2424E359-BB1A-4C61-AEBD-805991FC6353}"/>
  </bookViews>
  <sheets>
    <sheet name="Introduction &amp; Validation" sheetId="4" r:id="rId1"/>
    <sheet name="Table of Contents &amp; Validation" sheetId="16" r:id="rId2"/>
    <sheet name="General Information" sheetId="3" r:id="rId3"/>
    <sheet name="Environmental Disclosures" sheetId="1" r:id="rId4"/>
    <sheet name="Social Disclosures" sheetId="12" r:id="rId5"/>
    <sheet name="Governance Disclosures" sheetId="7" r:id="rId6"/>
    <sheet name="Fuel Converter" sheetId="8" r:id="rId7"/>
    <sheet name="Fuel Conversion Parameters" sheetId="15" r:id="rId8"/>
    <sheet name="Unit Of Measurement Converter" sheetId="9" r:id="rId9"/>
    <sheet name="Enumeration Lists" sheetId="6" r:id="rId10"/>
    <sheet name="Technical Sheet" sheetId="11" r:id="rId11"/>
    <sheet name="Licence" sheetId="14" r:id="rId12"/>
  </sheets>
  <definedNames>
    <definedName name="AddressOfSite">'General Information'!$D$108:$D$132</definedName>
    <definedName name="AmountOfEmissionsTable">'Environmental Disclosures'!$D$77:$K$116</definedName>
    <definedName name="AmountOfEmissionToAir">'Environmental Disclosures'!$G$77:$I$116</definedName>
    <definedName name="AmountOfEmissionToAir_unit">'Environmental Disclosures'!$C$75</definedName>
    <definedName name="AmountOfEmissionToSoil">'Environmental Disclosures'!$K$77:$K$116</definedName>
    <definedName name="AmountOfEmissionToSoil_unit">'Environmental Disclosures'!$C$75</definedName>
    <definedName name="AmountOfEmissionToWater">'Environmental Disclosures'!$J$77:$J$116</definedName>
    <definedName name="AmountOfEmissionToWater_unit">'Environmental Disclosures'!$C$75</definedName>
    <definedName name="AmountOfWaterWithdrawnAtSitesLocatedInAreasOfHighWaterStress">'Environmental Disclosures'!$D$167</definedName>
    <definedName name="AreaOfSiteInBiodiversitySensitiveArea">'Environmental Disclosures'!$G$125:$I$150</definedName>
    <definedName name="AreaOfSiteInBiodiversitySensitiveArea_unit">'Environmental Disclosures'!$C$123</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Disclosures'!$C$213:$I$227</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Disclosures'!$D$59</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Disclosures'!$E$233</definedName>
    <definedName name="DescriptionOfHowCircularEconomyPrinciplesAreApplied">'Environmental Disclosures'!$D$180</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Disclosures'!$C$241</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Disclosures'!$E$234</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Disclosures'!$E$236</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Disclosures'!$C$213:$C$227</definedName>
    <definedName name="IdentifierOfSitesInBiodiversitySensitiveAreasTypedAxis">'Environmental Disclosures'!$C$125:$C$150</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Disclosures'!$D$213:$F$227</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Disclosures'!$E$237</definedName>
    <definedName name="PracticePolicyAndOrFutureInitiativeIsPubliclyAvailable">'General Information'!$N$139</definedName>
    <definedName name="PubliclyAvailableDisclosure">'Environmental Disclosures'!$G$72</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Disclosures'!$G$63</definedName>
    <definedName name="Scope1AndScope2GreenhouseGasEmissionsIntensityValueMarketBased">'Environmental Disclosures'!$G$64</definedName>
    <definedName name="SiteLocatedInABiodiversitySensitiveArea">'Environmental Disclosures'!$J$125:$J$150</definedName>
    <definedName name="SiteLocatedNearABiodiversitySensitiveArea">'Environmental Disclosures'!$K$125:$K$150</definedName>
    <definedName name="SitesInBiodiversitySensitiveAreasTable">'Environmental Disclosures'!$C$125:$K$150</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Disclosures'!$C$61</definedName>
    <definedName name="template_b3_total_energy_consumption_in_MWh">'Environmental Disclosures'!$C$2</definedName>
    <definedName name="template_b4_pollution_of_air_water_and_soil">'Environmental Disclosures'!$C$68</definedName>
    <definedName name="template_b5_biodiversity_land_use">'Environmental Disclosures'!$C$152</definedName>
    <definedName name="template_b5_sites_in_biodiversity_sensitive_areas">'Environmental Disclosures'!$C$118</definedName>
    <definedName name="template_b6_water_consumption">'Environmental Disclosures'!$C$169</definedName>
    <definedName name="template_b6_water_withdrawal">'Environmental Disclosures'!$C$163</definedName>
    <definedName name="template_b7_annual_mass_flow_of_relevant_materials_used">'Environmental Disclosures'!$C$208</definedName>
    <definedName name="template_b7_description_of_circular_economy_principles">'Environmental Disclosures'!$C$176</definedName>
    <definedName name="template_b7_waste_generated">'Environmental Disclosures'!$C$182</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Disclosures'!$C$231</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Disclosures'!$C$239</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 &amp; Validation'!$C$9</definedName>
    <definedName name="template_reporting_template_version">'Introduction &amp; Validation'!$C$1</definedName>
    <definedName name="TimeHorizonsOfAnyClimateRelatedHazardsAndTransitionEventsIdentified">'Environmental Disclosures'!$E$235</definedName>
    <definedName name="TotalAmountOfFinesForTheViolationOfAnticorruptionAndAntibriberyLaws">'Governance Disclosures'!$H$7</definedName>
    <definedName name="TotalAmountOfWaterWithdrawnFromAllSites">'Environmental Disclosures'!$D$166</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Disclosures'!$J$201:$L$201</definedName>
    <definedName name="TotalHazardousWasteGeneratedMass_unit">'Environmental Disclosures'!$G$201:$I$201</definedName>
    <definedName name="TotalHazardousWasteGeneratedVolume">'Environmental Disclosures'!$J$204:$L$204</definedName>
    <definedName name="TotalHazardousWasteGeneratedVolume_unit">'Environmental Disclosures'!$G$204:$I$204</definedName>
    <definedName name="TotalLocationBasedGreenhouseGasEmissionsIntensityValue">'Environmental Disclosures'!$G$65</definedName>
    <definedName name="TotalMarketBasedGreenhouseGasEmissionsIntensityValue">'Environmental Disclosures'!$G$66</definedName>
    <definedName name="TotalMassOfMaterialUsed">'Environmental Disclosures'!$G$228</definedName>
    <definedName name="TotalMassOfMaterialUsed_unit">'Environmental Disclosures'!$J$228</definedName>
    <definedName name="TotalNatureOrientedAreaOffSite">'Environmental Disclosures'!$D$160:$F$160</definedName>
    <definedName name="TotalNatureOrientedAreaOffSite_unit">'Environmental Disclosures'!$C$156</definedName>
    <definedName name="TotalNatureOrientedAreaOnSite">'Environmental Disclosures'!$D$159:$F$159</definedName>
    <definedName name="TotalNatureOrientedAreaOnSite_unit">'Environmental Disclosures'!$C$156</definedName>
    <definedName name="TotalNonHazardousWasteGeneratedMass">'Environmental Disclosures'!$J$202:$L$202</definedName>
    <definedName name="TotalNonHazardousWasteGeneratedMass_unit">'Environmental Disclosures'!$G$202:$I$202</definedName>
    <definedName name="TotalNonHazardousWasteGeneratedVolume">'Environmental Disclosures'!$J$205:$L$205</definedName>
    <definedName name="TotalNonHazardousWasteGeneratedVolume_unit">'Environmental Disclosures'!$G$205:$I$205</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Disclosures'!$D$158:$F$158</definedName>
    <definedName name="TotalSealedArea_unit">'Environmental Disclosures'!$C$156</definedName>
    <definedName name="TotalUseOfLand">'Environmental Disclosures'!$D$161:$F$161</definedName>
    <definedName name="TotalUseOfLand_unit">'Environmental Disclosures'!$C$156</definedName>
    <definedName name="TotalVolumeOfMaterialUsed">'Environmental Disclosures'!$G$229</definedName>
    <definedName name="TotalVolumeOfMaterialUsed_unit">'Environmental Disclosures'!$J$229</definedName>
    <definedName name="TotalWasteGeneratedMass">'Environmental Disclosures'!$J$203:$L$203</definedName>
    <definedName name="TotalWasteGeneratedMass_unit">'Environmental Disclosures'!$G$203:$I$203</definedName>
    <definedName name="TotalWasteGeneratedVolume">'Environmental Disclosures'!$J$206:$L$206</definedName>
    <definedName name="TotalWasteGeneratedVolume_unit">'Environmental Disclosures'!$G$206:$I$206</definedName>
    <definedName name="TotalWasteRecycledReusedAndDirectedToDisposalMass">'Environmental Disclosures'!$L$186:$L$200</definedName>
    <definedName name="TotalWasteRecycledReusedAndDirectedToDisposalMass_unit">'Environmental Disclosures'!$G$186:$I$200</definedName>
    <definedName name="TotalWasteRecycledReusedAndDirectedToDisposalVolume">'Environmental Disclosures'!$L$186:$L$200</definedName>
    <definedName name="TotalWasteRecycledReusedAndDirectedToDisposalVolume_unit">'Environmental Disclosures'!$G$186:$I$200</definedName>
    <definedName name="TotalWaterConsumption">'Environmental Disclosures'!$D$174</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Disclosures'!$D$77:$F$116</definedName>
    <definedName name="TypeOfWasteAxis">'Environmental Disclosures'!$D$186:$F$200</definedName>
    <definedName name="UndertakingAppliesCircularEconomyPrinciples">'Environmental Disclosures'!$D$179</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Disclosures'!$G$73</definedName>
    <definedName name="VolumeOfMaterialUsed">'Environmental Disclosures'!$G$213:$I$227</definedName>
    <definedName name="VolumeOfMaterialUsed_unit">'Environmental Disclosures'!$J$213:$J$227</definedName>
    <definedName name="WasteDirectedToDisposalMass">'Environmental Disclosures'!$K$186:$K$200</definedName>
    <definedName name="WasteDirectedToDisposalMass_unit">'Environmental Disclosures'!$G$186:$I$200</definedName>
    <definedName name="WasteDirectedToDisposalVolume">'Environmental Disclosures'!$K$186:$K$200</definedName>
    <definedName name="WasteDirectedToDisposalVolume_unit">'Environmental Disclosures'!$G$186:$I$200</definedName>
    <definedName name="WasteDivertedToRecycleOrReuseMass">'Environmental Disclosures'!$J$186:$J$200</definedName>
    <definedName name="WasteDivertedToRecycleOrReuseMass_unit">'Environmental Disclosures'!$G$186:$I$200</definedName>
    <definedName name="WasteDivertedToRecycleOrReuseVolume">'Environmental Disclosures'!$J$186:$J$200</definedName>
    <definedName name="WasteDivertedToRecycleOrReuseVolume_unit">'Environmental Disclosures'!$G$186:$I$200</definedName>
    <definedName name="WasteTable">'Environmental Disclosures'!$D$186:$L$200</definedName>
    <definedName name="WaterDischargeFromUndertakingProductionProcesses">'Environmental Disclosures'!$D$173</definedName>
    <definedName name="WeightOfMaterialUsed">'Environmental Disclosures'!$G$213:$I$227</definedName>
    <definedName name="WeightOfMaterialUsed_unit">'Environmental Disclosures'!$J$213:$J$227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5" i="1" l="1"/>
  <c r="L21" i="1"/>
  <c r="L75" i="1" a="1"/>
  <c r="L75" i="1" s="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78" i="1"/>
  <c r="L77" i="1"/>
  <c r="I45" i="12"/>
  <c r="I44" i="12"/>
  <c r="I43" i="12"/>
  <c r="F21" i="3"/>
  <c r="F22" i="3"/>
  <c r="F23" i="3"/>
  <c r="F24" i="3"/>
  <c r="F25" i="3"/>
  <c r="F26" i="3"/>
  <c r="F27" i="3"/>
  <c r="F28" i="3"/>
  <c r="F20" i="3"/>
  <c r="L24" i="1"/>
  <c r="L23" i="1"/>
  <c r="L22" i="1"/>
  <c r="I29" i="12"/>
  <c r="I30" i="12"/>
  <c r="I31" i="12"/>
  <c r="I32" i="12"/>
  <c r="I33" i="12"/>
  <c r="I34" i="12"/>
  <c r="I35" i="12"/>
  <c r="I36" i="12"/>
  <c r="I37" i="12"/>
  <c r="I28" i="12"/>
  <c r="L73" i="1"/>
  <c r="F35" i="3"/>
  <c r="F36" i="3"/>
  <c r="F37" i="3"/>
  <c r="F38" i="3"/>
  <c r="F39" i="3"/>
  <c r="F40" i="3"/>
  <c r="F41" i="3"/>
  <c r="F34" i="3"/>
  <c r="G228" i="1"/>
  <c r="F29" i="3"/>
  <c r="I95" i="12" a="1"/>
  <c r="I95" i="12" s="1"/>
  <c r="C71" i="12"/>
  <c r="I83" i="12" a="1"/>
  <c r="I83" i="12" s="1"/>
  <c r="E144" i="3"/>
  <c r="E145" i="3"/>
  <c r="E143" i="3"/>
  <c r="L5" i="1"/>
  <c r="C20" i="16" s="1"/>
  <c r="C24" i="12"/>
  <c r="C14" i="12"/>
  <c r="C6" i="12"/>
  <c r="D9" i="3"/>
  <c r="F3" i="3" l="1"/>
  <c r="F5" i="3"/>
  <c r="F4" i="3"/>
  <c r="C7" i="7"/>
  <c r="F10" i="3"/>
  <c r="J111" i="3"/>
  <c r="J112" i="3"/>
  <c r="J113" i="3"/>
  <c r="J114" i="3"/>
  <c r="J115" i="3"/>
  <c r="J116" i="3"/>
  <c r="J117" i="3"/>
  <c r="J118" i="3"/>
  <c r="J119" i="3"/>
  <c r="J120" i="3"/>
  <c r="J121" i="3"/>
  <c r="J122" i="3"/>
  <c r="J123" i="3"/>
  <c r="J124" i="3"/>
  <c r="J125" i="3"/>
  <c r="J126" i="3"/>
  <c r="J127" i="3"/>
  <c r="J128" i="3"/>
  <c r="J129" i="3"/>
  <c r="J130" i="3"/>
  <c r="J131" i="3"/>
  <c r="J132" i="3"/>
  <c r="M188" i="1"/>
  <c r="M189" i="1"/>
  <c r="M190" i="1"/>
  <c r="M191" i="1"/>
  <c r="M192" i="1"/>
  <c r="M193" i="1"/>
  <c r="M194" i="1"/>
  <c r="M195" i="1"/>
  <c r="M196" i="1"/>
  <c r="M197" i="1"/>
  <c r="M198" i="1"/>
  <c r="M199" i="1"/>
  <c r="M200" i="1"/>
  <c r="M187" i="1"/>
  <c r="M186" i="1"/>
  <c r="F47" i="3"/>
  <c r="F48" i="3"/>
  <c r="F49" i="3"/>
  <c r="F50" i="3"/>
  <c r="F51" i="3"/>
  <c r="F52" i="3"/>
  <c r="F53" i="3"/>
  <c r="F54" i="3"/>
  <c r="F55" i="3"/>
  <c r="F56" i="3"/>
  <c r="F57" i="3"/>
  <c r="F58" i="3"/>
  <c r="F59" i="3"/>
  <c r="F46" i="3"/>
  <c r="F45" i="3"/>
  <c r="F33" i="3"/>
  <c r="F19" i="3"/>
  <c r="C7" i="16" s="1"/>
  <c r="D143" i="1"/>
  <c r="D142" i="1"/>
  <c r="D138" i="1"/>
  <c r="D126" i="1"/>
  <c r="L126" i="1" s="1"/>
  <c r="D125" i="1"/>
  <c r="H180" i="1"/>
  <c r="G156" i="1"/>
  <c r="D127" i="1"/>
  <c r="D128" i="1"/>
  <c r="D129" i="1"/>
  <c r="D130" i="1"/>
  <c r="D131" i="1"/>
  <c r="D132" i="1"/>
  <c r="D133" i="1"/>
  <c r="D134" i="1"/>
  <c r="D135" i="1"/>
  <c r="D136" i="1"/>
  <c r="D137" i="1"/>
  <c r="D139" i="1"/>
  <c r="D140" i="1"/>
  <c r="D141" i="1"/>
  <c r="D144" i="1"/>
  <c r="D145" i="1"/>
  <c r="D146" i="1"/>
  <c r="D147" i="1"/>
  <c r="D148" i="1"/>
  <c r="D149" i="1"/>
  <c r="D150" i="1"/>
  <c r="D56" i="1"/>
  <c r="L57" i="1" s="1"/>
  <c r="K31" i="1"/>
  <c r="K32" i="1"/>
  <c r="K33" i="1"/>
  <c r="K34" i="1"/>
  <c r="K35" i="1"/>
  <c r="K36" i="1"/>
  <c r="K37" i="1"/>
  <c r="K38" i="1"/>
  <c r="K39" i="1"/>
  <c r="K40" i="1"/>
  <c r="K41" i="1"/>
  <c r="K42" i="1"/>
  <c r="K43" i="1"/>
  <c r="K44" i="1"/>
  <c r="K30" i="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58" i="1" l="1"/>
  <c r="C27" i="16" s="1"/>
  <c r="M201" i="1" l="1" a="1"/>
  <c r="M201" i="1" s="1"/>
  <c r="C33" i="16" s="1"/>
  <c r="G202" i="1"/>
  <c r="G203" i="1"/>
  <c r="C57" i="12" l="1"/>
  <c r="K223" i="1" l="1"/>
  <c r="K224" i="1"/>
  <c r="K225" i="1"/>
  <c r="K226" i="1"/>
  <c r="K227" i="1"/>
  <c r="B11" i="8" l="1"/>
  <c r="L59" i="1"/>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I12" i="7" a="1"/>
  <c r="I12" i="7" s="1"/>
  <c r="C61" i="16" s="1"/>
  <c r="A22" i="8" l="1"/>
  <c r="B22" i="8" s="1"/>
  <c r="I49" i="12"/>
  <c r="I109" i="12"/>
  <c r="C67" i="16" s="1"/>
  <c r="I56" i="12"/>
  <c r="I53" i="12"/>
  <c r="I103" i="12"/>
  <c r="I102" i="12"/>
  <c r="I101" i="12"/>
  <c r="I100" i="12"/>
  <c r="I93" i="12"/>
  <c r="C58" i="16" s="1"/>
  <c r="I90" i="12"/>
  <c r="I89" i="12"/>
  <c r="I81" i="12"/>
  <c r="I78" i="12"/>
  <c r="I77" i="12"/>
  <c r="I75" i="12"/>
  <c r="I74" i="12"/>
  <c r="I66" i="12"/>
  <c r="I60" i="12"/>
  <c r="I58" i="12"/>
  <c r="C58" i="12"/>
  <c r="I57" i="12"/>
  <c r="I50" i="12"/>
  <c r="E38" i="12"/>
  <c r="C39" i="16"/>
  <c r="D22" i="12"/>
  <c r="H18" i="12" s="1"/>
  <c r="C38" i="16" s="1"/>
  <c r="H10" i="12"/>
  <c r="C37" i="16" s="1"/>
  <c r="F3" i="12"/>
  <c r="F2" i="12"/>
  <c r="K124" i="3"/>
  <c r="H112" i="3"/>
  <c r="M241" i="1"/>
  <c r="C66" i="16" s="1"/>
  <c r="E166" i="1"/>
  <c r="H149" i="3"/>
  <c r="H150" i="3"/>
  <c r="H148" i="3"/>
  <c r="C16" i="16"/>
  <c r="C15" i="16" s="1"/>
  <c r="C40" i="16" l="1"/>
  <c r="C36" i="16" s="1"/>
  <c r="C56" i="16"/>
  <c r="C42" i="16"/>
  <c r="C41" i="16"/>
  <c r="C57" i="16"/>
  <c r="C48" i="16"/>
  <c r="H154" i="3"/>
  <c r="F65" i="3"/>
  <c r="F64" i="3"/>
  <c r="F63" i="3"/>
  <c r="F62" i="3"/>
  <c r="F61" i="3"/>
  <c r="D6" i="9"/>
  <c r="H179" i="1"/>
  <c r="C32" i="16" s="1"/>
  <c r="E167" i="1"/>
  <c r="C29" i="16" s="1"/>
  <c r="F60" i="3"/>
  <c r="F43" i="3"/>
  <c r="F42" i="3"/>
  <c r="H131" i="3" l="1"/>
  <c r="K132" i="3"/>
  <c r="K109" i="3" l="1"/>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L30" i="1" a="1"/>
  <c r="L30" i="1" s="1"/>
  <c r="L58" i="1"/>
  <c r="D4" i="11" l="1"/>
  <c r="F4" i="11" s="1"/>
  <c r="C53" i="16"/>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28" i="1"/>
  <c r="L129" i="1"/>
  <c r="L130" i="1"/>
  <c r="L131" i="1"/>
  <c r="L132" i="1"/>
  <c r="L133" i="1"/>
  <c r="L134" i="1"/>
  <c r="L135" i="1"/>
  <c r="L136" i="1"/>
  <c r="L137" i="1"/>
  <c r="L142" i="1"/>
  <c r="L150" i="1"/>
  <c r="L149" i="1"/>
  <c r="L148" i="1"/>
  <c r="L147" i="1"/>
  <c r="L146" i="1"/>
  <c r="L145" i="1"/>
  <c r="L144" i="1"/>
  <c r="L143" i="1"/>
  <c r="L141" i="1"/>
  <c r="L140" i="1"/>
  <c r="L139" i="1"/>
  <c r="L138"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5" i="1"/>
  <c r="G25" i="11"/>
  <c r="G10" i="11"/>
  <c r="H116" i="3" s="1"/>
  <c r="I116" i="3" s="1"/>
  <c r="G22" i="11"/>
  <c r="G12" i="11"/>
  <c r="G16" i="11"/>
  <c r="G21" i="11"/>
  <c r="G7" i="11"/>
  <c r="H113" i="3" s="1"/>
  <c r="I113" i="3" s="1"/>
  <c r="G23" i="11"/>
  <c r="G8" i="11"/>
  <c r="H114" i="3" s="1"/>
  <c r="I114" i="3" s="1"/>
  <c r="G15" i="11"/>
  <c r="G9" i="11"/>
  <c r="H115" i="3" s="1"/>
  <c r="I115" i="3" s="1"/>
  <c r="G26" i="11"/>
  <c r="G3" i="11"/>
  <c r="G2" i="11"/>
  <c r="L127" i="1"/>
  <c r="K25" i="1"/>
  <c r="L52" i="1"/>
  <c r="C26" i="16" l="1"/>
  <c r="C25" i="16" s="1"/>
  <c r="C52" i="16"/>
  <c r="C51" i="16"/>
  <c r="K26" i="1"/>
  <c r="G4" i="11"/>
  <c r="H110" i="3" s="1"/>
  <c r="I110" i="3" s="1"/>
  <c r="J110" i="3"/>
  <c r="W22" i="8"/>
  <c r="X22" i="8" s="1"/>
  <c r="AE22" i="8"/>
  <c r="AF22" i="8" s="1"/>
  <c r="AM22" i="8"/>
  <c r="AN22" i="8" s="1"/>
  <c r="AI22" i="8"/>
  <c r="AJ22" i="8" s="1"/>
  <c r="O22" i="8"/>
  <c r="P22" i="8" s="1"/>
  <c r="AA22" i="8"/>
  <c r="AB22" i="8" s="1"/>
  <c r="S22" i="8"/>
  <c r="T22" i="8" s="1"/>
  <c r="K22" i="8"/>
  <c r="L22" i="8" s="1"/>
  <c r="I108" i="3"/>
  <c r="I109" i="3"/>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A32" i="8"/>
  <c r="L12" i="1" l="1" a="1"/>
  <c r="L12" i="1" s="1"/>
  <c r="C21" i="16" s="1"/>
  <c r="A29" i="8"/>
  <c r="I32" i="7"/>
  <c r="I31" i="7"/>
  <c r="I7" i="7"/>
  <c r="I6" i="7"/>
  <c r="C44" i="16" s="1"/>
  <c r="L237" i="1"/>
  <c r="L234" i="1"/>
  <c r="L235" i="1"/>
  <c r="L236" i="1"/>
  <c r="L233" i="1"/>
  <c r="C54" i="16" s="1"/>
  <c r="K213" i="1"/>
  <c r="E173" i="1"/>
  <c r="C30" i="16" s="1"/>
  <c r="C28" i="16" s="1"/>
  <c r="L123"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63" i="16" l="1"/>
  <c r="C12" i="16"/>
  <c r="K31" i="8"/>
  <c r="K33" i="8" s="1"/>
  <c r="K30" i="8" s="1"/>
  <c r="L72" i="1" l="1" a="1"/>
  <c r="L72" i="1" s="1"/>
  <c r="F6" i="3"/>
  <c r="C6" i="16" s="1"/>
  <c r="L188" i="1"/>
  <c r="L189" i="1"/>
  <c r="L190" i="1"/>
  <c r="L191" i="1"/>
  <c r="L192" i="1"/>
  <c r="L193" i="1"/>
  <c r="L194" i="1"/>
  <c r="L195" i="1"/>
  <c r="L196" i="1"/>
  <c r="L197" i="1"/>
  <c r="L198" i="1"/>
  <c r="L199" i="1"/>
  <c r="L200" i="1"/>
  <c r="D13" i="3"/>
  <c r="C24" i="16" l="1"/>
  <c r="C22" i="16"/>
  <c r="B1" i="11"/>
  <c r="B2" i="11"/>
  <c r="C29" i="7" s="1"/>
  <c r="D21" i="1"/>
  <c r="C23" i="16" l="1"/>
  <c r="C19" i="16" s="1"/>
  <c r="C68" i="1"/>
  <c r="C55" i="12"/>
  <c r="C176" i="1"/>
  <c r="C134" i="3"/>
  <c r="C48" i="12"/>
  <c r="C169" i="1"/>
  <c r="C102" i="3"/>
  <c r="C40" i="12"/>
  <c r="C163" i="1"/>
  <c r="C96" i="3"/>
  <c r="C36" i="7"/>
  <c r="C152" i="1"/>
  <c r="C67" i="3"/>
  <c r="C118" i="1"/>
  <c r="C31" i="3"/>
  <c r="C20" i="7"/>
  <c r="C61" i="1"/>
  <c r="C9" i="7"/>
  <c r="C239" i="1"/>
  <c r="C7" i="1"/>
  <c r="C2" i="7"/>
  <c r="C231" i="1"/>
  <c r="C2" i="1"/>
  <c r="C107" i="12"/>
  <c r="C55" i="1"/>
  <c r="C162" i="3"/>
  <c r="C92" i="12"/>
  <c r="C49" i="1"/>
  <c r="C147" i="3"/>
  <c r="C80" i="12"/>
  <c r="C208" i="1"/>
  <c r="C153" i="3"/>
  <c r="C73" i="12"/>
  <c r="C182" i="1"/>
  <c r="C141" i="3"/>
  <c r="C158" i="3"/>
  <c r="C63" i="12"/>
  <c r="D22" i="9" l="1"/>
  <c r="D18" i="9"/>
  <c r="I22" i="7" l="1"/>
  <c r="H27" i="7"/>
  <c r="F32" i="3"/>
  <c r="I38" i="7"/>
  <c r="C68" i="16" s="1"/>
  <c r="F44" i="3"/>
  <c r="C11" i="16" l="1"/>
  <c r="C10" i="16" s="1"/>
  <c r="C62" i="16"/>
  <c r="C60" i="16" s="1"/>
  <c r="H155" i="3" l="1"/>
  <c r="H156" i="3"/>
  <c r="C47" i="16" l="1"/>
  <c r="I164" i="3" l="1"/>
  <c r="C65" i="16" s="1"/>
  <c r="K214" i="1"/>
  <c r="K215" i="1"/>
  <c r="K216" i="1"/>
  <c r="K217" i="1"/>
  <c r="K218" i="1"/>
  <c r="K219" i="1"/>
  <c r="K220" i="1"/>
  <c r="K221" i="1"/>
  <c r="K222" i="1"/>
  <c r="C34" i="16" l="1"/>
  <c r="C31" i="16" s="1"/>
  <c r="F18" i="3"/>
  <c r="I27" i="7"/>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C3" i="1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<sst xmlns="http://schemas.openxmlformats.org/spreadsheetml/2006/main" count="5380" uniqueCount="4826">
  <si>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</si>
  <si>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</si>
  <si>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</si>
  <si>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</si>
  <si>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</si>
  <si>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</si>
  <si>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</si>
  <si>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</si>
  <si>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</si>
  <si>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</si>
  <si>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</si>
  <si>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</si>
  <si>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</si>
  <si>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</si>
  <si>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</si>
  <si>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</si>
  <si>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</si>
  <si>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</si>
  <si>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</si>
  <si>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</si>
  <si>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</si>
  <si>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</si>
  <si>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</si>
  <si>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</si>
  <si>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</si>
  <si>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</si>
  <si>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</si>
  <si>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</si>
  <si>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</si>
  <si>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</si>
  <si>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</si>
  <si>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</si>
  <si>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</si>
  <si>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</si>
  <si>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</si>
  <si>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</si>
  <si>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</si>
  <si>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</si>
  <si>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</si>
  <si>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</si>
  <si>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</si>
  <si>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</si>
  <si>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</si>
  <si>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</si>
  <si>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</si>
  <si>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</si>
  <si>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</si>
  <si>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</si>
  <si>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</si>
  <si>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</si>
  <si>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</si>
  <si>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</si>
  <si>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</si>
  <si>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</si>
  <si>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</si>
  <si>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</si>
  <si>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</si>
  <si>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</si>
  <si>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</si>
  <si>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</si>
  <si>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</si>
  <si>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</si>
  <si>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</si>
  <si>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</si>
  <si>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</si>
  <si>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</si>
  <si>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</si>
  <si>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</si>
  <si>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</si>
  <si>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</si>
  <si>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</si>
  <si>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</si>
  <si>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</si>
  <si>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</si>
  <si>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</si>
  <si>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</si>
  <si>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</si>
  <si>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</si>
  <si>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</si>
  <si>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</si>
  <si>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</si>
  <si>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</si>
  <si>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</si>
  <si>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</si>
  <si>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</si>
  <si>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</si>
  <si>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</si>
  <si>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</si>
  <si>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</si>
  <si>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</si>
  <si>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</si>
  <si>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</si>
  <si>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</si>
  <si>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</si>
  <si>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</si>
  <si>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</si>
  <si>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</si>
  <si>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</si>
  <si>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</si>
  <si>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</si>
  <si>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</si>
  <si>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</si>
  <si>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</si>
  <si>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</si>
  <si>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</si>
  <si>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</si>
  <si>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</si>
  <si>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</si>
  <si>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</si>
  <si>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</si>
  <si>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</si>
  <si>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</si>
  <si>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</si>
  <si>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</si>
  <si>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</si>
  <si>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</si>
  <si>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</si>
  <si>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</si>
  <si>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</si>
  <si>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</si>
  <si>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</si>
  <si>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</si>
  <si>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</si>
  <si>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</si>
  <si>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</si>
  <si>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</si>
  <si>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</si>
  <si>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</si>
  <si>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</si>
  <si>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</si>
  <si>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</si>
  <si>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</si>
  <si>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</si>
  <si>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</si>
  <si>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</si>
  <si>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</si>
  <si>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</si>
  <si>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</si>
  <si>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</si>
  <si>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</si>
  <si>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</si>
  <si>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</si>
  <si>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</si>
  <si>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</si>
  <si>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</si>
  <si>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</si>
  <si>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</si>
  <si>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</si>
  <si>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</si>
  <si>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</si>
  <si>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</si>
  <si>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</si>
  <si>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</si>
  <si>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</si>
  <si>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</si>
  <si>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</si>
  <si>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</si>
  <si>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</si>
  <si>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</si>
  <si>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</si>
  <si>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</si>
  <si>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</si>
  <si>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</si>
  <si>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</si>
  <si>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</si>
  <si>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</si>
  <si>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</si>
  <si>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</si>
  <si>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</si>
  <si>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</si>
  <si>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</si>
  <si>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</si>
  <si>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</si>
  <si>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</si>
  <si>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</si>
  <si>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</si>
  <si>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</si>
  <si>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</si>
  <si>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</si>
  <si>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</si>
  <si>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</si>
  <si>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</si>
  <si>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</si>
  <si>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</si>
  <si>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</si>
  <si>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</si>
  <si>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</si>
  <si>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</si>
  <si>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</si>
  <si>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</si>
  <si>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</si>
  <si>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</si>
  <si>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</si>
  <si>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</si>
  <si>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</si>
  <si>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</si>
  <si>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</si>
  <si>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</si>
  <si>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</si>
  <si>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</si>
  <si>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</si>
  <si>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</si>
  <si>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</si>
  <si>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</si>
  <si>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</si>
  <si>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</si>
  <si>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</si>
  <si>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</si>
  <si>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</si>
  <si>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</si>
  <si>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</si>
  <si>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</si>
  <si>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</si>
  <si>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</si>
  <si>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</si>
  <si>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</si>
  <si>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</si>
  <si>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</si>
  <si>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</si>
  <si>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</si>
  <si>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</si>
  <si>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</si>
  <si>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</si>
  <si>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</si>
  <si>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</si>
  <si>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</si>
  <si>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</si>
  <si>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</si>
  <si>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</si>
  <si>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</si>
  <si>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</si>
  <si>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</si>
  <si>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</si>
  <si>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</si>
  <si>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</si>
  <si>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</si>
  <si>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</si>
  <si>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</si>
  <si>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</si>
  <si>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</si>
  <si>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</si>
  <si>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</si>
  <si>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</si>
  <si>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</si>
  <si>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</si>
  <si>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</si>
  <si>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</si>
  <si>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</si>
  <si>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</si>
  <si>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</si>
  <si>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</si>
  <si>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</si>
  <si>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</si>
  <si>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</si>
  <si>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</si>
  <si>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</si>
  <si>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</si>
  <si>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</si>
  <si>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</si>
  <si>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</si>
  <si>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</si>
  <si>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</si>
  <si>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</si>
  <si>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</si>
  <si>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</si>
  <si>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</si>
  <si>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</si>
  <si>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</si>
  <si>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</si>
  <si>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</si>
  <si>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</si>
  <si>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</si>
  <si>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</si>
  <si>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</si>
  <si>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</si>
  <si>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</si>
  <si>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</si>
  <si>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</si>
  <si>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</si>
  <si>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</si>
  <si>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</si>
  <si>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</si>
  <si>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</si>
  <si>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</si>
  <si>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</si>
  <si>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</si>
  <si>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</si>
  <si>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</si>
  <si>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</si>
  <si>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</si>
  <si>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</si>
  <si>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</si>
  <si>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</si>
  <si>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</si>
  <si>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</si>
  <si>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</si>
  <si>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</si>
  <si>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</si>
  <si>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</si>
  <si>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</si>
  <si>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</si>
  <si>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</si>
  <si>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</si>
  <si>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</si>
  <si>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</si>
  <si>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</si>
  <si>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</si>
  <si>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</si>
  <si>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</si>
  <si>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</si>
  <si>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</si>
  <si>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</si>
  <si>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</si>
  <si>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</si>
  <si>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</si>
  <si>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</si>
  <si>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</si>
  <si>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</si>
  <si>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</si>
  <si>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</si>
  <si>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</si>
  <si>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</si>
  <si>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</si>
  <si>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</si>
  <si>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</si>
  <si>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</si>
  <si>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</si>
  <si>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</si>
  <si>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</si>
  <si>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</si>
  <si>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</si>
  <si>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</si>
  <si>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</si>
  <si>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</si>
  <si>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</si>
  <si>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</si>
  <si>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</si>
  <si>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</si>
  <si>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</si>
  <si>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</si>
  <si>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</si>
  <si>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</si>
  <si>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</si>
  <si>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</si>
  <si>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</si>
  <si>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</si>
  <si>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</si>
  <si>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</si>
  <si>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</si>
  <si>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</si>
  <si>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</si>
  <si>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</si>
  <si>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</si>
  <si>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</si>
  <si>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</si>
  <si>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</si>
  <si>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</si>
  <si>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</si>
  <si>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</si>
  <si>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</si>
  <si>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</si>
  <si>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</si>
  <si>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</si>
  <si>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</si>
  <si>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</si>
  <si>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</si>
  <si>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</si>
  <si>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</si>
  <si>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</si>
  <si>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</si>
  <si>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</si>
  <si>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</si>
  <si>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</si>
  <si>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</si>
  <si>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</si>
  <si>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</si>
  <si>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</si>
  <si>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</si>
  <si>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</si>
  <si>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</si>
  <si>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</si>
  <si>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</si>
  <si>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</si>
  <si>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</si>
  <si>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</si>
  <si>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</si>
  <si>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</si>
  <si>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</si>
  <si>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</si>
  <si>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</si>
  <si>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</si>
  <si>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</si>
  <si>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</si>
  <si>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</si>
  <si>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</si>
  <si>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</si>
  <si>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</si>
  <si>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</si>
  <si>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</si>
  <si>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</si>
  <si>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</si>
  <si>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</si>
  <si>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</si>
  <si>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</si>
  <si>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</si>
  <si>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</si>
  <si>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</si>
  <si>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</si>
  <si>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</si>
  <si>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</si>
  <si>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</si>
  <si>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</si>
  <si>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</si>
  <si>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</si>
  <si>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</si>
  <si>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</si>
  <si>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</si>
  <si>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</si>
  <si>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</si>
  <si>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</si>
  <si>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</si>
  <si>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</si>
  <si>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</si>
  <si>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</si>
  <si>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</si>
  <si>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</si>
  <si>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</si>
  <si>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</si>
  <si>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</si>
  <si>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</si>
  <si>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</si>
  <si>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</si>
  <si>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</si>
  <si>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</si>
  <si>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</si>
  <si>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</si>
  <si>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</si>
  <si>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</si>
  <si>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</si>
  <si>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</si>
  <si>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</si>
  <si>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</si>
  <si>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</si>
  <si>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</si>
  <si>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</si>
  <si>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</si>
  <si>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</si>
  <si>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</si>
  <si>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</si>
  <si>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</si>
  <si>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</si>
  <si>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</si>
  <si>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</si>
  <si>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</si>
  <si>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</si>
  <si>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</si>
  <si>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</si>
  <si>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</si>
  <si>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</si>
  <si>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</si>
  <si>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</si>
  <si>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</si>
  <si>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</si>
  <si>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</si>
  <si>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</si>
  <si>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</si>
  <si>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</si>
  <si>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</si>
  <si>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</si>
  <si>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</si>
  <si>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</si>
  <si>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</si>
  <si>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</si>
  <si>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</si>
  <si>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</si>
  <si>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</si>
  <si>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</si>
  <si>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</si>
  <si>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</si>
  <si>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</si>
  <si>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</si>
  <si>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</si>
  <si>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</si>
  <si>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</si>
  <si>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</si>
  <si>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</si>
  <si>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</si>
  <si>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</si>
  <si>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</si>
  <si>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</si>
  <si>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</si>
  <si>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</si>
  <si>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</si>
  <si>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</si>
  <si>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</si>
  <si>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</si>
  <si>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</si>
  <si>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</si>
  <si>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</si>
  <si>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</si>
  <si>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</si>
  <si>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</si>
  <si>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</si>
  <si>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</si>
  <si>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</si>
  <si>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</si>
  <si>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</si>
  <si>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</si>
  <si>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</si>
  <si>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</si>
  <si>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</si>
  <si>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</si>
  <si>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</si>
  <si>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</si>
  <si>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</si>
  <si>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</si>
  <si>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</si>
  <si>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</si>
  <si>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</si>
  <si>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</si>
  <si>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</si>
  <si>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</si>
  <si>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</si>
  <si>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</si>
  <si>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</si>
  <si>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</si>
  <si>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</si>
  <si>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</si>
  <si>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</si>
  <si>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</si>
  <si>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</si>
  <si>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</si>
  <si>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</si>
  <si>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</si>
  <si>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</si>
  <si>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</si>
  <si>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</si>
  <si>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</si>
  <si>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</si>
  <si>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</si>
  <si>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</si>
  <si>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</si>
  <si>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</si>
  <si>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</si>
  <si>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</si>
  <si>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</si>
  <si>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</si>
  <si>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</si>
  <si>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</si>
  <si>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</si>
  <si>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</si>
  <si>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</si>
  <si>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</si>
  <si>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</si>
  <si>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</si>
  <si>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</si>
  <si>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</si>
  <si>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</si>
  <si>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</si>
  <si>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</si>
  <si>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</si>
  <si>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</si>
  <si>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</si>
  <si>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</si>
  <si>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</si>
  <si>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</si>
  <si>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</si>
  <si>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</si>
  <si>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</si>
  <si>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</si>
  <si>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</si>
  <si>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</si>
  <si>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</si>
  <si>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</si>
  <si>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</si>
  <si>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</si>
  <si>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</si>
  <si>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</si>
  <si>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</si>
  <si>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</si>
  <si>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</si>
  <si>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</si>
  <si>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</si>
  <si>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</si>
  <si>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</si>
  <si>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</si>
  <si>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</si>
  <si>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</si>
  <si>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</si>
  <si>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</si>
  <si>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</si>
  <si>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</si>
  <si>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</si>
  <si>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</si>
  <si>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</si>
  <si>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</si>
  <si>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</si>
  <si>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</si>
  <si>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</si>
  <si>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</si>
  <si>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</si>
  <si>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</si>
  <si>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</si>
  <si>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</si>
  <si>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</si>
  <si>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</si>
  <si>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</si>
  <si>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</si>
  <si>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</si>
  <si>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</si>
  <si>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</si>
  <si>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</si>
  <si>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</si>
  <si>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</si>
  <si>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</si>
  <si>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</si>
  <si>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</si>
  <si>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</si>
  <si>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</si>
  <si>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</si>
  <si>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</si>
  <si>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</si>
  <si>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</si>
  <si>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</si>
  <si>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</si>
  <si>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</si>
  <si>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</si>
  <si>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</si>
  <si>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</si>
  <si>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</si>
  <si>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</si>
  <si>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</si>
  <si>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</si>
  <si>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</si>
  <si>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</si>
  <si>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</si>
  <si>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</si>
  <si>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</si>
  <si>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</si>
  <si>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</si>
  <si>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</si>
  <si>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</si>
  <si>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</si>
  <si>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</si>
  <si>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</si>
  <si>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</si>
  <si>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</si>
  <si>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</si>
  <si>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</si>
  <si>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</si>
  <si>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</si>
  <si>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</si>
  <si>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</si>
  <si>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</si>
  <si>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</si>
  <si>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</si>
  <si>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</si>
  <si>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</si>
  <si>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</si>
  <si>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</si>
  <si>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</si>
  <si>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</si>
  <si>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</si>
  <si>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</si>
  <si>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</si>
  <si>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</si>
  <si>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</si>
  <si>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</si>
  <si>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</si>
  <si>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</si>
  <si>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</si>
  <si>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</si>
  <si>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</si>
  <si>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</si>
  <si>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</si>
  <si>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</si>
  <si>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</si>
  <si>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</si>
  <si>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</si>
  <si>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</si>
  <si>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</si>
  <si>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</si>
  <si>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</si>
  <si>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</si>
  <si>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</si>
  <si>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</si>
  <si>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</si>
  <si>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</si>
  <si>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</si>
  <si>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</si>
  <si>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</si>
  <si>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</si>
  <si>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</si>
  <si>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</si>
  <si>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</si>
  <si>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</si>
  <si>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</si>
  <si>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</si>
  <si>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</si>
  <si>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</si>
  <si>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</si>
  <si>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</si>
  <si>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</si>
  <si>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</si>
  <si>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</si>
  <si>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</si>
  <si>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</si>
  <si>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</si>
  <si>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</si>
  <si>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</si>
  <si>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</si>
  <si>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</si>
  <si>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</si>
  <si>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</si>
  <si>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</si>
  <si>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</si>
  <si>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</si>
  <si>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</si>
  <si>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</si>
  <si>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</si>
  <si>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</si>
  <si>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</si>
  <si>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</si>
  <si>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</si>
  <si>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</si>
  <si>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</si>
  <si>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</si>
  <si>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</si>
  <si>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</si>
  <si>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</si>
  <si>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</si>
  <si>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</si>
  <si>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</si>
  <si>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</si>
  <si>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</si>
  <si>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</si>
  <si>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</si>
  <si>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</si>
  <si>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</si>
  <si>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</si>
  <si>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</si>
  <si>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</si>
  <si>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</si>
  <si>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</si>
  <si>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</si>
  <si>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</si>
  <si>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</si>
  <si>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</si>
  <si>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</si>
  <si>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</si>
  <si>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</si>
  <si>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</si>
  <si>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</si>
  <si>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</si>
  <si>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</si>
  <si>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</si>
  <si>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</si>
  <si>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</si>
  <si>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</si>
  <si>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</si>
  <si>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</si>
  <si>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</si>
  <si>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</si>
  <si>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</si>
  <si>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</si>
  <si>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</si>
  <si>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</si>
  <si>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</si>
  <si>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</si>
  <si>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</si>
  <si>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</si>
  <si>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</si>
  <si>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</si>
  <si>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</si>
  <si>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</si>
  <si>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</si>
  <si>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</si>
  <si>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</si>
  <si>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</si>
  <si>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</si>
  <si>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</si>
  <si>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</si>
  <si>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</si>
  <si>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</si>
  <si>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</si>
  <si>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</si>
  <si>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</si>
  <si>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</si>
  <si>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</si>
  <si>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</si>
  <si>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</si>
  <si>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</si>
  <si>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</si>
  <si>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</si>
  <si>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</si>
  <si>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</si>
  <si>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</si>
  <si>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</si>
  <si>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</si>
  <si>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</si>
  <si>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</si>
  <si>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</si>
  <si>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</si>
  <si>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</si>
  <si>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</si>
  <si>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</si>
  <si>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</si>
  <si>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</si>
  <si>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</si>
  <si>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</si>
  <si>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</si>
  <si>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</si>
  <si>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</si>
  <si>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</si>
  <si>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</si>
  <si>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</si>
  <si>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</si>
  <si>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</si>
  <si>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</si>
  <si>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</si>
  <si>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</si>
  <si>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</si>
  <si>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</si>
  <si>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</si>
  <si>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</si>
  <si>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</si>
  <si>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</si>
  <si>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</si>
  <si>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</si>
  <si>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</si>
  <si>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</si>
  <si>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</si>
  <si>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</si>
  <si>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</si>
  <si>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</si>
  <si>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</si>
  <si>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</si>
  <si>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</si>
  <si>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</si>
  <si>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</si>
  <si>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</si>
  <si>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</si>
  <si>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</si>
  <si>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</si>
  <si>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</si>
  <si>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</si>
  <si>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</si>
  <si>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</si>
  <si>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</si>
  <si>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</si>
  <si>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</si>
  <si>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</si>
  <si>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</si>
  <si>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</si>
  <si>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</si>
  <si>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</si>
  <si>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</si>
  <si>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</si>
  <si>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</si>
  <si>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</si>
  <si>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</si>
  <si>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</si>
  <si>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</si>
  <si>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</si>
  <si>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</si>
  <si>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</si>
  <si>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</si>
  <si>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</si>
  <si>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</si>
  <si>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</si>
  <si>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</si>
  <si>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</si>
  <si>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</si>
  <si>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</si>
  <si>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</si>
  <si>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</si>
  <si>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</si>
  <si>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</si>
  <si>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</si>
  <si>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</si>
  <si>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</si>
  <si>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</si>
  <si>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</si>
  <si>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</si>
  <si>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</si>
  <si>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</si>
  <si>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</si>
  <si>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</si>
  <si>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</si>
  <si>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</si>
  <si>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</si>
  <si>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</si>
  <si>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</si>
  <si>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</si>
  <si>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</si>
  <si>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</si>
  <si>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</si>
  <si>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</si>
  <si>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</si>
  <si>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</si>
  <si>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</si>
  <si>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</si>
  <si>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</si>
  <si>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</si>
  <si>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</si>
  <si>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</si>
  <si>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</si>
  <si>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</si>
  <si>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</si>
  <si>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</si>
  <si>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</si>
  <si>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</si>
  <si>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</si>
  <si>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</si>
  <si>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</si>
  <si>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</si>
  <si>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</si>
  <si>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</si>
  <si>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</si>
  <si>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</si>
  <si>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</si>
  <si>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</si>
  <si>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</si>
  <si>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</si>
  <si>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</si>
  <si>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</si>
  <si>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</si>
  <si>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</si>
  <si>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</si>
  <si>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</si>
  <si>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</si>
  <si>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</si>
  <si>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</si>
  <si>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</si>
  <si>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</si>
  <si>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</si>
  <si>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</si>
  <si>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</si>
  <si>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</si>
  <si>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</si>
  <si>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</si>
  <si>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</si>
  <si>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</si>
  <si>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</si>
  <si>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</si>
  <si>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</si>
  <si>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</si>
  <si>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</si>
  <si>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</si>
  <si>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</si>
  <si>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</si>
  <si>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</si>
  <si>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</si>
  <si>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</si>
  <si>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</si>
  <si>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</si>
  <si>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</si>
  <si>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</si>
  <si>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</si>
  <si>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</si>
  <si>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</si>
  <si>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</si>
  <si>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</si>
  <si>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</si>
  <si>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</si>
  <si>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</si>
  <si>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</si>
  <si>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</si>
  <si>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</si>
  <si>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</si>
  <si>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</si>
  <si>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</si>
  <si>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</si>
  <si>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</si>
  <si>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</si>
  <si>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</si>
  <si>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</si>
  <si>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</si>
  <si>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</si>
  <si>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</si>
  <si>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</si>
  <si>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</si>
  <si>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</si>
  <si>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</si>
  <si>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</si>
  <si>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</si>
  <si>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</si>
  <si>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</si>
  <si>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</si>
  <si>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</si>
  <si>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</si>
  <si>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</si>
  <si>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</si>
  <si>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</si>
  <si>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</si>
  <si>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</si>
  <si>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</si>
  <si>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</si>
  <si>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</si>
  <si>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</si>
  <si>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</si>
  <si>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</si>
  <si>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</si>
  <si>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</si>
  <si>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</si>
  <si>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</si>
  <si>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</si>
  <si>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</si>
  <si>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</si>
  <si>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</si>
  <si>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</si>
  <si>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</si>
  <si>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</si>
  <si>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</si>
  <si>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</si>
  <si>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</si>
  <si>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</si>
  <si>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</si>
  <si>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</si>
  <si>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</si>
  <si>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</si>
  <si>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</si>
  <si>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</si>
  <si>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</si>
  <si>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</si>
  <si>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</si>
  <si>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</si>
  <si>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</si>
  <si>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</si>
  <si>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</si>
  <si>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</si>
  <si>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</si>
  <si>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</si>
  <si>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</si>
  <si>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</si>
  <si>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</si>
  <si>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</si>
  <si>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</si>
  <si>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</si>
  <si>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</si>
  <si>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</si>
  <si>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</si>
  <si>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</si>
  <si>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</si>
  <si>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</si>
  <si>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</si>
  <si>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</si>
  <si>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</si>
  <si>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</si>
  <si>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</si>
  <si>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</si>
  <si>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</si>
  <si>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</si>
  <si>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</si>
  <si>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</si>
  <si>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</si>
  <si>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</si>
  <si>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</si>
  <si>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</si>
  <si>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</si>
  <si>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</si>
  <si>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</si>
  <si>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</si>
  <si>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</si>
  <si>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</si>
  <si>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</si>
  <si>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</si>
  <si>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</si>
  <si>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</si>
  <si>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</si>
  <si>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</si>
  <si>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</si>
  <si>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</si>
  <si>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</si>
  <si>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</si>
  <si>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</si>
  <si>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</si>
  <si>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</si>
  <si>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</si>
  <si>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</si>
  <si>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</si>
  <si>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</si>
  <si>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</si>
  <si>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</si>
  <si>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</si>
  <si>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</si>
  <si>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</si>
  <si>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</si>
  <si>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</si>
  <si>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</si>
  <si>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</si>
  <si>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</si>
  <si>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</si>
  <si>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</si>
  <si>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</si>
  <si>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</si>
  <si>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</si>
  <si>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</si>
  <si>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</si>
  <si>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</si>
  <si>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</si>
  <si>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</si>
  <si>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</si>
  <si>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</si>
  <si>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</si>
  <si>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</si>
  <si>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</si>
  <si>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</si>
  <si>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</si>
  <si>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</si>
  <si>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</si>
  <si>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</si>
  <si>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</si>
  <si>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</si>
  <si>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</si>
  <si>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</si>
  <si>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</si>
  <si>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</si>
  <si>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</si>
  <si>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</si>
  <si>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</si>
  <si>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</si>
  <si>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</si>
  <si>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</si>
  <si>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</si>
  <si>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</si>
  <si>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</si>
  <si>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</si>
  <si>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</si>
  <si>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</si>
  <si>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</si>
  <si>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</si>
  <si>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</si>
  <si>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</si>
  <si>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</si>
  <si>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</si>
  <si>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</si>
  <si>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</si>
  <si>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</si>
  <si>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</si>
  <si>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</si>
  <si>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</si>
  <si>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</si>
  <si>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</si>
  <si>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</si>
  <si>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</si>
  <si>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</si>
  <si>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</si>
  <si>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</si>
  <si>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</si>
  <si>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</si>
  <si>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</si>
  <si>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</si>
  <si>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</si>
  <si>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</si>
  <si>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</si>
  <si>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</si>
  <si>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</si>
  <si>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</si>
  <si>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</si>
  <si>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</si>
  <si>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</si>
  <si>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</si>
  <si>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</si>
  <si>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</si>
  <si>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</si>
  <si>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</si>
  <si>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</si>
  <si>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</si>
  <si>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</si>
  <si>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</si>
  <si>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</si>
  <si>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</si>
  <si>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</si>
  <si>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</si>
  <si>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</si>
  <si>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</si>
  <si>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</si>
  <si>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</si>
  <si>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</si>
  <si>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</si>
  <si>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</si>
  <si>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</si>
  <si>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</si>
  <si>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</si>
  <si>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</si>
  <si>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</si>
  <si>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</si>
  <si>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</si>
  <si>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</si>
  <si>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</si>
  <si>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</si>
  <si>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</si>
  <si>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</si>
  <si>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</si>
  <si>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</si>
  <si>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</si>
  <si>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</si>
  <si>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</si>
  <si>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</si>
  <si>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</si>
  <si>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</si>
  <si>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</si>
  <si>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</si>
  <si>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</si>
  <si>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</si>
  <si>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</si>
  <si>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</si>
  <si>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</si>
  <si>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</si>
  <si>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</si>
  <si>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</si>
  <si>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</si>
  <si>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</si>
  <si>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</si>
  <si>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</si>
  <si>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</si>
  <si>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</si>
  <si>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</si>
  <si>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</si>
  <si>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</si>
  <si>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</si>
  <si>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</si>
  <si>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</si>
  <si>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</si>
  <si>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</si>
  <si>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</si>
  <si>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</si>
  <si>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</si>
  <si>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</si>
  <si>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</si>
  <si>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</si>
  <si>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</si>
  <si>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</si>
  <si>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</si>
  <si>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</si>
  <si>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</si>
  <si>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</si>
  <si>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</si>
  <si>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</si>
  <si>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</si>
  <si>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</si>
  <si>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</si>
  <si>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</si>
  <si>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</si>
  <si>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</si>
  <si>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</si>
  <si>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</si>
  <si>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</si>
  <si>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</si>
  <si>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</si>
  <si>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</si>
  <si>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</si>
  <si>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</si>
  <si>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</si>
  <si>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</si>
  <si>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</si>
  <si>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</si>
  <si>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</si>
  <si>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</si>
  <si>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</si>
  <si>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</si>
  <si>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</si>
  <si>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</si>
  <si>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</si>
  <si>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</si>
  <si>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</si>
  <si>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</si>
  <si>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</si>
  <si>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</si>
  <si>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</si>
  <si>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</si>
  <si>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</si>
  <si>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</si>
  <si>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</si>
  <si>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</si>
  <si>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</si>
  <si>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</si>
  <si>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</si>
  <si>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</si>
  <si>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</si>
  <si>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</si>
  <si>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</si>
  <si>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</si>
  <si>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</si>
  <si>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</si>
  <si>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</si>
  <si>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</si>
  <si>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</si>
  <si>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</si>
  <si>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</si>
  <si>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</si>
  <si>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</si>
  <si>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</si>
  <si>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</si>
  <si>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</si>
  <si>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</si>
  <si>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</si>
  <si>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</si>
  <si>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</si>
  <si>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</si>
  <si>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</si>
  <si>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</si>
  <si>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</si>
  <si>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</si>
  <si>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</si>
  <si>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</si>
  <si>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</si>
  <si>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</si>
  <si>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</si>
  <si>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</si>
  <si>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</si>
  <si>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</si>
  <si>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</si>
  <si>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</si>
  <si>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</si>
  <si>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</si>
  <si>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</si>
  <si>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</si>
  <si>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</si>
  <si>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</si>
  <si>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</si>
  <si>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</si>
  <si>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</si>
  <si>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</si>
  <si>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</si>
  <si>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</si>
  <si>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</si>
  <si>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</si>
  <si>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</si>
  <si>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</si>
  <si>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</si>
  <si>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</si>
  <si>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</si>
  <si>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</si>
  <si>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</si>
  <si>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</si>
  <si>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</si>
  <si>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</si>
  <si>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</si>
  <si>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</si>
  <si>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</si>
  <si>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</si>
  <si>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</si>
  <si>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</si>
  <si>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</si>
  <si>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</si>
  <si>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</si>
  <si>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</si>
  <si>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</si>
  <si>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</si>
  <si>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</si>
  <si>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</si>
  <si>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</si>
  <si>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</si>
  <si>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</si>
  <si>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</si>
  <si>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</si>
  <si>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</si>
  <si>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</si>
  <si>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</si>
  <si>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</si>
  <si>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</si>
  <si>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</si>
  <si>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</si>
  <si>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</si>
  <si>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</si>
  <si>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</si>
  <si>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</si>
  <si>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</si>
  <si>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</si>
  <si>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</si>
  <si>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</si>
  <si>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</si>
  <si>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</si>
  <si>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</si>
  <si>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</si>
  <si>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</si>
  <si>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</si>
  <si>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</si>
  <si>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</si>
  <si>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</si>
  <si>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</si>
  <si>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</si>
  <si>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</si>
  <si>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</si>
  <si>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</si>
  <si>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</si>
  <si>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</si>
  <si>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</si>
  <si>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</si>
  <si>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</si>
  <si>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</si>
  <si>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</si>
  <si>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</si>
  <si>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</si>
  <si>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</si>
  <si>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</si>
  <si>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</si>
  <si>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</si>
  <si>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</si>
  <si>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</si>
  <si>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</si>
  <si>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</si>
  <si>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</si>
  <si>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</si>
  <si>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</si>
  <si>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</si>
  <si>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</si>
  <si>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</si>
  <si>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</si>
  <si>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</si>
  <si>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</si>
  <si>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</si>
  <si>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</si>
  <si>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</si>
  <si>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</si>
  <si>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</si>
  <si>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</si>
  <si>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</si>
  <si>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</si>
  <si>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</si>
  <si>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</si>
  <si>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</si>
  <si>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</si>
  <si>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</si>
  <si>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</si>
  <si>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</si>
  <si>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</si>
  <si>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</si>
  <si>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</si>
  <si>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</si>
  <si>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</si>
  <si>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</si>
  <si>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</si>
  <si>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</si>
  <si>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</si>
  <si>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</si>
  <si>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</si>
  <si>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</si>
  <si>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</si>
  <si>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</si>
  <si>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</si>
  <si>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</si>
  <si>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</si>
  <si>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</si>
  <si>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</si>
  <si>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</si>
  <si>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</si>
  <si>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</si>
  <si>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</si>
  <si>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</si>
  <si>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</si>
  <si>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</si>
  <si>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</si>
  <si>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</si>
  <si>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</si>
  <si>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</si>
  <si>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</si>
  <si>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</si>
  <si>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</si>
  <si>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</si>
  <si>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</si>
  <si>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</si>
  <si>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</si>
  <si>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</si>
  <si>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</si>
  <si>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</si>
  <si>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</si>
  <si>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</si>
  <si>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</si>
  <si>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</si>
  <si>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</si>
  <si>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</si>
  <si>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</si>
  <si>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</si>
  <si>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</si>
  <si>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</si>
  <si>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</si>
  <si>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</si>
  <si>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</si>
  <si>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</si>
  <si>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</si>
  <si>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</si>
  <si>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</si>
  <si>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</si>
  <si>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</si>
  <si>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</si>
  <si>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</si>
  <si>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</si>
  <si>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</si>
  <si>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</si>
  <si>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</si>
  <si>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</si>
  <si>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</si>
  <si>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</si>
  <si>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</si>
  <si>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</si>
  <si>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</si>
  <si>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</si>
  <si>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</si>
  <si>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</si>
  <si>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</si>
  <si>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</si>
  <si>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</si>
  <si>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</si>
  <si>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</si>
  <si>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</si>
  <si>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</si>
  <si>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</si>
  <si>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</si>
  <si>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</si>
  <si>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</si>
  <si>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</si>
  <si>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</si>
  <si>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</si>
  <si>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</si>
  <si>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</si>
  <si>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</si>
  <si>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</si>
  <si>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</si>
  <si>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</si>
  <si>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</si>
  <si>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</si>
  <si>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</si>
  <si>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</si>
  <si>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</si>
  <si>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</si>
  <si>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</si>
  <si>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</si>
  <si>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</si>
  <si>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</si>
  <si>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</si>
  <si>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</si>
  <si>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</si>
  <si>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</si>
  <si>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</si>
  <si>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</si>
  <si>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</si>
  <si>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</si>
  <si>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</si>
  <si>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</si>
  <si>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</si>
  <si>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</si>
  <si>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</si>
  <si>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</si>
  <si>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</si>
  <si>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</si>
  <si>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</si>
  <si>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</si>
  <si>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</si>
  <si>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</si>
  <si>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</si>
  <si>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</si>
  <si>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</si>
  <si>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</si>
  <si>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</si>
  <si>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</si>
  <si>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</si>
  <si>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</si>
  <si>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</si>
  <si>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</si>
  <si>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</si>
  <si>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</si>
  <si>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</si>
  <si>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</si>
  <si>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</si>
  <si>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</si>
  <si>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</si>
  <si>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</si>
  <si>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</si>
  <si>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</si>
  <si>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</si>
  <si>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</si>
  <si>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</si>
  <si>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</si>
  <si>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</si>
  <si>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</si>
  <si>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</si>
  <si>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</si>
  <si>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</si>
  <si>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</si>
  <si>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</si>
  <si>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</si>
  <si>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</si>
  <si>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</si>
  <si>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</si>
  <si>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</si>
  <si>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</si>
  <si>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</si>
  <si>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</si>
  <si>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</si>
  <si>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</si>
  <si>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</si>
  <si>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</si>
  <si>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</si>
  <si>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</si>
  <si>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</si>
  <si>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</si>
  <si>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</si>
  <si>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</si>
  <si>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</si>
  <si>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</si>
  <si>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</si>
  <si>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</si>
  <si>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</si>
  <si>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</si>
  <si>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</si>
  <si>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</si>
  <si>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</si>
  <si>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</si>
  <si>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</si>
  <si>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</si>
  <si>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</si>
  <si>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</si>
  <si>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</si>
  <si>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</si>
  <si>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</si>
  <si>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</si>
  <si>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</si>
  <si>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</si>
  <si>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</si>
  <si>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</si>
  <si>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</si>
  <si>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</si>
  <si>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</si>
  <si>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</si>
  <si>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</si>
  <si>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</si>
  <si>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</si>
  <si>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</si>
  <si>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</si>
  <si>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</si>
  <si>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</si>
  <si>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</si>
  <si>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</si>
  <si>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</si>
  <si>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</si>
  <si>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</si>
  <si>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</si>
  <si>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</si>
  <si>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</si>
  <si>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</si>
  <si>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</si>
  <si>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</si>
  <si>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</si>
  <si>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</si>
  <si>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</si>
  <si>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</si>
  <si>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</si>
  <si>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</si>
  <si>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</si>
  <si>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</si>
  <si>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</si>
  <si>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</si>
  <si>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</si>
  <si>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</si>
  <si>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</si>
  <si>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</si>
  <si>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</si>
  <si>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</si>
  <si>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</si>
  <si>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</si>
  <si>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</si>
  <si>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</si>
  <si>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</si>
  <si>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</si>
  <si>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</si>
  <si>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</si>
  <si>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</si>
  <si>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</si>
  <si>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</si>
  <si>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</si>
  <si>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</si>
  <si>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</si>
  <si>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</si>
  <si>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</si>
  <si>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</si>
  <si>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</si>
  <si>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</si>
  <si>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</si>
  <si>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</si>
  <si>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</si>
  <si>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</si>
  <si>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</si>
  <si>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</si>
  <si>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</si>
  <si>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</si>
  <si>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</si>
  <si>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</si>
  <si>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</si>
  <si>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</si>
  <si>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</si>
  <si>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</si>
  <si>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</si>
  <si>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</si>
  <si>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</si>
  <si>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</si>
  <si>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</si>
  <si>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</si>
  <si>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</si>
  <si>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</si>
  <si>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</si>
  <si>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</si>
  <si>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</si>
  <si>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</si>
  <si>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</si>
  <si>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</si>
  <si>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</si>
  <si>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</si>
  <si>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</si>
  <si>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</si>
  <si>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</si>
  <si>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</si>
  <si>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</si>
  <si>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</si>
  <si>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</si>
  <si>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</si>
  <si>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</si>
  <si>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</si>
  <si>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</si>
  <si>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</si>
  <si>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</si>
  <si>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</si>
  <si>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</si>
  <si>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</si>
  <si>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</si>
  <si>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</si>
  <si>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</si>
  <si>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</si>
  <si>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</si>
  <si>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</si>
  <si>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</si>
  <si>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</si>
  <si>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</si>
  <si>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</si>
  <si>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</si>
  <si>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</si>
  <si>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</si>
  <si>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</si>
  <si>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</si>
  <si>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</si>
  <si>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</si>
  <si>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</si>
  <si>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</si>
  <si>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</si>
  <si>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</si>
  <si>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</si>
  <si>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</si>
  <si>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</si>
  <si>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</si>
  <si>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</si>
  <si>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</si>
  <si>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</si>
  <si>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</si>
  <si>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</si>
  <si>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</si>
  <si>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</si>
  <si>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</si>
  <si>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</si>
  <si>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</si>
  <si>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</si>
  <si>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</si>
  <si>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</si>
  <si>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</si>
  <si>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</si>
  <si>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</si>
  <si>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</si>
  <si>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</si>
  <si>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</si>
  <si>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</si>
  <si>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</si>
  <si>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</si>
  <si>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</si>
  <si>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</si>
  <si>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</si>
  <si>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</si>
  <si>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</si>
  <si>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</si>
  <si>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</si>
  <si>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</si>
  <si>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</si>
  <si>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</si>
  <si>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</si>
  <si>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</si>
  <si>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</si>
  <si>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</si>
  <si>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</si>
  <si>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</si>
  <si>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</si>
  <si>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</si>
  <si>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</si>
  <si>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</si>
  <si>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</si>
  <si>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</si>
  <si>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</si>
  <si>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</si>
  <si>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</si>
  <si>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</si>
  <si>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</si>
  <si>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</si>
  <si>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</si>
  <si>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</si>
  <si>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</si>
  <si>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</si>
  <si>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</si>
  <si>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</si>
  <si>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</si>
  <si>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</si>
  <si>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</si>
  <si>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</si>
  <si>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</si>
  <si>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</si>
  <si>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</si>
  <si>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</si>
  <si>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</si>
  <si>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</si>
  <si>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</si>
  <si>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</si>
  <si>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</si>
  <si>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</si>
  <si>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</si>
  <si>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</si>
  <si>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</si>
  <si>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</si>
  <si>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</si>
  <si>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</si>
  <si>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</si>
  <si>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</si>
  <si>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</si>
  <si>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</si>
  <si>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</si>
  <si>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</si>
  <si>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</si>
  <si>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</si>
  <si>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</si>
  <si>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</si>
  <si>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</si>
  <si>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</si>
  <si>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</si>
  <si>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</si>
  <si>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</si>
  <si>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</si>
  <si>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</si>
  <si>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</si>
  <si>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</si>
  <si>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</si>
  <si>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</si>
  <si>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</si>
  <si>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</si>
  <si>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</si>
  <si>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</si>
  <si>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</si>
  <si>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</si>
  <si>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</si>
  <si>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</si>
  <si>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</si>
  <si>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</si>
  <si>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</si>
  <si>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</si>
  <si>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</si>
  <si>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</si>
  <si>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</si>
  <si>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</si>
  <si>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</si>
  <si>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</si>
  <si>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</si>
  <si>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</si>
  <si>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</si>
  <si>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</si>
  <si>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</si>
  <si>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</si>
  <si>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</si>
  <si>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</si>
  <si>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</si>
  <si>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</si>
  <si>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</si>
  <si>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</si>
  <si>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</si>
  <si>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</si>
  <si>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</si>
  <si>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</si>
  <si>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</si>
  <si>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</si>
  <si>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</si>
  <si>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</si>
  <si>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</si>
  <si>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</si>
  <si>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</si>
  <si>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</si>
  <si>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</si>
  <si>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</si>
  <si>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</si>
  <si>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</si>
  <si>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</si>
  <si>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</si>
  <si>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</si>
  <si>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</si>
  <si>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</si>
  <si>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</si>
  <si>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</si>
  <si>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</si>
  <si>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</si>
  <si>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</si>
  <si>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</si>
  <si>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</si>
  <si>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</si>
  <si>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</si>
  <si>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</si>
  <si>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</si>
  <si>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</si>
  <si>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</si>
  <si>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</si>
  <si>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</si>
  <si>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</si>
  <si>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</si>
  <si>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</si>
  <si>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</si>
  <si>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</si>
  <si>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</si>
  <si>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</si>
  <si>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</si>
  <si>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</si>
  <si>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</si>
  <si>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</si>
  <si>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</si>
  <si>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</si>
  <si>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</si>
  <si>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</si>
  <si>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</si>
  <si>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</si>
  <si>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</si>
  <si>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</si>
  <si>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</si>
  <si>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</si>
  <si>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</si>
  <si>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</si>
  <si>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</si>
  <si>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</si>
  <si>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</si>
  <si>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</si>
  <si>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</si>
  <si>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</si>
  <si>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</si>
  <si>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</si>
  <si>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</si>
  <si>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</si>
  <si>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</si>
  <si>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</si>
  <si>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</si>
  <si>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</si>
  <si>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</si>
  <si>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</si>
  <si>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</si>
  <si>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</si>
  <si>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</si>
  <si>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</si>
  <si>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</si>
  <si>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</si>
  <si>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</si>
  <si>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</si>
  <si>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</si>
  <si>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</si>
  <si>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</si>
  <si>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</si>
  <si>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</si>
  <si>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</si>
  <si>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</si>
  <si>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</si>
  <si>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</si>
  <si>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</si>
  <si>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</si>
  <si>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</si>
  <si>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</si>
  <si>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</si>
  <si>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</si>
  <si>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</si>
  <si>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</si>
  <si>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</si>
  <si>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</si>
  <si>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</si>
  <si>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</si>
  <si>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</si>
  <si>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</si>
  <si>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</si>
  <si>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</si>
  <si>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</si>
  <si>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</si>
  <si>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</si>
  <si>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</si>
  <si>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</si>
  <si>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</si>
  <si>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</si>
  <si>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</si>
  <si>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</si>
  <si>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</si>
  <si>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</si>
  <si>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</si>
  <si>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</si>
  <si>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</si>
  <si>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</si>
  <si>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</si>
  <si>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</si>
  <si>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</si>
  <si>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</si>
  <si>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</si>
  <si>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</si>
  <si>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</si>
  <si>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</si>
  <si>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</si>
  <si>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</si>
  <si>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</si>
  <si>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</si>
  <si>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</si>
  <si>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</si>
  <si>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</si>
  <si>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</si>
  <si>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</si>
  <si>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</si>
  <si>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</si>
  <si>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</si>
  <si>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</si>
  <si>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</si>
  <si>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</si>
  <si>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</si>
  <si>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</si>
  <si>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</si>
  <si>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</si>
  <si>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</si>
  <si>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</si>
  <si>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</si>
  <si>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</si>
  <si>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</si>
  <si>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</si>
  <si>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</si>
  <si>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</si>
  <si>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</si>
  <si>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</si>
  <si>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</si>
  <si>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</si>
  <si>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</si>
  <si>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</si>
  <si>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</si>
  <si>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</si>
  <si>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</si>
  <si>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</si>
  <si>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</si>
  <si>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</si>
  <si>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</si>
  <si>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</si>
  <si>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</si>
  <si>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</si>
  <si>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</si>
  <si>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</si>
  <si>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</si>
  <si>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</si>
  <si>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</si>
  <si>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</si>
  <si>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</si>
  <si>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</si>
  <si>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</si>
  <si>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</si>
  <si>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</si>
  <si>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</si>
  <si>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</si>
  <si>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</si>
  <si>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</si>
  <si>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</si>
  <si>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</si>
  <si>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</si>
  <si>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</si>
  <si>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</si>
  <si>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</si>
  <si>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</si>
  <si>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</si>
  <si>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</si>
  <si>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</si>
  <si>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</si>
  <si>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</si>
  <si>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</si>
  <si>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</si>
  <si>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</si>
  <si>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</si>
  <si>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</si>
  <si>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</si>
  <si>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</si>
  <si>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</si>
  <si>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</si>
  <si>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</si>
  <si>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</si>
  <si>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</si>
  <si>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</si>
  <si>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</si>
  <si>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</si>
  <si>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</si>
  <si>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</si>
  <si>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</si>
  <si>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</si>
  <si>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</si>
  <si>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</si>
  <si>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</si>
  <si>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</si>
  <si>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</si>
  <si>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</si>
  <si>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</si>
  <si>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</si>
  <si>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</si>
  <si>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</si>
  <si>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</si>
  <si>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</si>
  <si>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</si>
  <si>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</si>
  <si>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</si>
  <si>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</si>
  <si>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</si>
  <si>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</si>
  <si>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</si>
  <si>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</si>
  <si>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</si>
  <si>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</si>
  <si>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</si>
  <si>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</si>
  <si>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</si>
  <si>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</si>
  <si>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</si>
  <si>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</si>
  <si>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</si>
  <si>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</si>
  <si>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</si>
  <si>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</si>
  <si>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</si>
  <si>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</si>
  <si>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</si>
  <si>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</si>
  <si>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</si>
  <si>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</si>
  <si>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</si>
  <si>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</si>
  <si>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</si>
  <si>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</si>
  <si>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</si>
  <si>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</si>
  <si>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</si>
  <si>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</si>
  <si>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</si>
  <si>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</si>
  <si>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</si>
  <si>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</si>
  <si>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</si>
  <si>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</si>
  <si>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</si>
  <si>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</si>
  <si>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</si>
  <si>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</si>
  <si>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</si>
  <si>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</si>
  <si>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</si>
  <si>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</si>
  <si>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</si>
  <si>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</si>
  <si>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</si>
  <si>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</si>
  <si>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</si>
  <si>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</si>
  <si>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</si>
  <si>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</si>
  <si>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</si>
  <si>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</si>
  <si>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</si>
  <si>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</si>
  <si>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</si>
  <si>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</si>
  <si>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</si>
  <si>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</si>
  <si>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</si>
  <si>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</si>
  <si>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</si>
  <si>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</si>
  <si>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</si>
  <si>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</si>
  <si>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</si>
  <si>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</si>
  <si>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</si>
  <si>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</si>
  <si>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</si>
  <si>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</si>
  <si>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</si>
  <si>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</si>
  <si>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</si>
  <si>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</si>
  <si>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</si>
  <si>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</si>
  <si>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</si>
  <si>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</si>
  <si>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</si>
  <si>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</si>
  <si>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</si>
  <si>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</si>
  <si>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</si>
  <si>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</si>
  <si>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</si>
  <si>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</si>
  <si>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</si>
  <si>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</si>
  <si>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</si>
  <si>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</si>
  <si>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</si>
  <si>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</si>
  <si>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</si>
  <si>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</si>
  <si>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</si>
  <si>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</si>
  <si>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</si>
  <si>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</si>
  <si>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</si>
  <si>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</si>
  <si>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</si>
  <si>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</si>
  <si>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</si>
  <si>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</si>
  <si>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</si>
  <si>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</si>
  <si>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</si>
  <si>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</si>
  <si>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</si>
  <si>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</si>
  <si>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</si>
  <si>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</si>
  <si>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</si>
  <si>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</si>
  <si>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</si>
  <si>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</si>
  <si>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</si>
  <si>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</si>
  <si>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</si>
  <si>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</si>
  <si>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</si>
  <si>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</si>
  <si>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</si>
  <si>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</si>
  <si>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</si>
  <si>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</si>
  <si>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</si>
  <si>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</si>
  <si>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</si>
  <si>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</si>
  <si>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</si>
  <si>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</si>
  <si>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</si>
  <si>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</si>
  <si>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</si>
  <si>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</si>
  <si>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</si>
  <si>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</si>
  <si>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</si>
  <si>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</si>
  <si>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</si>
  <si>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</si>
  <si>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</si>
  <si>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</si>
  <si>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</si>
  <si>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</si>
  <si>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</si>
  <si>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</si>
  <si>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</si>
  <si>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</si>
  <si>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</si>
  <si>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</si>
  <si>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</si>
  <si>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</si>
  <si>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</si>
  <si>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</si>
  <si>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</si>
  <si>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</si>
  <si>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</si>
  <si>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</si>
  <si>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</si>
  <si>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</si>
  <si>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</si>
  <si>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</si>
  <si>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</si>
  <si>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</si>
  <si>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</si>
  <si>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</si>
  <si>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</si>
  <si>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</si>
  <si>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</si>
  <si>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</si>
  <si>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</si>
  <si>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</si>
  <si>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</si>
  <si>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</si>
  <si>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</si>
  <si>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</si>
  <si>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</si>
  <si>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</si>
  <si>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</si>
  <si>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</si>
  <si>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</si>
  <si>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</si>
  <si>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</si>
  <si>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</si>
  <si>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</si>
  <si>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</si>
  <si>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</si>
  <si>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</si>
  <si>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</si>
  <si>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</si>
  <si>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</si>
  <si>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</si>
  <si>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</si>
  <si>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</si>
  <si>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</si>
  <si>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</si>
  <si>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</si>
  <si>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</si>
  <si>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</si>
  <si>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</si>
  <si>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</si>
  <si>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</si>
  <si>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</si>
  <si>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</si>
  <si>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</si>
  <si>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</si>
  <si>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</si>
  <si>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</si>
  <si>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</si>
  <si>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</si>
  <si>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</si>
  <si>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</si>
  <si>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</si>
  <si>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</si>
  <si>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</si>
  <si>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</si>
  <si>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</si>
  <si>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</si>
  <si>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</si>
  <si>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</si>
  <si>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</si>
  <si>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</si>
  <si>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</si>
  <si>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</si>
  <si>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</si>
  <si>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</si>
  <si>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</si>
  <si>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</si>
  <si>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</si>
  <si>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</si>
  <si>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</si>
  <si>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</si>
  <si>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</si>
  <si>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</si>
  <si>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</si>
  <si>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</si>
  <si>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</si>
  <si>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</si>
  <si>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</si>
  <si>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</si>
  <si>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</si>
  <si>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</si>
  <si>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</si>
  <si>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</si>
  <si>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</si>
  <si>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</si>
  <si>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</si>
  <si>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</si>
  <si>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</si>
  <si>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</si>
  <si>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</si>
  <si>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</si>
  <si>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</si>
  <si>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</si>
  <si>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</si>
  <si>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</si>
  <si>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</si>
  <si>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</si>
  <si>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</si>
  <si>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</si>
  <si>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</si>
  <si>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</si>
  <si>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</si>
  <si>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</si>
  <si>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</si>
  <si>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</si>
  <si>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</si>
  <si>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</si>
  <si>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</si>
  <si>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</si>
  <si>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</si>
  <si>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</si>
  <si>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</si>
  <si>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</si>
  <si>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</si>
  <si>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</si>
  <si>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</si>
  <si>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</si>
  <si>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</si>
  <si>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</si>
  <si>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</si>
  <si>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</si>
  <si>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</si>
  <si>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</si>
  <si>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</si>
  <si>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</si>
  <si>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</si>
  <si>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</si>
  <si>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</si>
  <si>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</si>
  <si>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</si>
  <si>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</si>
  <si>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</si>
  <si>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</si>
  <si>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</si>
  <si>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</si>
  <si>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</si>
  <si>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</si>
  <si>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</si>
  <si>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</si>
  <si>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</si>
  <si>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</si>
  <si>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</si>
  <si>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</si>
  <si>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</si>
  <si>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</si>
  <si>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</si>
  <si>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</si>
  <si>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</si>
  <si>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</si>
  <si>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</si>
  <si>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</si>
  <si>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</si>
  <si>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</si>
  <si>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</si>
  <si>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</si>
  <si>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</si>
  <si>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</si>
  <si>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</si>
  <si>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</si>
  <si>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</si>
  <si>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</si>
  <si>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</si>
  <si>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</si>
  <si>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</si>
  <si>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</si>
  <si>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</si>
  <si>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</si>
  <si>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</si>
  <si>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</si>
  <si>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</si>
  <si>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</si>
  <si>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</si>
  <si>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</si>
  <si>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</si>
  <si>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</si>
  <si>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</si>
  <si>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</si>
  <si>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</si>
  <si>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</si>
  <si>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</si>
  <si>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</si>
  <si>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</si>
  <si>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</si>
  <si>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</si>
  <si>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</si>
  <si>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</si>
  <si>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</si>
  <si>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</si>
  <si>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</si>
  <si>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</si>
  <si>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</si>
  <si>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</si>
  <si>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</si>
  <si>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</si>
  <si>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</si>
  <si>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</si>
  <si>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</si>
  <si>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</si>
  <si>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</si>
  <si>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</si>
  <si>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</si>
  <si>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</si>
  <si>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</si>
  <si>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</si>
  <si>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</si>
  <si>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</si>
  <si>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</si>
  <si>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</si>
  <si>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</si>
  <si>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</si>
  <si>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</si>
  <si>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</si>
  <si>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</si>
  <si>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</si>
  <si>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</si>
  <si>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</si>
  <si>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</si>
  <si>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</si>
  <si>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</si>
  <si>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</si>
  <si>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</si>
  <si>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</si>
  <si>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</si>
  <si>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</si>
  <si>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</si>
  <si>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</si>
  <si>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</si>
  <si>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</si>
  <si>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</si>
  <si>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</si>
  <si>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</si>
  <si>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</si>
  <si>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</si>
  <si>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</si>
  <si>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</si>
  <si>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</si>
  <si>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</si>
  <si>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</si>
  <si>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</si>
  <si>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</si>
  <si>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</si>
  <si>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</si>
  <si>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</si>
  <si>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</si>
  <si>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</si>
  <si>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</si>
  <si>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</si>
  <si>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</si>
  <si>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</si>
  <si>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</si>
  <si>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</si>
  <si>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</si>
  <si>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</si>
  <si>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</si>
  <si>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</si>
  <si>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</si>
  <si>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</si>
  <si>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</si>
  <si>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</si>
  <si>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</si>
  <si>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</si>
  <si>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</si>
  <si>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</si>
  <si>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</si>
  <si>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</si>
  <si>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</si>
  <si>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</si>
  <si>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</si>
  <si>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</si>
  <si>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</si>
  <si>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</si>
  <si>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</si>
  <si>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</si>
  <si>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</si>
  <si>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</si>
  <si>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</si>
  <si>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</si>
  <si>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</si>
  <si>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</si>
  <si>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</si>
  <si>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</si>
  <si>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</si>
  <si>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</si>
  <si>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</si>
  <si>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</si>
  <si>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</si>
  <si>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</si>
  <si>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</si>
  <si>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</si>
  <si>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</si>
  <si>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</si>
  <si>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</si>
  <si>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</si>
  <si>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</si>
  <si>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</si>
  <si>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</si>
  <si>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</si>
  <si>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</si>
  <si>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</si>
  <si>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</si>
  <si>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</si>
  <si>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</si>
  <si>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</si>
  <si>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</si>
  <si>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</si>
  <si>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</si>
  <si>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</si>
  <si>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</si>
  <si>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</si>
  <si>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</si>
  <si>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</si>
  <si>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</si>
  <si>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</si>
  <si>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</si>
  <si>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</si>
  <si>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</si>
  <si>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</si>
  <si>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</si>
  <si>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</si>
  <si>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</si>
  <si>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</si>
  <si>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</si>
  <si>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</si>
  <si>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</si>
  <si>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</si>
  <si>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</si>
  <si>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</si>
  <si>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</si>
  <si>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</si>
  <si>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</si>
  <si>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</si>
  <si>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</si>
  <si>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</si>
  <si>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</si>
  <si>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</si>
  <si>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</si>
  <si>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</si>
  <si>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</si>
  <si>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</si>
  <si>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</si>
  <si>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</si>
  <si>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</si>
  <si>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</si>
  <si>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</si>
  <si>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</si>
  <si>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</si>
  <si>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</si>
  <si>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</si>
  <si>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</si>
  <si>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</si>
  <si>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</si>
  <si>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</si>
  <si>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</si>
  <si>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</si>
  <si>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</si>
  <si>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</si>
  <si>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</si>
  <si>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</si>
  <si>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</si>
  <si>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</si>
  <si>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</si>
  <si>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</si>
  <si>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</si>
  <si>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</si>
  <si>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</si>
  <si>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</si>
  <si>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</si>
  <si>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</si>
  <si>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</si>
  <si>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</si>
  <si>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</si>
  <si>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</si>
  <si>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</si>
  <si>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</si>
  <si>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</si>
  <si>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</si>
  <si>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</si>
  <si>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</si>
  <si>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</si>
  <si>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</si>
  <si>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</si>
  <si>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</si>
  <si>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</si>
  <si>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</si>
  <si>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</si>
  <si>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</si>
  <si>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</si>
  <si>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</si>
  <si>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</si>
  <si>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</si>
  <si>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</si>
  <si>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</si>
  <si>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</si>
  <si>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</si>
  <si>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</si>
  <si>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</si>
  <si>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</si>
  <si>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</si>
  <si>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</si>
  <si>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</si>
  <si>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</si>
  <si>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</si>
  <si>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</si>
  <si>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</si>
  <si>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</si>
  <si>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</si>
  <si>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</si>
  <si>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</si>
  <si>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</si>
  <si>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</si>
  <si>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</si>
  <si>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</si>
  <si>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</si>
  <si>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</si>
  <si>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</si>
  <si>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</si>
  <si>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</si>
  <si>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</si>
  <si>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</si>
  <si>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</si>
  <si>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</si>
  <si>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</si>
  <si>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</si>
  <si>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</si>
  <si>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</si>
  <si>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</si>
  <si>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</si>
  <si>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</si>
  <si>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</si>
  <si>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</si>
  <si>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</si>
  <si>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</si>
  <si>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</si>
  <si>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</si>
  <si>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</si>
  <si>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</si>
  <si>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</si>
  <si>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</si>
  <si>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</si>
  <si>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</si>
  <si>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</si>
  <si>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</si>
  <si>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</si>
  <si>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</si>
  <si>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</si>
  <si>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</si>
  <si>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</si>
  <si>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</si>
  <si>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</si>
  <si>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</si>
  <si>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</si>
  <si>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</si>
  <si>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</si>
  <si>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</si>
  <si>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</si>
  <si>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</si>
  <si>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</si>
  <si>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</si>
  <si>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</si>
  <si>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</si>
  <si>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</si>
  <si>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</si>
  <si>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</si>
  <si>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</si>
  <si>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</si>
  <si>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</si>
  <si>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</si>
  <si>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</si>
  <si>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</si>
  <si>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</si>
  <si>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</si>
  <si>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</si>
  <si>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</si>
  <si>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</si>
  <si>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</si>
  <si>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</si>
  <si>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</si>
  <si>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</si>
  <si>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</si>
  <si>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</si>
  <si>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</si>
  <si>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</si>
  <si>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</si>
  <si>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</si>
  <si>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</si>
  <si>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</si>
  <si>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</si>
  <si>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</si>
  <si>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</si>
  <si>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</si>
  <si>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</si>
  <si>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</si>
  <si>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</si>
  <si>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</si>
  <si>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</si>
  <si>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</si>
  <si>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</si>
  <si>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</si>
  <si>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</si>
  <si>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</si>
  <si>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</si>
  <si>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</si>
  <si>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</si>
  <si>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</si>
  <si>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</si>
  <si>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</si>
  <si>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</si>
  <si>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</si>
  <si>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</si>
  <si>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</si>
  <si>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</si>
  <si>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</si>
  <si>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</si>
  <si>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</si>
  <si>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</si>
  <si>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</si>
  <si>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</si>
  <si>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</si>
  <si>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</si>
  <si>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</si>
  <si>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</si>
  <si>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</si>
  <si>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</si>
  <si>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</si>
  <si>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</si>
  <si>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</si>
  <si>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</si>
  <si>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</si>
  <si>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</si>
  <si>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</si>
  <si>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</si>
  <si>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</si>
  <si>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</si>
  <si>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</si>
  <si>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</si>
  <si>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</si>
  <si>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</si>
  <si>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</si>
  <si>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</si>
  <si>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</si>
  <si>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</si>
  <si>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</si>
  <si>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</si>
  <si>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</si>
  <si>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</si>
  <si>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</si>
  <si>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</si>
  <si>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</si>
  <si>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</si>
  <si>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</si>
  <si>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</si>
  <si>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</si>
  <si>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</si>
  <si>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</si>
  <si>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</si>
  <si>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</si>
  <si>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</si>
  <si>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</si>
  <si>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</si>
  <si>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</si>
  <si>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</si>
  <si>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</si>
  <si>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</si>
  <si>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</si>
  <si>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</si>
  <si>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</si>
  <si>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</si>
  <si>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</si>
  <si>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</si>
  <si>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</si>
  <si>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</si>
  <si>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</si>
  <si>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</si>
  <si>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</si>
  <si>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</si>
  <si>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</si>
  <si>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</si>
  <si>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</si>
  <si>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</si>
  <si>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</si>
  <si>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</si>
  <si>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</si>
  <si>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</si>
  <si>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</si>
  <si>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</si>
  <si>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</si>
  <si>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</si>
  <si>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</si>
  <si>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</si>
  <si>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</si>
  <si>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</si>
  <si>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</si>
  <si>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</si>
  <si>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</si>
  <si>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</si>
  <si>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</si>
  <si>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</si>
  <si>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</si>
  <si>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</si>
  <si>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</si>
  <si>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</si>
  <si>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</si>
  <si>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</si>
  <si>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</si>
  <si>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</si>
  <si>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</si>
  <si>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</si>
  <si>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</si>
  <si>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</si>
  <si>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</si>
  <si>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</si>
  <si>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</si>
  <si>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</si>
  <si>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</si>
  <si>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</si>
  <si>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</si>
  <si>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</si>
  <si>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</si>
  <si>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</si>
  <si>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</si>
  <si>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</si>
  <si>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</si>
  <si>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</si>
  <si>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</si>
  <si>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</si>
  <si>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</si>
  <si>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</si>
  <si>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</si>
  <si>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</si>
  <si>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</si>
  <si>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</si>
  <si>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</si>
  <si>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</si>
  <si>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</si>
  <si>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</si>
  <si>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</si>
  <si>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</si>
  <si>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</si>
  <si>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</si>
  <si>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</si>
  <si>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</si>
  <si>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</si>
  <si>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</si>
  <si>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</si>
  <si>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</si>
  <si>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</si>
  <si>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</si>
  <si>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</si>
  <si>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</si>
  <si>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</si>
  <si>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</si>
  <si>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</si>
  <si>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</si>
  <si>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</si>
  <si>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</si>
  <si>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</si>
  <si>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</si>
  <si>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</si>
  <si>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</si>
  <si>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</si>
  <si>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</si>
  <si>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</si>
  <si>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</si>
  <si>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</si>
  <si>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</si>
  <si>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</si>
  <si>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</si>
  <si>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</si>
  <si>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</si>
  <si>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</si>
  <si>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</si>
  <si>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</si>
  <si>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</si>
  <si>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</si>
  <si>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</si>
  <si>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</si>
  <si>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</si>
  <si>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</si>
  <si>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</si>
  <si>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</si>
  <si>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</si>
  <si>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</si>
  <si>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</si>
  <si>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</si>
  <si>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</si>
  <si>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</si>
  <si>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</si>
  <si>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</si>
  <si>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</si>
  <si>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</si>
  <si>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</si>
  <si>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</si>
  <si>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</si>
  <si>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</si>
  <si>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</si>
  <si>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</si>
  <si>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</si>
  <si>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</si>
  <si>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</si>
  <si>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</si>
  <si>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</si>
  <si>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</si>
  <si>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</si>
  <si>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</si>
  <si>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</si>
  <si>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</si>
  <si>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</si>
  <si>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</si>
  <si>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</si>
  <si>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</si>
  <si>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</si>
  <si>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</si>
  <si>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</si>
  <si>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</si>
  <si>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</si>
  <si>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</si>
  <si>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</si>
  <si>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</si>
  <si>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</si>
  <si>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</si>
  <si>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</si>
  <si>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</si>
  <si>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</si>
  <si>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</si>
  <si>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</si>
  <si>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</si>
  <si>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</si>
  <si>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</si>
  <si>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</si>
  <si>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</si>
  <si>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</si>
  <si>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</si>
  <si>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</si>
  <si>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</si>
  <si>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</si>
  <si>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</si>
  <si>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</si>
  <si>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</si>
  <si>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</si>
  <si>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</si>
  <si>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</si>
  <si>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</si>
  <si>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</si>
  <si>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</si>
  <si>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</si>
  <si>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</si>
  <si>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</si>
  <si>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</si>
  <si>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</si>
  <si>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</si>
  <si>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</si>
  <si>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</si>
  <si>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</si>
  <si>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</si>
  <si>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</si>
  <si>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</si>
  <si>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</si>
  <si>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</si>
  <si>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</si>
  <si>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</si>
  <si>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</si>
  <si>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</si>
  <si>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</si>
  <si>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</si>
  <si>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</si>
  <si>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</si>
  <si>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</si>
  <si>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</si>
  <si>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</si>
  <si>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</si>
  <si>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</si>
  <si>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</si>
  <si>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</si>
  <si>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</si>
  <si>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</si>
  <si>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</si>
  <si>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</si>
  <si>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</si>
  <si>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</si>
  <si>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</si>
  <si>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</si>
  <si>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</si>
  <si>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</si>
  <si>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</si>
  <si>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</si>
  <si>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</si>
  <si>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</si>
  <si>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</si>
  <si>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</si>
  <si>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</si>
  <si>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</si>
  <si>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</si>
  <si>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</si>
  <si>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</si>
  <si>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</si>
  <si>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</si>
  <si>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</si>
  <si>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</si>
  <si>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</si>
  <si>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</si>
  <si>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</si>
  <si>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</si>
  <si>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</si>
  <si>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</si>
  <si>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</si>
  <si>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</si>
  <si>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</si>
  <si>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</si>
  <si>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</si>
  <si>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</si>
  <si>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</si>
  <si>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</si>
  <si>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</si>
  <si>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</si>
  <si>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</si>
  <si>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</si>
  <si>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</si>
  <si>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</si>
  <si>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</si>
  <si>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</si>
  <si>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</si>
  <si>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</si>
  <si>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</si>
  <si>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</si>
  <si>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</si>
  <si>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</si>
  <si>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</si>
  <si>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</si>
  <si>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</si>
  <si>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</si>
  <si>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</si>
  <si>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</si>
  <si>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</si>
  <si>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</si>
  <si>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</si>
  <si>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</si>
  <si>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</si>
  <si>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</si>
  <si>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</si>
  <si>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</si>
  <si>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</si>
  <si>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</si>
  <si>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</si>
  <si>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</si>
  <si>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</si>
  <si>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</si>
  <si>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</si>
  <si>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</si>
  <si>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</si>
  <si>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</si>
  <si>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</si>
  <si>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</si>
  <si>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</si>
  <si>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</si>
  <si>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</si>
  <si>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</si>
  <si>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</si>
  <si>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</si>
  <si>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</si>
  <si>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</si>
  <si>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</si>
  <si>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</si>
  <si>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</si>
  <si>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</si>
  <si>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</si>
  <si>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</si>
  <si>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</si>
  <si>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</si>
  <si>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</si>
  <si>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</si>
  <si>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</si>
  <si>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</si>
  <si>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</si>
  <si>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</si>
  <si>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</si>
  <si>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</si>
  <si>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</si>
  <si>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</si>
  <si>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</si>
  <si>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</si>
  <si>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</si>
  <si>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</si>
  <si>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</si>
  <si>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</si>
  <si>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</si>
  <si>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</si>
  <si>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</si>
  <si>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</si>
  <si>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</si>
  <si>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</si>
  <si>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</si>
  <si>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</si>
  <si>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</si>
  <si>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</si>
  <si>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</si>
  <si>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</si>
  <si>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</si>
  <si>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</si>
  <si>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</si>
  <si>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</si>
  <si>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</si>
  <si>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</si>
  <si>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</si>
  <si>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</si>
  <si>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</si>
  <si>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</si>
  <si>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</si>
  <si>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</si>
  <si>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</si>
  <si>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</si>
  <si>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</si>
  <si>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</si>
  <si>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</si>
  <si>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</si>
  <si>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</si>
  <si>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</si>
  <si>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</si>
  <si>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</si>
  <si>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</si>
  <si>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</si>
  <si>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</si>
  <si>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</si>
  <si>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</si>
  <si>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</si>
  <si>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</si>
  <si>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</si>
  <si>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</si>
  <si>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</si>
  <si>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</si>
  <si>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</si>
  <si>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</si>
  <si>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</si>
  <si>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</si>
  <si>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</si>
  <si>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</si>
  <si>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</si>
  <si>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</si>
  <si>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</si>
  <si>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</si>
  <si>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</si>
  <si>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</si>
  <si>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</si>
  <si>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</si>
  <si>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</si>
  <si>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</si>
  <si>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</si>
  <si>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</si>
  <si>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</si>
  <si>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</si>
  <si>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</si>
  <si>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</si>
  <si>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</si>
  <si>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</si>
  <si>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</si>
  <si>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</si>
  <si>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</si>
  <si>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</si>
  <si>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</si>
  <si>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</si>
  <si>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</si>
  <si>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</si>
  <si>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</si>
  <si>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</si>
  <si>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</si>
  <si>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</si>
  <si>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</si>
  <si>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</si>
  <si>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</si>
  <si>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</si>
  <si>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</si>
  <si>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</si>
  <si>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</si>
  <si>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</si>
  <si>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</si>
  <si>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</si>
  <si>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</si>
  <si>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</si>
  <si>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</si>
  <si>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</si>
  <si>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</si>
  <si>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</si>
  <si>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</si>
  <si>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</si>
  <si>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</si>
  <si>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</si>
  <si>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</si>
  <si>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</si>
  <si>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</si>
  <si>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</si>
  <si>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</si>
  <si>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</si>
  <si>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</si>
  <si>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</si>
  <si>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</si>
  <si>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</si>
  <si>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</si>
  <si>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</si>
  <si>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</si>
  <si>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</si>
  <si>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</si>
  <si>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</si>
  <si>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</si>
  <si>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</si>
  <si>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</si>
  <si>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</si>
  <si>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</si>
  <si>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</si>
  <si>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</si>
  <si>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</si>
  <si>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</si>
  <si>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</si>
  <si>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</si>
  <si>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</si>
  <si>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</si>
  <si>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</si>
  <si>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</si>
  <si>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</si>
  <si>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</si>
  <si>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</si>
  <si>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</si>
  <si>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</si>
  <si>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</si>
  <si>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</si>
  <si>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</si>
  <si>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</si>
  <si>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</si>
  <si>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</si>
  <si>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</si>
  <si>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</si>
  <si>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</si>
  <si>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</si>
  <si>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</si>
  <si>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</si>
  <si>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</si>
  <si>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</si>
  <si>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</si>
  <si>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</si>
  <si>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</si>
  <si>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</si>
  <si>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</si>
  <si>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</si>
  <si>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</si>
  <si>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</si>
  <si>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</si>
  <si>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</si>
  <si>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</si>
  <si>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</si>
  <si>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</si>
  <si>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</si>
  <si>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</si>
  <si>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</si>
  <si>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</si>
  <si>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</si>
  <si>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</si>
  <si>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</si>
  <si>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</si>
  <si>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</si>
  <si>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</si>
  <si>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</si>
  <si>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</si>
  <si>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</si>
  <si>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</si>
  <si>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</si>
  <si>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</si>
  <si>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</si>
  <si>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</si>
  <si>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</si>
  <si>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</si>
  <si>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</si>
  <si>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</si>
  <si>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</si>
  <si>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</si>
  <si>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</si>
  <si>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</si>
  <si>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</si>
  <si>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</si>
  <si>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</si>
  <si>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</si>
  <si>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</si>
  <si>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</si>
  <si>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</si>
  <si>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</si>
  <si>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</si>
  <si>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</si>
  <si>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</si>
  <si>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</si>
  <si>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</si>
  <si>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</si>
  <si>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</si>
  <si>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</si>
  <si>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</si>
  <si>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</si>
  <si>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</si>
  <si>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</si>
  <si>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</si>
  <si>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</si>
  <si>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</si>
  <si>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</si>
  <si>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</si>
  <si>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</si>
  <si>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</si>
  <si>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</si>
  <si>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</si>
  <si>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</si>
  <si>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</si>
  <si>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</si>
  <si>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</si>
  <si>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</si>
  <si>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</si>
  <si>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</si>
  <si>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</si>
  <si>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</si>
  <si>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</si>
  <si>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</si>
  <si>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</si>
  <si>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</si>
  <si>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</si>
  <si>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</si>
  <si>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</si>
  <si>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</si>
  <si>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</si>
  <si>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</si>
  <si>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</si>
  <si>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</si>
  <si>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</si>
  <si>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</si>
  <si>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</si>
  <si>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</si>
  <si>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</si>
  <si>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</si>
  <si>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</si>
  <si>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</si>
  <si>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</si>
  <si>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</si>
  <si>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</si>
  <si>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</si>
  <si>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</si>
  <si>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</si>
  <si>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</si>
  <si>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</si>
  <si>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</si>
  <si>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</si>
  <si>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</si>
  <si>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</si>
  <si>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</si>
  <si>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</si>
  <si>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</si>
  <si>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</si>
  <si>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</si>
  <si>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</si>
  <si>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</si>
  <si>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</si>
  <si>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</si>
  <si>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</si>
  <si>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</si>
  <si>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</si>
  <si>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</si>
  <si>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</si>
  <si>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</si>
  <si>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</si>
  <si>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</si>
  <si>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</si>
  <si>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</si>
  <si>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</si>
  <si>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</si>
  <si>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</si>
  <si>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</si>
  <si>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</si>
  <si>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</si>
  <si>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</si>
  <si>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</si>
  <si>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</si>
  <si>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</si>
  <si>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</si>
  <si>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</si>
  <si>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</si>
  <si>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</si>
  <si>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</si>
  <si>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</si>
  <si>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</si>
  <si>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</si>
  <si>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</si>
  <si>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</si>
  <si>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</si>
  <si>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</si>
  <si>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</si>
  <si>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</si>
  <si>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</si>
  <si>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</si>
  <si>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</si>
  <si>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</si>
  <si>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</si>
  <si>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</si>
  <si>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</si>
  <si>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</si>
  <si>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</si>
  <si>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</si>
  <si>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</si>
  <si>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</si>
  <si>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</si>
  <si>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</si>
  <si>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</si>
  <si>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</si>
  <si>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</si>
  <si>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</si>
  <si>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</si>
  <si>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</si>
  <si>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</si>
  <si>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</si>
  <si>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</si>
  <si>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</si>
  <si>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</si>
  <si>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</si>
  <si>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</si>
  <si>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</si>
  <si>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</si>
  <si>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</si>
  <si>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</si>
  <si>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</si>
  <si>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</si>
  <si>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</si>
  <si>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</si>
  <si>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</si>
  <si>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</si>
  <si>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</si>
  <si>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</si>
  <si>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</si>
  <si>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</si>
  <si>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</si>
  <si>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</si>
  <si>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</si>
  <si>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</si>
  <si>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</si>
  <si>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</si>
  <si>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</si>
  <si>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</si>
  <si>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</si>
  <si>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</si>
  <si>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</si>
  <si>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</si>
  <si>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</si>
  <si>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</si>
  <si>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</si>
  <si>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</si>
  <si>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</si>
  <si>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</si>
  <si>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</si>
  <si>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</si>
  <si>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</si>
  <si>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</si>
  <si>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</si>
  <si>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</si>
  <si>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</si>
  <si>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</si>
  <si>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</si>
  <si>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</si>
  <si>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</si>
  <si>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</si>
  <si>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</si>
  <si>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</si>
  <si>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</si>
  <si>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</si>
  <si>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</si>
  <si>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</si>
  <si>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</si>
  <si>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</si>
  <si>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</si>
  <si>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</si>
  <si>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</si>
  <si>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</si>
  <si>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</si>
  <si>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</si>
  <si>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</si>
  <si>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</si>
  <si>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</si>
  <si>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</si>
  <si>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</si>
  <si>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</si>
  <si>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</si>
  <si>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</si>
  <si>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</si>
  <si>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</si>
  <si>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</si>
  <si>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</si>
  <si>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</si>
  <si>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</si>
  <si>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</si>
  <si>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</si>
  <si>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</si>
  <si>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</si>
  <si>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</si>
  <si>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</si>
  <si>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</si>
  <si>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</si>
  <si>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</si>
  <si>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</si>
  <si>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</si>
  <si>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</si>
  <si>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</si>
  <si>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</si>
  <si>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</si>
  <si>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</si>
  <si>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</si>
  <si>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</si>
  <si>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</si>
  <si>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</si>
  <si>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</si>
  <si>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</si>
  <si>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</si>
  <si>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</si>
  <si>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</si>
  <si>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</si>
  <si>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</si>
  <si>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</si>
  <si>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</si>
  <si>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</si>
  <si>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</si>
  <si>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</si>
  <si>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</si>
  <si>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</si>
  <si>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</si>
  <si>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</si>
  <si>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</si>
  <si>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</si>
  <si>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</si>
  <si>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</si>
  <si>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</si>
  <si>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</si>
  <si>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</si>
  <si>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</si>
  <si>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</si>
  <si>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</si>
  <si>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</si>
  <si>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</si>
  <si>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</si>
  <si>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</si>
  <si>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</si>
  <si>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</si>
  <si>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</si>
  <si>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</si>
  <si>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</si>
  <si>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</si>
  <si>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</si>
  <si>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</si>
  <si>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</si>
  <si>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</si>
  <si>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</si>
  <si>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</si>
  <si>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</si>
  <si>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</si>
  <si>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</si>
  <si>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</si>
  <si>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Validation VALUE MISSING/ERROR</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</si>
  <si>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</si>
  <si>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</si>
  <si>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</si>
  <si>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</si>
  <si>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</si>
  <si>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</si>
  <si>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</si>
  <si>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</si>
  <si>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</si>
  <si>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</si>
  <si>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</si>
  <si>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</si>
  <si>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</si>
  <si>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</si>
  <si>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</si>
  <si>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</si>
  <si>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</si>
  <si>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</si>
  <si>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</si>
  <si>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</si>
  <si>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</si>
  <si>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</si>
  <si>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</si>
  <si>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</si>
  <si>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</si>
  <si>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</si>
  <si>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</si>
  <si>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</si>
  <si>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</si>
  <si>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</si>
  <si>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</si>
  <si>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</si>
  <si>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</si>
  <si>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</si>
  <si>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</si>
  <si>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</si>
  <si>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</si>
  <si>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</si>
  <si>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</si>
  <si>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</si>
  <si>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</si>
  <si>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</si>
  <si>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</si>
  <si>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</si>
  <si>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</si>
  <si>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</si>
  <si>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</si>
  <si>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</si>
  <si>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</si>
  <si>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</si>
  <si>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</si>
  <si>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</si>
  <si>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</si>
  <si>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</si>
  <si>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</si>
  <si>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</si>
  <si>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</si>
  <si>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</si>
  <si>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</si>
  <si>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</si>
  <si>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</si>
  <si>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</si>
  <si>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</si>
  <si>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</si>
  <si>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</si>
  <si>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</si>
  <si>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</si>
  <si>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</si>
  <si>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</si>
  <si>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</si>
  <si>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</si>
  <si>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</si>
  <si>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</si>
  <si>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</si>
  <si>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</si>
  <si>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</si>
  <si>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</si>
  <si>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</si>
  <si>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</si>
  <si>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</si>
  <si>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</si>
  <si>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</si>
  <si>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</si>
  <si>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</si>
  <si>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</si>
  <si>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</si>
  <si>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</si>
  <si>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</si>
  <si>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</si>
  <si>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</si>
  <si>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</si>
  <si>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</si>
  <si>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</si>
  <si>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</si>
  <si>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</si>
  <si>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</si>
  <si>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</si>
  <si>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</si>
  <si>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</si>
  <si>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</si>
  <si>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</si>
  <si>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</si>
  <si>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</si>
  <si>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</si>
  <si>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</si>
  <si>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2. Find more information on the actual disclosure requirements in the VSME Standard linked to each cell with a light orange and blue background color. Additional or entity-specific disclosures can be provided in each text box at the end of each worksheet.</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</si>
  <si>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</si>
  <si>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</si>
  <si>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</si>
  <si>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</si>
  <si>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</si>
  <si>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</si>
  <si>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</si>
  <si>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</si>
  <si>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</si>
  <si>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</si>
  <si>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</si>
  <si>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</si>
  <si>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</si>
  <si>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</si>
  <si>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</si>
  <si>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</si>
  <si>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</si>
  <si>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</si>
  <si>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</si>
  <si>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</si>
  <si>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</si>
  <si>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</si>
  <si>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</si>
  <si>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</si>
  <si>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</si>
  <si>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</si>
  <si>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</si>
  <si>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</si>
  <si>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</si>
  <si>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</si>
  <si>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</si>
  <si>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</si>
  <si>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</si>
  <si>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</si>
  <si>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</si>
  <si>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</si>
  <si>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</si>
  <si>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</si>
  <si>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r>
      <rPr>
        <sz val="11"/>
        <color theme="1"/>
        <rFont val="Aptos Narrow"/>
        <family val="2"/>
        <scheme val="minor"/>
      </rPr>
      <t xml:space="preserve">Fuels </t>
    </r>
    <r>
      <rPr>
        <u/>
        <sz val="11"/>
        <color theme="10"/>
        <rFont val="Aptos Narrow"/>
        <family val="2"/>
        <scheme val="minor"/>
      </rPr>
      <t>(see Fuel Converter on Fuels worksheet)</t>
    </r>
  </si>
  <si>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</si>
  <si>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</si>
  <si>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</si>
  <si>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</si>
  <si>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</si>
  <si>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</si>
  <si>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</si>
  <si>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</si>
  <si>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</si>
  <si>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</si>
  <si>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</si>
  <si>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</si>
  <si>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</si>
  <si>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</si>
  <si>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</si>
  <si>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</si>
  <si>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</si>
  <si>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</si>
  <si>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</si>
  <si>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</si>
  <si>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</si>
  <si>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</si>
  <si>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</si>
  <si>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</si>
  <si>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</si>
  <si>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</si>
  <si>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</si>
  <si>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</si>
  <si>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</si>
  <si>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</si>
  <si>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</si>
  <si>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</si>
  <si>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</si>
  <si>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</si>
  <si>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</si>
  <si>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</si>
  <si>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</si>
  <si>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</si>
  <si>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</si>
  <si>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</si>
  <si>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</si>
  <si>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</si>
  <si>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</si>
  <si>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</si>
  <si>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</si>
  <si>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</si>
  <si>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</si>
  <si>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</si>
  <si>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</si>
  <si>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</si>
  <si>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</si>
  <si>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</si>
  <si>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</si>
  <si>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</si>
  <si>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</si>
  <si>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</si>
  <si>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</si>
  <si>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</si>
  <si>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</si>
  <si>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</si>
  <si>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</si>
  <si>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</si>
  <si>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</si>
  <si>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</si>
  <si>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</si>
  <si>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</si>
  <si>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</si>
  <si>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</si>
  <si>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</si>
  <si>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</si>
  <si>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</si>
  <si>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</si>
  <si>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</si>
  <si>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</si>
  <si>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</si>
  <si>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</si>
  <si>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</si>
  <si>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</si>
  <si>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</si>
  <si>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</si>
  <si>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</si>
  <si>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</si>
  <si>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</si>
  <si>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</si>
  <si>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</si>
  <si>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</si>
  <si>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</si>
  <si>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</si>
  <si>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</si>
  <si>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</si>
  <si>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</si>
  <si>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</si>
  <si>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</si>
  <si>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</si>
  <si>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</si>
  <si>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</si>
  <si>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</si>
  <si>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</si>
  <si>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</si>
  <si>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</si>
  <si>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</si>
  <si>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</si>
  <si>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</si>
  <si>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</si>
  <si>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</si>
  <si>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</si>
  <si>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</si>
  <si>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</si>
  <si>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</si>
  <si>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</si>
  <si>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</si>
  <si>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</si>
  <si>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</si>
  <si>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</si>
  <si>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</si>
  <si>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</si>
  <si>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</si>
  <si>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</si>
  <si>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</si>
  <si>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</si>
  <si>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</si>
  <si>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</si>
  <si>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</si>
  <si>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</si>
  <si>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</si>
  <si>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</si>
  <si>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</si>
  <si>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</si>
  <si>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</si>
  <si>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</si>
  <si>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</si>
  <si>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</si>
  <si>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</si>
  <si>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</si>
  <si>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</si>
  <si>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</si>
  <si>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</si>
  <si>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</si>
  <si>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</si>
  <si>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</si>
  <si>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</si>
  <si>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</si>
  <si>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</si>
  <si>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</si>
  <si>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</si>
  <si>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</si>
  <si>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</si>
  <si>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</si>
  <si>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</si>
  <si>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</si>
  <si>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</si>
  <si>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</si>
  <si>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</si>
  <si>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</si>
  <si>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</si>
  <si>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</si>
  <si>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</si>
  <si>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</si>
  <si>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</si>
  <si>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</si>
  <si>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</si>
  <si>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</si>
  <si>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</si>
  <si>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</si>
  <si>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</si>
  <si>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</si>
  <si>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</si>
  <si>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</si>
  <si>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</si>
  <si>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</si>
  <si>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</si>
  <si>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</si>
  <si>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</si>
  <si>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</si>
  <si>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</si>
  <si>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</si>
  <si>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</si>
  <si>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</si>
  <si>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</si>
  <si>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</si>
  <si>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</si>
  <si>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</si>
  <si>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</si>
  <si>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</si>
  <si>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</si>
  <si>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</si>
  <si>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</si>
  <si>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</si>
  <si>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</si>
  <si>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</si>
  <si>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</si>
  <si>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</si>
  <si>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</si>
  <si>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</si>
  <si>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</si>
  <si>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</si>
  <si>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</si>
  <si>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</si>
  <si>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</si>
  <si>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</si>
  <si>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</si>
  <si>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</si>
  <si>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</si>
  <si>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</si>
  <si>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</si>
  <si>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</si>
  <si>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</si>
  <si>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</si>
  <si>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</si>
  <si>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</si>
  <si>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</si>
  <si>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</si>
  <si>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</si>
  <si>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</si>
  <si>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</si>
  <si>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</si>
  <si>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</si>
  <si>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</si>
  <si>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</si>
  <si>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</si>
  <si>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</si>
  <si>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</si>
  <si>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has production processes in place which significantly consume water (e.g. thermal energy processes like drying or power production, production of goods, agricultural irrigation, etc.)</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</si>
  <si>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</si>
  <si>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</si>
  <si>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</si>
  <si>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</si>
  <si>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</si>
  <si>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</si>
  <si>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</si>
  <si>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</si>
  <si>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</si>
  <si>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</si>
  <si>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</si>
  <si>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</si>
  <si>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</si>
  <si>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</si>
  <si>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</si>
  <si>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</si>
  <si>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</si>
  <si>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</si>
  <si>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</si>
  <si>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</si>
  <si>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</si>
  <si>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</si>
  <si>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</si>
  <si>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</si>
  <si>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</si>
  <si>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</si>
  <si>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</si>
  <si>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</si>
  <si>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</si>
  <si>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</si>
  <si>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</si>
  <si>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</si>
  <si>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</si>
  <si>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</si>
  <si>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</si>
  <si>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</si>
  <si>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</si>
  <si>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</si>
  <si>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</si>
  <si>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</si>
  <si>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</si>
  <si>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</si>
  <si>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</si>
  <si>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</si>
  <si>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</si>
  <si>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</si>
  <si>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</si>
  <si>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</si>
  <si>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</si>
  <si>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</si>
  <si>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</si>
  <si>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</si>
  <si>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</si>
  <si>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</si>
  <si>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</si>
  <si>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</si>
  <si>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</si>
  <si>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</si>
  <si>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</si>
  <si>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</si>
  <si>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</si>
  <si>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</si>
  <si>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</si>
  <si>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</si>
  <si>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</si>
  <si>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</si>
  <si>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</si>
  <si>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</si>
  <si>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</si>
  <si>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</si>
  <si>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</si>
  <si>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</si>
  <si>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</si>
  <si>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</si>
  <si>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</si>
  <si>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</si>
  <si>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</si>
  <si>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</si>
  <si>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</si>
  <si>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</si>
  <si>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</si>
  <si>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</si>
  <si>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</si>
  <si>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</si>
  <si>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</si>
  <si>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</si>
  <si>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</si>
  <si>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</si>
  <si>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</si>
  <si>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</si>
  <si>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</si>
  <si>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</si>
  <si>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</si>
  <si>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</si>
  <si>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</si>
  <si>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</si>
  <si>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</si>
  <si>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</si>
  <si>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</si>
  <si>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</si>
  <si>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</si>
  <si>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</si>
  <si>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</si>
  <si>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</si>
  <si>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</si>
  <si>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</si>
  <si>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</si>
  <si>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</si>
  <si>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</si>
  <si>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</si>
  <si>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</si>
  <si>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</si>
  <si>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</si>
  <si>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</si>
  <si>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</si>
  <si>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</si>
  <si>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</si>
  <si>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</si>
  <si>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</si>
  <si>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</si>
  <si>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</si>
  <si>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</si>
  <si>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</si>
  <si>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</si>
  <si>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</si>
  <si>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</si>
  <si>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</si>
  <si>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</si>
  <si>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</si>
  <si>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</si>
  <si>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</si>
  <si>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</si>
  <si>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</si>
  <si>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</si>
  <si>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</si>
  <si>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</si>
  <si>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</si>
  <si>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</si>
  <si>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</si>
  <si>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</si>
  <si>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</si>
  <si>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</si>
  <si>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</si>
  <si>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</si>
  <si>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</si>
  <si>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</si>
  <si>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</si>
  <si>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</si>
  <si>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</si>
  <si>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</si>
  <si>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</si>
  <si>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</si>
  <si>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</si>
  <si>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</si>
  <si>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</si>
  <si>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</si>
  <si>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</si>
  <si>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</si>
  <si>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</si>
  <si>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</si>
  <si>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</si>
  <si>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</si>
  <si>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</si>
  <si>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</si>
  <si>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</si>
  <si>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</si>
  <si>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</si>
  <si>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</si>
  <si>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</si>
  <si>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</si>
  <si>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</si>
  <si>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</si>
  <si>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</si>
  <si>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</si>
  <si>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</si>
  <si>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</si>
  <si>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</si>
  <si>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</si>
  <si>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</si>
  <si>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</si>
  <si>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</si>
  <si>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</si>
  <si>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</si>
  <si>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</si>
  <si>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</si>
  <si>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</si>
  <si>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</si>
  <si>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</si>
  <si>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</si>
  <si>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</si>
  <si>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</si>
  <si>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</si>
  <si>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</si>
  <si>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</si>
  <si>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</si>
  <si>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</si>
  <si>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</si>
  <si>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</si>
  <si>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</si>
  <si>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</si>
  <si>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</si>
  <si>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</si>
  <si>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</si>
  <si>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</si>
  <si>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</si>
  <si>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</si>
  <si>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</si>
  <si>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</si>
  <si>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</si>
  <si>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</si>
  <si>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</si>
  <si>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</si>
  <si>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</si>
  <si>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</si>
  <si>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</si>
  <si>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</si>
  <si>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</si>
  <si>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</si>
  <si>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</si>
  <si>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</si>
  <si>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</si>
  <si>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</si>
  <si>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</si>
  <si>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</si>
  <si>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</si>
  <si>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</si>
  <si>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</si>
  <si>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</si>
  <si>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</si>
  <si>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</si>
  <si>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</si>
  <si>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</si>
  <si>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</si>
  <si>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</si>
  <si>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</si>
  <si>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</si>
  <si>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</si>
  <si>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</si>
  <si>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</si>
  <si>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</si>
  <si>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</si>
  <si>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</si>
  <si>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</si>
  <si>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</si>
  <si>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</si>
  <si>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</si>
  <si>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</si>
  <si>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</si>
  <si>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</si>
  <si>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</si>
  <si>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</si>
  <si>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</si>
  <si>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</si>
  <si>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</si>
  <si>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</si>
  <si>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</si>
  <si>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</si>
  <si>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</si>
  <si>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</si>
  <si>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</si>
  <si>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</si>
  <si>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</si>
  <si>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</si>
  <si>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</si>
  <si>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</si>
  <si>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</si>
  <si>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</si>
  <si>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</si>
  <si>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</si>
  <si>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</si>
  <si>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</si>
  <si>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</si>
  <si>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</si>
  <si>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</si>
  <si>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</si>
  <si>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</si>
  <si>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</si>
  <si>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</si>
  <si>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</si>
  <si>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</si>
  <si>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</si>
  <si>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</si>
  <si>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</si>
  <si>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</si>
  <si>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</si>
  <si>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</si>
  <si>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</si>
  <si>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</si>
  <si>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</si>
  <si>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</si>
  <si>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</si>
  <si>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</si>
  <si>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</si>
  <si>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</si>
  <si>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</si>
  <si>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</si>
  <si>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</si>
  <si>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</si>
  <si>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</si>
  <si>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</si>
  <si>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</si>
  <si>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</si>
  <si>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</si>
  <si>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</si>
  <si>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</si>
  <si>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</si>
  <si>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</si>
  <si>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</si>
  <si>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</si>
  <si>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</si>
  <si>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</si>
  <si>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</si>
  <si>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</si>
  <si>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</si>
  <si>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</si>
  <si>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</si>
  <si>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</si>
  <si>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</si>
  <si>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</si>
  <si>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</si>
  <si>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</si>
  <si>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</si>
  <si>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</si>
  <si>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</si>
  <si>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</si>
  <si>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</si>
  <si>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</si>
  <si>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</si>
  <si>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</si>
  <si>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</si>
  <si>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</si>
  <si>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</si>
  <si>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</si>
  <si>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</si>
  <si>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</si>
  <si>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</si>
  <si>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</si>
  <si>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</si>
  <si>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</si>
  <si>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</si>
  <si>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</si>
  <si>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</si>
  <si>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</si>
  <si>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</si>
  <si>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</si>
  <si>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</si>
  <si>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</si>
  <si>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</si>
  <si>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</si>
  <si>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</si>
  <si>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</si>
  <si>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</si>
  <si>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</si>
  <si>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</si>
  <si>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</si>
  <si>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</si>
  <si>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</si>
  <si>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</si>
  <si>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</si>
  <si>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</si>
  <si>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</si>
  <si>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</si>
  <si>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</si>
  <si>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</si>
  <si>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</si>
  <si>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</si>
  <si>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</si>
  <si>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</si>
  <si>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</si>
  <si>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</si>
  <si>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</si>
  <si>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</si>
  <si>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</si>
  <si>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</si>
  <si>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</si>
  <si>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</si>
  <si>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</si>
  <si>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</si>
  <si>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</si>
  <si>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</si>
  <si>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</si>
  <si>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</si>
  <si>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</si>
  <si>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</si>
  <si>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</si>
  <si>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</si>
  <si>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</si>
  <si>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</si>
  <si>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</si>
  <si>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</si>
  <si>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</si>
  <si>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</si>
  <si>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</si>
  <si>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</si>
  <si>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</si>
  <si>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</si>
  <si>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</si>
  <si>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</si>
  <si>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</si>
  <si>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</si>
  <si>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</si>
  <si>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</si>
  <si>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</si>
  <si>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</si>
  <si>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</si>
  <si>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</si>
  <si>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</si>
  <si>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</si>
  <si>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</si>
  <si>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</si>
  <si>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</si>
  <si>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</si>
  <si>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</si>
  <si>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</si>
  <si>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</si>
  <si>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</si>
  <si>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</si>
  <si>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</si>
  <si>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</si>
  <si>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</si>
  <si>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</si>
  <si>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</si>
  <si>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</si>
  <si>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</si>
  <si>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</si>
  <si>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</si>
  <si>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</si>
  <si>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</si>
  <si>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</si>
  <si>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</si>
  <si>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</si>
  <si>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</si>
  <si>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</si>
  <si>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</si>
  <si>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</si>
  <si>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</si>
  <si>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</si>
  <si>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</si>
  <si>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</si>
  <si>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</si>
  <si>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</si>
  <si>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</si>
  <si>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</si>
  <si>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</si>
  <si>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</si>
  <si>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</si>
  <si>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</si>
  <si>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</si>
  <si>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</si>
  <si>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</si>
  <si>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</si>
  <si>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</si>
  <si>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</si>
  <si>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</si>
  <si>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</si>
  <si>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</si>
  <si>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</si>
  <si>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</si>
  <si>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</si>
  <si>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</si>
  <si>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</si>
  <si>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</si>
  <si>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</si>
  <si>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</si>
  <si>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</si>
  <si>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</si>
  <si>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</si>
  <si>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</si>
  <si>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</si>
  <si>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</si>
  <si>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</si>
  <si>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</si>
  <si>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</si>
  <si>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</si>
  <si>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</si>
  <si>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</si>
  <si>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</si>
  <si>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Indicates that the cell should not be filled.</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</si>
  <si>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</si>
  <si>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</si>
  <si>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</si>
  <si>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</si>
  <si>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</si>
  <si>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</si>
  <si>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</si>
  <si>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</si>
  <si>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</si>
  <si>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</si>
  <si>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</si>
  <si>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</si>
  <si>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</si>
  <si>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</si>
  <si>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</si>
  <si>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</si>
  <si>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</si>
  <si>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</si>
  <si>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</si>
  <si>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</si>
  <si>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</si>
  <si>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</si>
  <si>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</si>
  <si>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</si>
  <si>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</si>
  <si>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</si>
  <si>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</si>
  <si>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</si>
  <si>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</si>
  <si>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 xml:space="preserve">Lists can be expanded using the plus [+] button on the top. </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</si>
  <si>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</si>
  <si>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</si>
  <si>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</si>
  <si>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</si>
  <si>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</si>
  <si>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</si>
  <si>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</si>
  <si>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</si>
  <si>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</si>
  <si>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</si>
  <si>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Pollutants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t>
    </r>
  </si>
  <si>
    <r>
      <t xml:space="preserve">Types of  Wastes </t>
    </r>
    <r>
      <rPr>
        <sz val="11"/>
        <color theme="1"/>
        <rFont val="Aptos Narrow"/>
        <family val="2"/>
        <scheme val="minor"/>
      </rPr>
      <t>(Regulation (EU) 2024/1244 of the European Parliament and of the Council of 24 April 2024 on reporting of environmental data from industrial installations, establishing an Industrial Emissions Portal and repealing Regulation (EC) No 166/2006)</t>
    </r>
  </si>
  <si>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</si>
  <si>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</si>
  <si>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</si>
  <si>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</si>
  <si>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</si>
  <si>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</si>
  <si>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</si>
  <si>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</si>
  <si>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</si>
  <si>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</si>
  <si>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</si>
  <si>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</si>
  <si>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</si>
  <si>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</si>
  <si>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</si>
  <si>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</si>
  <si>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</si>
  <si>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</si>
  <si>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</si>
  <si>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</si>
  <si>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</si>
  <si>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</si>
  <si>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</si>
  <si>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</si>
  <si>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</si>
  <si>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</si>
  <si>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</si>
  <si>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</si>
  <si>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</si>
  <si>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</si>
  <si>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</si>
  <si>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</si>
  <si>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</si>
  <si>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</si>
  <si>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</si>
  <si>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</si>
  <si>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</si>
  <si>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</si>
  <si>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</si>
  <si>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</si>
  <si>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</si>
  <si>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</si>
  <si>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</si>
  <si>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</si>
  <si>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</si>
  <si>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</si>
  <si>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</si>
  <si>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</si>
  <si>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</si>
  <si>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</si>
  <si>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</si>
  <si>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</si>
  <si>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</si>
  <si>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</si>
  <si>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</si>
  <si>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</si>
  <si>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</si>
  <si>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</si>
  <si>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</si>
  <si>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</si>
  <si>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</si>
  <si>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</si>
  <si>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</si>
  <si>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</si>
  <si>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</si>
  <si>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</si>
  <si>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</si>
  <si>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</si>
  <si>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</si>
  <si>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</si>
  <si>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</si>
  <si>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</si>
  <si>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</si>
  <si>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</si>
  <si>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</si>
  <si>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</si>
  <si>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</si>
  <si>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</si>
  <si>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</si>
  <si>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</si>
  <si>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</si>
  <si>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</si>
  <si>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</si>
  <si>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</si>
  <si>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</si>
  <si>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</si>
  <si>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</si>
  <si>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</si>
  <si>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</si>
  <si>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</si>
  <si>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</si>
  <si>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</si>
  <si>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</si>
  <si>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</si>
  <si>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</si>
  <si>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</si>
  <si>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</si>
  <si>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</si>
  <si>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</si>
  <si>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</si>
  <si>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</si>
  <si>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</si>
  <si>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</si>
  <si>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</si>
  <si>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</si>
  <si>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</si>
  <si>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</si>
  <si>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</si>
  <si>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</si>
  <si>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</si>
  <si>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</si>
  <si>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</si>
  <si>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</si>
  <si>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</si>
  <si>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</si>
  <si>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</si>
  <si>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</si>
  <si>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</si>
  <si>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</si>
  <si>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</si>
  <si>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</si>
  <si>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</si>
  <si>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</si>
  <si>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</si>
  <si>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</si>
  <si>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</si>
  <si>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</si>
  <si>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4. In cell A22 is displayed the Energy produced in Mega Wat hours by the Amount of Fuel specified</t>
  </si>
  <si>
    <t xml:space="preserve">6. In cell A32 is displayed the Total Non-renewable Energy in Mega Watt hours </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</si>
  <si>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</si>
  <si>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</si>
  <si>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</si>
  <si>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</si>
  <si>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</si>
  <si>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</si>
  <si>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</si>
  <si>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</si>
  <si>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</si>
  <si>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</si>
  <si>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</si>
  <si>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</si>
  <si>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</si>
  <si>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</si>
  <si>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</si>
  <si>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</si>
  <si>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</si>
  <si>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</si>
  <si>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</si>
  <si>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</si>
  <si>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</si>
  <si>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</si>
  <si>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</si>
  <si>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</si>
  <si>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</si>
  <si>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</si>
  <si>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</si>
  <si>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</si>
  <si>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</si>
  <si>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</si>
  <si>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</si>
  <si>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</si>
  <si>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</si>
  <si>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</si>
  <si>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</si>
  <si>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</si>
  <si>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</si>
  <si>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</si>
  <si>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</si>
  <si>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</si>
  <si>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</si>
  <si>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</si>
  <si>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</si>
  <si>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</si>
  <si>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</si>
  <si>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</si>
  <si>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</si>
  <si>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</si>
  <si>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</si>
  <si>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</si>
  <si>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</si>
  <si>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</si>
  <si>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</si>
  <si>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</si>
  <si>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</si>
  <si>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</si>
  <si>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</si>
  <si>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</si>
  <si>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</si>
  <si>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</si>
  <si>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</si>
  <si>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</si>
  <si>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</si>
  <si>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</si>
  <si>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</si>
  <si>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</si>
  <si>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</si>
  <si>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</si>
  <si>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</si>
  <si>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</si>
  <si>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</si>
  <si>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</si>
  <si>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</si>
  <si>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</si>
  <si>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</si>
  <si>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</si>
  <si>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</si>
  <si>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</si>
  <si>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</si>
  <si>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</si>
  <si>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</si>
  <si>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</si>
  <si>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</si>
  <si>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</si>
  <si>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</si>
  <si>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</si>
  <si>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</si>
  <si>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VSME Digital Template</t>
  </si>
  <si>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</si>
  <si>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</si>
  <si>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</si>
  <si>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</si>
  <si>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</si>
  <si>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</si>
  <si>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</si>
  <si>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Option B (Basic Module and Comprehensive Module)</t>
  </si>
  <si>
    <t>m³ - cubic meters</t>
  </si>
  <si>
    <t>1.0.0</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</si>
  <si>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</si>
  <si>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</si>
  <si>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</si>
  <si>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</si>
  <si>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</si>
  <si>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</si>
  <si>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</si>
  <si>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</si>
  <si>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</si>
  <si>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</si>
  <si>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</si>
  <si>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</si>
  <si>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</si>
  <si>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</si>
  <si>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</si>
  <si>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</si>
  <si>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</si>
  <si>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</si>
  <si>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</si>
  <si>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</si>
  <si>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</si>
  <si>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</si>
  <si>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</si>
  <si>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</si>
  <si>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</si>
  <si>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</si>
  <si>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</si>
  <si>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</si>
  <si>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</si>
  <si>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</si>
  <si>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</si>
  <si>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</si>
  <si>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</si>
  <si>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</si>
  <si>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</si>
  <si>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</si>
  <si>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</si>
  <si>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</si>
  <si>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</si>
  <si>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</si>
  <si>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</si>
  <si>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</si>
  <si>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</si>
  <si>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</si>
  <si>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</si>
  <si>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</si>
  <si>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</si>
  <si>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</si>
  <si>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</si>
  <si>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</si>
  <si>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</si>
  <si>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</si>
  <si>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</si>
  <si>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</si>
  <si>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</si>
  <si>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</si>
  <si>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</si>
  <si>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</si>
  <si>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</si>
  <si>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</si>
  <si>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</si>
  <si>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</si>
  <si>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</si>
  <si>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</si>
  <si>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</si>
  <si>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</si>
  <si>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</si>
  <si>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</si>
  <si>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</si>
  <si>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</si>
  <si>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</si>
  <si>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</si>
  <si>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</si>
  <si>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</si>
  <si>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</si>
  <si>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a</t>
  </si>
  <si>
    <t>Sustainability report prepared on an individual basis</t>
  </si>
  <si>
    <t>NACE A - 01.11 Growing of cereals, other than rice, leguminous crops and oil seeds</t>
  </si>
  <si>
    <t>Headcount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</si>
</sst>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4"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sz val="11"/>
      <color rgb="FF006100"/>
      <name val="Aptos Narrow"/>
      <family val="2"/>
      <scheme val="minor"/>
    </font>
    <font>
      <sz val="11"/>
      <color rgb="FF9C0006"/>
      <name val="Aptos Narrow"/>
      <family val="2"/>
      <scheme val="minor"/>
    </font>
  </fonts>
  <fills count="24">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rgb="FFC6EFCE"/>
      </patternFill>
    </fill>
    <fill>
      <patternFill patternType="solid">
        <fgColor rgb="FFFFC7CE"/>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6">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xf numFmtId="0" fontId="42" fillId="22" borderId="0" applyNumberFormat="0" applyBorder="0" applyAlignment="0" applyProtection="0"/>
    <xf numFmtId="0" fontId="43" fillId="23" borderId="0" applyNumberFormat="0" applyBorder="0" applyAlignment="0" applyProtection="0"/>
  </cellStyleXfs>
  <cellXfs count="1096">
    <xf numFmtId="0" fontId="0" fillId="0" borderId="0" xfId="0"/>
    <xf numFmtId="0" fontId="0" fillId="0" borderId="1" xfId="0" applyBorder="1"/>
    <xf numFmtId="0" fontId="0" fillId="0" borderId="0" xfId="0" applyAlignment="1">
      <alignment wrapText="1"/>
    </xf>
    <xf numFmtId="0" fontId="0" fillId="0" borderId="0" xfId="0" applyAlignment="1">
      <alignment indent="1"/>
    </xf>
    <xf numFmtId="0" fontId="0" fillId="0" borderId="0" xfId="0" applyAlignment="1">
      <alignment indent="2"/>
    </xf>
    <xf numFmtId="0" fontId="0" fillId="0" borderId="0" xfId="0" applyAlignment="1">
      <alignment indent="3"/>
    </xf>
    <xf numFmtId="0" fontId="0" fillId="0" borderId="0" xfId="0" applyAlignment="1">
      <alignment indent="4"/>
    </xf>
    <xf numFmtId="0" fontId="0" fillId="0" borderId="0" xfId="0" applyAlignment="1">
      <alignment indent="5"/>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14" fillId="0" borderId="0" xfId="0" applyFont="1" applyAlignment="1">
      <alignment horizontal="center" vertical="center"/>
    </xf>
    <xf numFmtId="0" fontId="0" fillId="11" borderId="0" xfId="0" applyFill="1"/>
    <xf numFmtId="0" fontId="15" fillId="11" borderId="0" xfId="0" applyFont="1" applyFill="1"/>
    <xf numFmtId="0" fontId="16" fillId="0" borderId="0" xfId="0" applyFont="1"/>
    <xf numFmtId="0" fontId="15" fillId="0" borderId="0" xfId="0" applyFont="1"/>
    <xf numFmtId="0" fontId="2" fillId="7" borderId="0" xfId="0" applyFont="1" applyFill="1" applyAlignment="1">
      <alignment horizontal="center" vertical="center"/>
    </xf>
    <xf numFmtId="0" fontId="0" fillId="0" borderId="49" xfId="0" applyBorder="1"/>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0" fontId="18" fillId="0" borderId="0" xfId="0" applyFont="1"/>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0" fontId="22" fillId="11" borderId="0" xfId="0" applyFont="1" applyFill="1" applyAlignment="1">
      <alignment vertical="center" wrapText="1"/>
    </xf>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2" fontId="0" fillId="0" borderId="0" xfId="0" applyNumberFormat="1"/>
    <xf numFmtId="0" fontId="8" fillId="0" borderId="1" xfId="0" applyFont="1" applyBorder="1" applyAlignment="1">
      <alignment horizontal="center" vertical="center"/>
    </xf>
    <xf numFmtId="0" fontId="2" fillId="0" borderId="50" xfId="0" applyFont="1" applyBorder="1" applyAlignment="1">
      <alignment horizontal="center" vertical="center" wrapText="1"/>
    </xf>
    <xf numFmtId="2" fontId="0" fillId="13" borderId="14" xfId="0" applyNumberFormat="1" applyFill="1" applyBorder="1" applyAlignment="1">
      <alignment horizontal="center" vertical="center"/>
    </xf>
    <xf numFmtId="0" fontId="18" fillId="0" borderId="0" xfId="0" applyFont="1" applyAlignment="1">
      <alignment vertical="center"/>
    </xf>
    <xf numFmtId="0" fontId="18" fillId="0" borderId="0" xfId="0" applyFont="1" applyAlignment="1">
      <alignment vertical="center" wrapText="1"/>
    </xf>
    <xf numFmtId="0" fontId="18" fillId="0" borderId="0" xfId="0" applyFont="1" applyAlignment="1">
      <alignment horizontal="left"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 fillId="0" borderId="50" xfId="0" applyFont="1" applyBorder="1" applyAlignment="1">
      <alignment horizontal="left" vertical="center"/>
    </xf>
    <xf numFmtId="0" fontId="26" fillId="0" borderId="1" xfId="0" applyFont="1" applyBorder="1" applyAlignment="1">
      <alignment horizontal="center" vertical="center"/>
    </xf>
    <xf numFmtId="0" fontId="27" fillId="0" borderId="0" xfId="0" applyFont="1" applyAlignment="1">
      <alignment vertical="center"/>
    </xf>
    <xf numFmtId="0" fontId="27" fillId="12" borderId="2" xfId="0" applyFont="1" applyFill="1" applyBorder="1" applyAlignment="1">
      <alignment horizontal="lef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27" fillId="7" borderId="75" xfId="0" applyFont="1" applyFill="1" applyBorder="1"/>
    <xf numFmtId="0" fontId="0" fillId="0" borderId="11" xfId="0" applyBorder="1" applyAlignment="1" applyProtection="1">
      <alignment horizontal="left"/>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2" fontId="0" fillId="13" borderId="6" xfId="2" applyFont="1" applyFill="1" applyBorder="1" applyAlignment="1">
      <alignment horizontal="center" vertical="center"/>
    </xf>
    <xf numFmtId="0" fontId="4" fillId="7" borderId="83" xfId="0" applyFont="1" applyFill="1" applyBorder="1"/>
    <xf numFmtId="9" fontId="0" fillId="7" borderId="89" xfId="1" applyFont="1" applyFill="1" applyBorder="1" applyAlignment="1" applyProtection="1">
      <alignment horizontal="right"/>
    </xf>
    <xf numFmtId="9" fontId="0" fillId="13" borderId="11"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1" xfId="0" applyNumberFormat="1" applyFill="1" applyBorder="1" applyAlignment="1">
      <alignment horizontal="center" vertical="center"/>
    </xf>
    <xf numFmtId="2" fontId="0" fillId="13" borderId="44" xfId="0" applyNumberFormat="1" applyFill="1" applyBorder="1" applyAlignment="1">
      <alignment horizontal="center" vertical="center"/>
    </xf>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1" xfId="0" applyFill="1" applyBorder="1" applyAlignment="1" applyProtection="1">
      <alignment horizontal="center"/>
      <protection locked="0"/>
    </xf>
    <xf numFmtId="2" fontId="0" fillId="6" borderId="1" xfId="0" applyNumberFormat="1" applyFill="1" applyBorder="1" applyProtection="1">
      <protection locked="0"/>
    </xf>
    <xf numFmtId="2" fontId="0" fillId="6" borderId="11" xfId="0" applyNumberFormat="1" applyFill="1" applyBorder="1" applyProtection="1">
      <protection locked="0"/>
    </xf>
    <xf numFmtId="2" fontId="0" fillId="6" borderId="20" xfId="0" applyNumberFormat="1" applyFill="1" applyBorder="1" applyProtection="1">
      <protection locked="0"/>
    </xf>
    <xf numFmtId="2" fontId="0" fillId="6" borderId="14" xfId="0" applyNumberFormat="1" applyFill="1" applyBorder="1" applyProtection="1">
      <protection locked="0"/>
    </xf>
    <xf numFmtId="2" fontId="0" fillId="6" borderId="6" xfId="0" applyNumberFormat="1" applyFill="1" applyBorder="1" applyProtection="1">
      <protection locked="0"/>
    </xf>
    <xf numFmtId="2" fontId="0" fillId="6" borderId="44" xfId="0" applyNumberFormat="1" applyFill="1" applyBorder="1" applyProtection="1">
      <protection locked="0"/>
    </xf>
    <xf numFmtId="2" fontId="0" fillId="6" borderId="51" xfId="0" applyNumberFormat="1" applyFill="1" applyBorder="1" applyProtection="1">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2" fontId="0" fillId="0" borderId="20" xfId="0" applyNumberFormat="1" applyBorder="1" applyAlignment="1" applyProtection="1">
      <alignment horizontal="center"/>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6" borderId="11" xfId="0" applyNumberFormat="1" applyFill="1" applyBorder="1" applyAlignment="1" applyProtection="1">
      <alignment vertical="center"/>
      <protection locked="0"/>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7" borderId="49" xfId="0" applyFill="1" applyBorder="1" applyProtection="1">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17" borderId="6" xfId="0" applyNumberFormat="1" applyFill="1" applyBorder="1" applyProtection="1">
      <protection locked="0"/>
    </xf>
    <xf numFmtId="2" fontId="0" fillId="17" borderId="43" xfId="0" applyNumberFormat="1" applyFill="1" applyBorder="1" applyProtection="1">
      <protection locked="0"/>
    </xf>
    <xf numFmtId="0" fontId="0" fillId="7" borderId="10" xfId="0" applyFill="1" applyBorder="1" applyProtection="1">
      <protection locked="0"/>
    </xf>
    <xf numFmtId="2" fontId="0" fillId="0" borderId="1" xfId="0" applyNumberFormat="1" applyBorder="1" applyAlignment="1" applyProtection="1">
      <alignment horizontal="right"/>
      <protection locked="0"/>
    </xf>
    <xf numFmtId="2" fontId="0" fillId="17" borderId="2" xfId="0" applyNumberFormat="1" applyFill="1" applyBorder="1" applyProtection="1">
      <protection locked="0"/>
    </xf>
    <xf numFmtId="2" fontId="21" fillId="17" borderId="2" xfId="0" applyNumberFormat="1" applyFont="1" applyFill="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2" fillId="17" borderId="2" xfId="0" applyNumberFormat="1" applyFont="1" applyFill="1" applyBorder="1" applyProtection="1">
      <protection locked="0"/>
    </xf>
    <xf numFmtId="0" fontId="9" fillId="7" borderId="10" xfId="0" applyFont="1" applyFill="1" applyBorder="1" applyProtection="1">
      <protection locked="0"/>
    </xf>
    <xf numFmtId="0" fontId="0" fillId="7" borderId="52" xfId="0" applyFill="1" applyBorder="1" applyProtection="1">
      <protection locked="0"/>
    </xf>
    <xf numFmtId="2" fontId="0" fillId="0" borderId="48" xfId="0" applyNumberFormat="1" applyBorder="1" applyAlignment="1" applyProtection="1">
      <alignment horizontal="right"/>
      <protection locked="0"/>
    </xf>
    <xf numFmtId="2" fontId="0" fillId="17" borderId="48" xfId="0" applyNumberFormat="1" applyFill="1" applyBorder="1" applyProtection="1">
      <protection locked="0"/>
    </xf>
    <xf numFmtId="2" fontId="0" fillId="17" borderId="46" xfId="0" applyNumberFormat="1" applyFill="1" applyBorder="1" applyProtection="1">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0" borderId="20" xfId="0" applyNumberFormat="1" applyBorder="1" applyAlignment="1" applyProtection="1">
      <alignment horizontal="center" vertical="center"/>
      <protection locked="0"/>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Alignment="1" applyProtection="1">
      <alignment horizontal="center" vertical="center"/>
      <protection locked="0"/>
    </xf>
    <xf numFmtId="2" fontId="0" fillId="0" borderId="6" xfId="0" applyNumberFormat="1" applyBorder="1" applyAlignment="1" applyProtection="1">
      <alignment horizontal="center" vertical="center"/>
      <protection locked="0"/>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10" fillId="19" borderId="7" xfId="0" applyFont="1" applyFill="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0" fontId="0" fillId="19" borderId="56" xfId="0" applyFill="1" applyBorder="1" applyAlignment="1">
      <alignment horizontal="center" vertical="center" wrapText="1"/>
      <extLst>
        <ext xmlns:xfpb="http://schemas.microsoft.com/office/spreadsheetml/2022/featurepropertybag" uri="{C7286773-470A-42A8-94C5-96B5CB345126}">
          <xfpb:xfComplement i="0"/>
        </ext>
      </extLst>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0" fillId="7" borderId="26" xfId="0" applyFill="1" applyBorder="1" applyAlignment="1">
      <alignment horizontal="center"/>
    </xf>
    <xf numFmtId="2" fontId="0" fillId="20" borderId="11" xfId="0" applyNumberFormat="1" applyFill="1" applyBorder="1" applyAlignment="1" applyProtection="1">
      <alignment horizontal="center"/>
      <protection locked="0"/>
    </xf>
    <xf numFmtId="0" fontId="0" fillId="0" borderId="26" xfId="0" applyBorder="1" applyAlignment="1">
      <alignment horizontal="center"/>
    </xf>
    <xf numFmtId="2" fontId="0" fillId="6" borderId="1" xfId="0" applyNumberFormat="1" applyFill="1" applyBorder="1" applyAlignment="1" applyProtection="1">
      <alignment horizontal="center"/>
      <protection locked="0"/>
    </xf>
    <xf numFmtId="2" fontId="0" fillId="13" borderId="20" xfId="0" applyNumberFormat="1" applyFill="1" applyBorder="1" applyAlignment="1">
      <alignment horizontal="center" vertical="center"/>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0" fontId="6" fillId="0" borderId="0" xfId="3"/>
    <xf numFmtId="0" fontId="9" fillId="7" borderId="52" xfId="3" quotePrefix="1" applyFont="1" applyFill="1" applyBorder="1" applyAlignment="1">
      <alignment horizontal="left"/>
    </xf>
    <xf numFmtId="0" fontId="6" fillId="7" borderId="5" xfId="3" quotePrefix="1" applyFill="1" applyBorder="1" applyAlignment="1">
      <alignment horizontal="left"/>
    </xf>
    <xf numFmtId="0" fontId="6" fillId="7" borderId="47" xfId="3" quotePrefix="1" applyFill="1" applyBorder="1" applyAlignment="1">
      <alignment horizontal="left"/>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2" fillId="7" borderId="85" xfId="0" applyFont="1" applyFill="1" applyBorder="1" applyAlignment="1">
      <alignment horizontal="center" vertical="center"/>
    </xf>
    <xf numFmtId="0" fontId="2" fillId="7" borderId="44" xfId="0" applyFont="1" applyFill="1" applyBorder="1" applyAlignment="1">
      <alignment horizontal="center" vertical="center"/>
    </xf>
    <xf numFmtId="0" fontId="2" fillId="7" borderId="58" xfId="0" applyFont="1" applyFill="1" applyBorder="1" applyAlignment="1">
      <alignment horizontal="center" vertical="center"/>
    </xf>
    <xf numFmtId="0" fontId="2" fillId="0" borderId="85" xfId="0" applyFont="1" applyBorder="1" applyAlignment="1">
      <alignment horizontal="center" vertical="center"/>
    </xf>
    <xf numFmtId="0" fontId="2" fillId="6" borderId="51" xfId="0" applyFont="1" applyFill="1" applyBorder="1" applyAlignment="1">
      <alignment horizontal="center" vertical="center"/>
    </xf>
    <xf numFmtId="0" fontId="2" fillId="6" borderId="85" xfId="0" applyFont="1" applyFill="1" applyBorder="1" applyAlignment="1">
      <alignment horizontal="center" vertical="center"/>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55" xfId="0" applyFont="1" applyBorder="1" applyAlignment="1">
      <alignment horizontal="center" vertical="center"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6" fillId="7" borderId="25" xfId="3" quotePrefix="1" applyFill="1" applyBorder="1" applyAlignment="1">
      <alignment wrapText="1"/>
    </xf>
    <xf numFmtId="0" fontId="6" fillId="7" borderId="25" xfId="3" applyFill="1" applyBorder="1" applyAlignment="1">
      <alignment wrapText="1"/>
    </xf>
    <xf numFmtId="0" fontId="6" fillId="7" borderId="90" xfId="3" applyFill="1" applyBorder="1" applyAlignment="1">
      <alignment wrapText="1"/>
    </xf>
    <xf numFmtId="0" fontId="6" fillId="7" borderId="90" xfId="3" quotePrefix="1" applyFill="1" applyBorder="1" applyAlignment="1">
      <alignment wrapText="1"/>
    </xf>
    <xf numFmtId="0" fontId="6" fillId="7" borderId="30" xfId="3" quotePrefix="1" applyFill="1" applyBorder="1" applyAlignment="1">
      <alignment wrapText="1"/>
    </xf>
    <xf numFmtId="0" fontId="6" fillId="7" borderId="45" xfId="3" quotePrefix="1" applyFill="1" applyBorder="1" applyAlignment="1">
      <alignment wrapText="1"/>
    </xf>
    <xf numFmtId="0" fontId="27" fillId="21" borderId="2" xfId="0" applyFont="1" applyFill="1" applyBorder="1" applyAlignment="1">
      <alignment horizontal="left" vertical="center"/>
    </xf>
    <xf numFmtId="0" fontId="7" fillId="7" borderId="39" xfId="3" applyFont="1" applyFill="1" applyBorder="1" applyAlignment="1">
      <alignment wrapText="1"/>
    </xf>
    <xf numFmtId="0" fontId="7" fillId="7" borderId="25" xfId="3" applyFont="1" applyFill="1" applyBorder="1" applyAlignment="1">
      <alignment wrapText="1"/>
    </xf>
    <xf numFmtId="0" fontId="7" fillId="7" borderId="39" xfId="3" applyFont="1" applyFill="1" applyBorder="1"/>
    <xf numFmtId="0" fontId="38" fillId="7" borderId="25" xfId="0" applyFont="1" applyFill="1" applyBorder="1" applyAlignment="1">
      <alignment wrapText="1"/>
    </xf>
    <xf numFmtId="0" fontId="0" fillId="7" borderId="67" xfId="0" applyFill="1" applyBorder="1"/>
    <xf numFmtId="0" fontId="0" fillId="7" borderId="92" xfId="0" applyFill="1" applyBorder="1"/>
    <xf numFmtId="0" fontId="0" fillId="7" borderId="74" xfId="0" applyFill="1" applyBorder="1"/>
    <xf numFmtId="0" fontId="7" fillId="7" borderId="25" xfId="3" quotePrefix="1" applyFont="1" applyFill="1" applyBorder="1" applyAlignment="1">
      <alignment wrapText="1"/>
    </xf>
    <xf numFmtId="0" fontId="6" fillId="7" borderId="49" xfId="3" quotePrefix="1" applyFill="1" applyBorder="1" applyAlignment="1">
      <alignment wrapText="1"/>
    </xf>
    <xf numFmtId="14" fontId="16" fillId="0" borderId="0" xfId="0" applyNumberFormat="1" applyFont="1" applyAlignment="1">
      <alignment horizontal="left"/>
    </xf>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11" borderId="46" xfId="0" applyFont="1" applyFill="1" applyBorder="1"/>
    <xf numFmtId="0" fontId="18" fillId="0" borderId="5" xfId="0" applyFont="1" applyBorder="1"/>
    <xf numFmtId="0" fontId="18" fillId="0" borderId="53" xfId="0" applyFont="1" applyBorder="1"/>
    <xf numFmtId="0" fontId="19" fillId="11" borderId="0" xfId="0" applyFont="1" applyFill="1" applyAlignment="1">
      <alignment horizontal="left" vertical="center" wrapText="1"/>
    </xf>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2" fillId="0" borderId="1" xfId="0" applyFont="1" applyBorder="1" applyAlignment="1" applyProtection="1">
      <alignment horizontal="center" wrapText="1"/>
      <protection locked="0"/>
    </xf>
    <xf numFmtId="0" fontId="42" fillId="22" borderId="11" xfId="4" applyBorder="1" applyAlignment="1" applyProtection="1">
      <alignment vertical="center"/>
      <protection locked="0"/>
      <extLst>
        <ext xmlns:xfpb="http://schemas.microsoft.com/office/spreadsheetml/2022/featurepropertybag" uri="{C7286773-470A-42A8-94C5-96B5CB345126}">
          <xfpb:xfComplement i="0"/>
        </ext>
      </extLst>
    </xf>
    <xf numFmtId="0" fontId="42" fillId="22" borderId="11" xfId="4" applyBorder="1" applyAlignment="1" applyProtection="1">
      <alignment horizontal="center" vertical="center" wrapText="1"/>
      <protection locked="0"/>
    </xf>
    <xf numFmtId="0" fontId="42" fillId="22" borderId="11" xfId="4" applyBorder="1" applyAlignment="1" applyProtection="1">
      <alignment horizontal="right" vertical="center" wrapText="1"/>
      <protection locked="0"/>
    </xf>
    <xf numFmtId="0" fontId="42" fillId="22" borderId="14" xfId="4" applyBorder="1" applyAlignment="1" applyProtection="1">
      <alignment vertical="top"/>
      <protection locked="0"/>
    </xf>
    <xf numFmtId="2" fontId="42" fillId="22" borderId="11" xfId="4" applyNumberFormat="1" applyBorder="1" applyAlignment="1" applyProtection="1">
      <alignment horizontal="right" wrapText="1"/>
      <protection locked="0"/>
    </xf>
    <xf numFmtId="2" fontId="42" fillId="22" borderId="11" xfId="4" applyNumberFormat="1" applyBorder="1" applyAlignment="1" applyProtection="1">
      <alignment horizontal="right"/>
      <protection locked="0"/>
    </xf>
    <xf numFmtId="0" fontId="42" fillId="22" borderId="11" xfId="4" applyBorder="1" applyAlignment="1" applyProtection="1">
      <alignment horizontal="right" wrapText="1"/>
      <protection locked="0"/>
    </xf>
    <xf numFmtId="0" fontId="42" fillId="22" borderId="14" xfId="4" applyBorder="1" applyAlignment="1" applyProtection="1">
      <alignment horizontal="right" wrapText="1"/>
      <protection locked="0"/>
    </xf>
    <xf numFmtId="0" fontId="42" fillId="22" borderId="19" xfId="4" applyBorder="1"/>
    <xf numFmtId="0" fontId="42" fillId="22" borderId="20" xfId="4" applyBorder="1" applyProtection="1">
      <protection locked="0"/>
    </xf>
    <xf numFmtId="0" fontId="42" fillId="22" borderId="14" xfId="4" applyBorder="1" applyProtection="1">
      <protection locked="0"/>
    </xf>
    <xf numFmtId="0" fontId="42" fillId="22" borderId="1" xfId="4" applyBorder="1" applyProtection="1">
      <protection locked="0"/>
    </xf>
    <xf numFmtId="49" fontId="42" fillId="22" borderId="1" xfId="4" applyNumberFormat="1" applyBorder="1" applyAlignment="1" applyProtection="1">
      <alignment horizontal="left"/>
      <protection locked="0"/>
    </xf>
    <xf numFmtId="0" fontId="42" fillId="22" borderId="2" xfId="4" applyBorder="1" applyAlignment="1" applyProtection="1">
      <alignment wrapText="1"/>
      <protection locked="0"/>
    </xf>
    <xf numFmtId="0" fontId="42" fillId="22" borderId="21" xfId="4" applyBorder="1" applyAlignment="1" applyProtection="1">
      <alignment horizontal="center" wrapText="1"/>
      <protection locked="0"/>
    </xf>
    <xf numFmtId="0" fontId="43" fillId="23" borderId="13" xfId="5"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3" fillId="23" borderId="20" xfId="5"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3" fillId="23" borderId="1" xfId="5" applyBorder="1" applyAlignment="1">
      <alignment horizontal="center" vertical="center" wrapText="1"/>
    </xf>
    <xf numFmtId="0" fontId="43" fillId="23" borderId="11" xfId="5" applyBorder="1" applyAlignment="1">
      <alignment horizontal="left" vertical="top"/>
    </xf>
    <xf numFmtId="0" fontId="43" fillId="23" borderId="14" xfId="5" applyBorder="1" applyAlignment="1">
      <alignment horizontal="left" vertical="top"/>
    </xf>
    <xf numFmtId="0" fontId="43" fillId="23" borderId="18" xfId="5" applyBorder="1" applyAlignment="1">
      <alignment horizontal="left" wrapText="1"/>
    </xf>
    <xf numFmtId="0" fontId="43" fillId="23" borderId="19" xfId="5" applyBorder="1" applyAlignment="1">
      <alignment wrapText="1"/>
    </xf>
    <xf numFmtId="2" fontId="42" fillId="22" borderId="1" xfId="4" applyNumberFormat="1" applyBorder="1" applyAlignment="1" applyProtection="1">
      <alignment horizontal="center" vertical="center"/>
      <protection locked="0"/>
    </xf>
    <xf numFmtId="2" fontId="42" fillId="22" borderId="1" xfId="4" applyNumberFormat="1" applyBorder="1" applyProtection="1">
      <protection locked="0"/>
    </xf>
    <xf numFmtId="2" fontId="42" fillId="22" borderId="11" xfId="4" applyNumberFormat="1" applyBorder="1" applyProtection="1">
      <protection locked="0"/>
    </xf>
    <xf numFmtId="0" fontId="42" fillId="22" borderId="1" xfId="4" applyBorder="1" applyProtection="1">
      <protection locked="0"/>
      <extLst>
        <ext xmlns:xfpb="http://schemas.microsoft.com/office/spreadsheetml/2022/featurepropertybag" uri="{C7286773-470A-42A8-94C5-96B5CB345126}">
          <xfpb:xfComplement i="0"/>
        </ext>
      </extLst>
    </xf>
    <xf numFmtId="0" fontId="42" fillId="22" borderId="11" xfId="4" applyBorder="1" applyProtection="1">
      <protection locked="0"/>
      <extLst>
        <ext xmlns:xfpb="http://schemas.microsoft.com/office/spreadsheetml/2022/featurepropertybag" uri="{C7286773-470A-42A8-94C5-96B5CB345126}">
          <xfpb:xfComplement i="0"/>
        </ext>
      </extLst>
    </xf>
    <xf numFmtId="2" fontId="42" fillId="22" borderId="11" xfId="4" applyNumberFormat="1" applyBorder="1" applyAlignment="1" applyProtection="1">
      <alignment horizontal="center" vertical="center"/>
      <protection locked="0"/>
    </xf>
    <xf numFmtId="2" fontId="42" fillId="22" borderId="1" xfId="4" applyNumberFormat="1" applyBorder="1" applyAlignment="1" applyProtection="1">
      <alignment horizontal="center" vertical="center" wrapText="1"/>
      <protection locked="0"/>
    </xf>
    <xf numFmtId="2" fontId="42" fillId="22" borderId="5" xfId="4" applyNumberFormat="1" applyBorder="1" applyAlignment="1" applyProtection="1">
      <alignment horizontal="center" vertical="center" wrapText="1"/>
      <protection locked="0"/>
    </xf>
    <xf numFmtId="2" fontId="42" fillId="22" borderId="51" xfId="4" applyNumberFormat="1" applyBorder="1" applyAlignment="1">
      <alignment horizontal="center" vertical="center"/>
    </xf>
    <xf numFmtId="0" fontId="42" fillId="22" borderId="1" xfId="4" applyBorder="1" applyAlignment="1" applyProtection="1">
      <alignment horizontal="center" vertical="center"/>
      <protection locked="0"/>
    </xf>
    <xf numFmtId="0" fontId="42" fillId="22" borderId="11" xfId="4" applyBorder="1" applyAlignment="1" applyProtection="1">
      <alignment horizontal="center"/>
      <protection locked="0"/>
    </xf>
    <xf numFmtId="2" fontId="42" fillId="22" borderId="44" xfId="4" applyNumberFormat="1" applyBorder="1" applyAlignment="1" applyProtection="1">
      <alignment horizontal="center" vertical="center"/>
      <protection locked="0"/>
    </xf>
    <xf numFmtId="2" fontId="42" fillId="22" borderId="58" xfId="4" applyNumberFormat="1" applyBorder="1" applyAlignment="1">
      <alignment horizontal="center" vertical="center"/>
    </xf>
    <xf numFmtId="0" fontId="42" fillId="22" borderId="14" xfId="4" applyBorder="1" applyAlignment="1">
      <alignment horizontal="center" vertical="center"/>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42" fillId="22" borderId="48" xfId="4" applyBorder="1" applyAlignment="1">
      <alignment horizontal="center" vertical="center" wrapText="1"/>
    </xf>
    <xf numFmtId="0" fontId="42" fillId="22" borderId="6" xfId="4" applyBorder="1" applyAlignment="1">
      <alignment horizontal="center" vertical="center" wrapText="1"/>
    </xf>
    <xf numFmtId="0" fontId="42" fillId="22" borderId="51" xfId="4" applyBorder="1" applyAlignment="1">
      <alignment horizontal="center" vertical="center" wrapText="1"/>
    </xf>
    <xf numFmtId="0" fontId="42" fillId="22" borderId="44" xfId="4"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48" xfId="0" applyBorder="1" applyAlignment="1">
      <alignment horizontal="center" vertical="center" wrapText="1"/>
    </xf>
    <xf numFmtId="0" fontId="0" fillId="0" borderId="50" xfId="0" applyBorder="1" applyAlignment="1">
      <alignment horizontal="center" vertical="center" wrapText="1"/>
    </xf>
    <xf numFmtId="0" fontId="0" fillId="0" borderId="6"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42" fillId="22" borderId="2" xfId="4" applyBorder="1" applyAlignment="1" applyProtection="1">
      <alignment horizontal="left" vertical="top" wrapText="1"/>
      <protection locked="0"/>
    </xf>
    <xf numFmtId="0" fontId="42" fillId="22" borderId="3" xfId="4" applyBorder="1" applyAlignment="1" applyProtection="1">
      <alignment horizontal="left" vertical="top" wrapText="1"/>
      <protection locked="0"/>
    </xf>
    <xf numFmtId="0" fontId="42" fillId="22" borderId="21" xfId="4" applyBorder="1" applyAlignment="1" applyProtection="1">
      <alignment horizontal="left" vertical="top" wrapText="1"/>
      <protection locked="0"/>
    </xf>
    <xf numFmtId="0" fontId="42" fillId="22" borderId="1" xfId="4" applyBorder="1" applyAlignment="1" applyProtection="1">
      <alignment horizontal="left" vertical="top" wrapText="1"/>
      <protection locked="0"/>
    </xf>
    <xf numFmtId="0" fontId="42" fillId="22" borderId="11" xfId="4" applyBorder="1" applyAlignment="1" applyProtection="1">
      <alignment horizontal="left" vertical="top" wrapText="1"/>
      <protection locked="0"/>
    </xf>
    <xf numFmtId="0" fontId="42" fillId="22" borderId="20" xfId="4" applyBorder="1" applyAlignment="1" applyProtection="1">
      <alignment horizontal="left" vertical="top" wrapText="1"/>
      <protection locked="0"/>
    </xf>
    <xf numFmtId="0" fontId="42" fillId="22" borderId="14" xfId="4"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42" fillId="22" borderId="37" xfId="4" applyBorder="1" applyAlignment="1" applyProtection="1">
      <alignment horizontal="left" vertical="top" wrapText="1"/>
      <protection locked="0"/>
    </xf>
    <xf numFmtId="0" fontId="42" fillId="22" borderId="27" xfId="4" applyBorder="1" applyAlignment="1" applyProtection="1">
      <alignment horizontal="left" vertical="top" wrapText="1"/>
      <protection locked="0"/>
    </xf>
    <xf numFmtId="0" fontId="42" fillId="22" borderId="36" xfId="4"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0" fontId="1" fillId="13" borderId="20" xfId="2" applyNumberFormat="1" applyFill="1" applyBorder="1" applyAlignment="1">
      <alignment horizontal="center" vertical="center"/>
    </xf>
    <xf numFmtId="0"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42" fillId="22" borderId="2" xfId="4" applyBorder="1" applyAlignment="1" applyProtection="1">
      <alignment horizontal="left" vertical="center" wrapText="1"/>
      <protection locked="0"/>
    </xf>
    <xf numFmtId="0" fontId="42" fillId="22" borderId="3" xfId="4" applyBorder="1" applyAlignment="1" applyProtection="1">
      <alignment horizontal="left" vertical="center" wrapText="1"/>
      <protection locked="0"/>
    </xf>
    <xf numFmtId="0" fontId="42" fillId="22" borderId="21" xfId="4" applyBorder="1" applyAlignment="1" applyProtection="1">
      <alignment horizontal="left" vertical="center" wrapText="1"/>
      <protection locked="0"/>
    </xf>
    <xf numFmtId="0" fontId="42" fillId="22" borderId="37" xfId="4" applyBorder="1" applyAlignment="1" applyProtection="1">
      <alignment horizontal="left" vertical="center" wrapText="1"/>
      <protection locked="0"/>
    </xf>
    <xf numFmtId="0" fontId="42" fillId="22" borderId="27" xfId="4" applyBorder="1" applyAlignment="1" applyProtection="1">
      <alignment horizontal="left" vertical="center" wrapText="1"/>
      <protection locked="0"/>
    </xf>
    <xf numFmtId="0" fontId="42" fillId="22" borderId="36" xfId="4" applyBorder="1" applyAlignment="1" applyProtection="1">
      <alignment horizontal="left" vertical="center" wrapText="1"/>
      <protection locked="0"/>
    </xf>
    <xf numFmtId="0" fontId="2" fillId="0" borderId="25" xfId="0" applyFont="1" applyBorder="1" applyAlignment="1">
      <alignment horizontal="center" vertical="center"/>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42" fillId="22" borderId="2" xfId="4" applyNumberFormat="1" applyBorder="1" applyAlignment="1" applyProtection="1">
      <alignment horizontal="center"/>
      <protection locked="0"/>
    </xf>
    <xf numFmtId="2" fontId="42" fillId="22" borderId="3" xfId="4" applyNumberFormat="1" applyBorder="1" applyAlignment="1" applyProtection="1">
      <alignment horizontal="center"/>
      <protection locked="0"/>
    </xf>
    <xf numFmtId="2" fontId="42" fillId="22" borderId="4" xfId="4" applyNumberFormat="1" applyBorder="1" applyAlignment="1" applyProtection="1">
      <alignment horizontal="center"/>
      <protection locked="0"/>
    </xf>
    <xf numFmtId="2" fontId="0" fillId="6" borderId="2" xfId="0" applyNumberFormat="1" applyFill="1" applyBorder="1" applyAlignment="1" applyProtection="1">
      <alignment horizontal="center"/>
      <protection locked="0"/>
    </xf>
    <xf numFmtId="2" fontId="0" fillId="6" borderId="3" xfId="0" applyNumberFormat="1" applyFill="1" applyBorder="1" applyAlignment="1" applyProtection="1">
      <alignment horizontal="center"/>
      <protection locked="0"/>
    </xf>
    <xf numFmtId="2" fontId="0" fillId="6" borderId="4" xfId="0" applyNumberFormat="1" applyFill="1" applyBorder="1" applyAlignment="1" applyProtection="1">
      <alignment horizontal="center"/>
      <protection locked="0"/>
    </xf>
    <xf numFmtId="2" fontId="0" fillId="6" borderId="1" xfId="0" applyNumberFormat="1" applyFill="1" applyBorder="1" applyAlignment="1" applyProtection="1">
      <alignment horizontal="center"/>
      <protection locked="0"/>
    </xf>
    <xf numFmtId="2" fontId="0" fillId="6" borderId="37" xfId="0" applyNumberFormat="1" applyFill="1" applyBorder="1" applyAlignment="1" applyProtection="1">
      <alignment horizontal="center"/>
      <protection locked="0"/>
    </xf>
    <xf numFmtId="2" fontId="0" fillId="6" borderId="27" xfId="0" applyNumberFormat="1" applyFill="1" applyBorder="1" applyAlignment="1" applyProtection="1">
      <alignment horizontal="center"/>
      <protection locked="0"/>
    </xf>
    <xf numFmtId="2" fontId="0" fillId="6" borderId="13" xfId="0" applyNumberFormat="1" applyFill="1" applyBorder="1" applyAlignment="1" applyProtection="1">
      <alignment horizontal="center"/>
      <protection locked="0"/>
    </xf>
    <xf numFmtId="2" fontId="0" fillId="6" borderId="6" xfId="0" applyNumberFormat="1" applyFill="1" applyBorder="1" applyAlignment="1" applyProtection="1">
      <alignment horizontal="center"/>
      <protection locked="0"/>
    </xf>
    <xf numFmtId="0" fontId="42" fillId="22" borderId="1" xfId="4" applyBorder="1" applyAlignment="1" applyProtection="1">
      <alignment horizontal="center"/>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42" fillId="22" borderId="2" xfId="4" applyNumberFormat="1" applyBorder="1" applyAlignment="1">
      <alignment horizontal="center"/>
    </xf>
    <xf numFmtId="170" fontId="42" fillId="22" borderId="3" xfId="4" applyNumberFormat="1" applyBorder="1" applyAlignment="1">
      <alignment horizontal="center"/>
    </xf>
    <xf numFmtId="170" fontId="42" fillId="22" borderId="21" xfId="4" applyNumberFormat="1" applyBorder="1" applyAlignment="1">
      <alignment horizontal="center"/>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2" fontId="42" fillId="22" borderId="2" xfId="4" applyNumberFormat="1" applyBorder="1" applyAlignment="1" applyProtection="1">
      <alignment horizontal="center" vertical="center"/>
      <protection locked="0"/>
    </xf>
    <xf numFmtId="2" fontId="42" fillId="22" borderId="3" xfId="4" applyNumberFormat="1" applyBorder="1" applyAlignment="1" applyProtection="1">
      <alignment horizontal="center" vertical="center"/>
      <protection locked="0"/>
    </xf>
    <xf numFmtId="2" fontId="42" fillId="22" borderId="4" xfId="4" applyNumberFormat="1" applyBorder="1" applyAlignment="1" applyProtection="1">
      <alignment horizontal="center" vertical="center"/>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42" fillId="22" borderId="37" xfId="4" applyNumberFormat="1" applyBorder="1" applyAlignment="1" applyProtection="1">
      <alignment horizontal="center" vertical="center"/>
      <protection locked="0"/>
    </xf>
    <xf numFmtId="2" fontId="42" fillId="22" borderId="27" xfId="4" applyNumberFormat="1" applyBorder="1" applyAlignment="1" applyProtection="1">
      <alignment horizontal="center" vertical="center"/>
      <protection locked="0"/>
    </xf>
    <xf numFmtId="2" fontId="42" fillId="22" borderId="13" xfId="4" applyNumberFormat="1" applyBorder="1" applyAlignment="1" applyProtection="1">
      <alignment horizontal="center"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42" fillId="22" borderId="37" xfId="4" applyNumberFormat="1" applyBorder="1" applyAlignment="1" applyProtection="1">
      <alignment horizontal="center"/>
      <protection locked="0"/>
    </xf>
    <xf numFmtId="2" fontId="42" fillId="22" borderId="27" xfId="4" applyNumberFormat="1" applyBorder="1" applyAlignment="1" applyProtection="1">
      <alignment horizontal="center"/>
      <protection locked="0"/>
    </xf>
    <xf numFmtId="2" fontId="42" fillId="22" borderId="36" xfId="4" applyNumberFormat="1" applyBorder="1" applyAlignment="1" applyProtection="1">
      <alignment horizontal="center"/>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42" fillId="22" borderId="1" xfId="4" applyBorder="1" applyAlignment="1" applyProtection="1">
      <alignment horizontal="center" vertical="center" wrapText="1"/>
      <protection locked="0"/>
    </xf>
    <xf numFmtId="0" fontId="42" fillId="22" borderId="2" xfId="4" applyBorder="1" applyAlignment="1" applyProtection="1">
      <alignment horizontal="center" vertical="center" wrapText="1"/>
      <protection locked="0"/>
    </xf>
    <xf numFmtId="0" fontId="42" fillId="22" borderId="11" xfId="4"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center" wrapText="1"/>
      <protection locked="0"/>
    </xf>
    <xf numFmtId="2" fontId="0" fillId="6" borderId="27" xfId="0" applyNumberFormat="1" applyFill="1" applyBorder="1" applyAlignment="1" applyProtection="1">
      <alignment horizontal="center" wrapText="1"/>
      <protection locked="0"/>
    </xf>
    <xf numFmtId="2" fontId="0" fillId="6" borderId="13" xfId="0" applyNumberFormat="1" applyFill="1" applyBorder="1" applyAlignment="1" applyProtection="1">
      <alignment horizontal="center" wrapText="1"/>
      <protection locked="0"/>
    </xf>
    <xf numFmtId="0" fontId="6" fillId="0" borderId="12" xfId="3" applyBorder="1" applyAlignment="1" applyProtection="1">
      <alignment horizontal="left"/>
    </xf>
    <xf numFmtId="0" fontId="6" fillId="0" borderId="27" xfId="3" applyBorder="1" applyAlignment="1" applyProtection="1">
      <alignment horizontal="left"/>
    </xf>
    <xf numFmtId="0" fontId="6" fillId="0" borderId="13" xfId="3" applyBorder="1" applyAlignment="1" applyProtection="1">
      <alignment horizontal="left"/>
    </xf>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14" fontId="2" fillId="13" borderId="48" xfId="2" applyNumberFormat="1" applyFont="1" applyFill="1" applyBorder="1" applyAlignment="1">
      <alignment horizontal="center"/>
    </xf>
    <xf numFmtId="14"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42" fillId="22" borderId="20" xfId="4" applyNumberFormat="1" applyBorder="1" applyAlignment="1">
      <alignment horizontal="center"/>
    </xf>
    <xf numFmtId="2" fontId="42" fillId="22" borderId="37" xfId="4" applyNumberFormat="1" applyBorder="1" applyAlignment="1">
      <alignment horizontal="center"/>
    </xf>
    <xf numFmtId="2" fontId="43" fillId="23" borderId="2" xfId="5" applyNumberFormat="1" applyBorder="1" applyAlignment="1" applyProtection="1">
      <alignment horizontal="center" vertical="center"/>
      <protection locked="0"/>
    </xf>
    <xf numFmtId="2" fontId="43" fillId="23" borderId="3" xfId="5" applyNumberFormat="1" applyBorder="1" applyAlignment="1" applyProtection="1">
      <alignment horizontal="center" vertical="center"/>
      <protection locked="0"/>
    </xf>
    <xf numFmtId="2" fontId="43" fillId="23" borderId="4" xfId="5" applyNumberFormat="1" applyBorder="1" applyAlignment="1" applyProtection="1">
      <alignment horizontal="center" vertical="center"/>
      <protection locked="0"/>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42" fillId="22" borderId="2" xfId="4" applyNumberFormat="1" applyBorder="1" applyAlignment="1">
      <alignment horizontal="center"/>
    </xf>
    <xf numFmtId="2" fontId="42" fillId="22" borderId="3" xfId="4" applyNumberFormat="1" applyBorder="1" applyAlignment="1">
      <alignment horizontal="center"/>
    </xf>
    <xf numFmtId="2" fontId="42" fillId="22" borderId="4" xfId="4" applyNumberFormat="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42" fillId="22" borderId="1" xfId="4" applyNumberFormat="1" applyBorder="1" applyAlignment="1" applyProtection="1">
      <alignment horizontal="center"/>
      <protection locked="0"/>
    </xf>
    <xf numFmtId="2" fontId="42" fillId="22" borderId="1" xfId="4" applyNumberFormat="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42" fillId="22" borderId="3" xfId="4" applyBorder="1" applyAlignment="1" applyProtection="1">
      <alignment horizontal="center" vertical="center" wrapText="1"/>
      <protection locked="0"/>
    </xf>
    <xf numFmtId="0" fontId="42" fillId="22" borderId="21" xfId="4"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center" wrapText="1"/>
      <protection locked="0"/>
    </xf>
    <xf numFmtId="2" fontId="0" fillId="6" borderId="3" xfId="0" applyNumberFormat="1" applyFill="1" applyBorder="1" applyAlignment="1" applyProtection="1">
      <alignment horizontal="center" wrapText="1"/>
      <protection locked="0"/>
    </xf>
    <xf numFmtId="2" fontId="0" fillId="6" borderId="4" xfId="0" applyNumberFormat="1" applyFill="1" applyBorder="1" applyAlignment="1" applyProtection="1">
      <alignment horizontal="center"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42" fillId="22" borderId="2" xfId="4" applyNumberFormat="1" applyBorder="1" applyAlignment="1" applyProtection="1">
      <alignment horizontal="center" wrapText="1"/>
      <protection locked="0"/>
    </xf>
    <xf numFmtId="2" fontId="42" fillId="22" borderId="3" xfId="4" applyNumberFormat="1" applyBorder="1" applyAlignment="1" applyProtection="1">
      <alignment horizontal="center" wrapText="1"/>
      <protection locked="0"/>
    </xf>
    <xf numFmtId="2" fontId="0" fillId="6" borderId="73" xfId="0" applyNumberFormat="1" applyFill="1" applyBorder="1" applyAlignment="1" applyProtection="1">
      <alignment horizontal="center" wrapText="1"/>
      <protection locked="0"/>
    </xf>
    <xf numFmtId="2" fontId="0" fillId="6" borderId="16" xfId="0" applyNumberFormat="1" applyFill="1" applyBorder="1" applyAlignment="1" applyProtection="1">
      <alignment horizontal="center" wrapText="1"/>
      <protection locked="0"/>
    </xf>
    <xf numFmtId="2" fontId="0" fillId="6" borderId="24" xfId="0" applyNumberFormat="1" applyFill="1" applyBorder="1" applyAlignment="1" applyProtection="1">
      <alignment horizontal="center" wrapText="1"/>
      <protection locked="0"/>
    </xf>
    <xf numFmtId="2" fontId="0" fillId="13" borderId="12" xfId="2" applyFont="1" applyFill="1" applyBorder="1" applyAlignment="1">
      <alignment horizontal="center" vertical="center"/>
    </xf>
    <xf numFmtId="2" fontId="0" fillId="13" borderId="27" xfId="2" applyFont="1" applyFill="1" applyBorder="1" applyAlignment="1">
      <alignment horizontal="center" vertical="center"/>
    </xf>
    <xf numFmtId="2" fontId="0" fillId="13" borderId="13" xfId="2" applyFont="1" applyFill="1" applyBorder="1" applyAlignment="1">
      <alignment horizontal="center" vertical="center"/>
    </xf>
    <xf numFmtId="0" fontId="0" fillId="0" borderId="39" xfId="0" applyBorder="1" applyAlignment="1">
      <alignment horizontal="left" vertical="center" wrapText="1"/>
    </xf>
    <xf numFmtId="0" fontId="0" fillId="0" borderId="48" xfId="0" applyBorder="1" applyAlignment="1">
      <alignment horizontal="left" vertical="center" wrapText="1"/>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14" fontId="42" fillId="22" borderId="20" xfId="4" applyNumberFormat="1" applyBorder="1" applyAlignment="1" applyProtection="1">
      <alignment horizontal="left" vertical="top" wrapText="1"/>
      <protection locked="0"/>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center"/>
      <protection locked="0"/>
    </xf>
    <xf numFmtId="0" fontId="2" fillId="0" borderId="4" xfId="0" applyFont="1" applyBorder="1" applyAlignment="1">
      <alignment horizontal="center" vertical="center"/>
    </xf>
    <xf numFmtId="0" fontId="42" fillId="22" borderId="1" xfId="4"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2" fillId="22" borderId="11" xfId="4"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horizontal="left" vertical="center" wrapText="1"/>
      <protection locked="0"/>
    </xf>
    <xf numFmtId="0" fontId="0" fillId="19" borderId="11" xfId="0" applyFill="1" applyBorder="1" applyAlignment="1" applyProtection="1">
      <alignment horizontal="left" vertical="center" wrapText="1"/>
      <protection locked="0"/>
    </xf>
    <xf numFmtId="0" fontId="42" fillId="22" borderId="19" xfId="4" applyBorder="1" applyAlignment="1" applyProtection="1">
      <alignment horizontal="left" vertical="top" wrapText="1"/>
      <protection locked="0"/>
    </xf>
    <xf numFmtId="0" fontId="42" fillId="22" borderId="12" xfId="4" applyBorder="1" applyAlignment="1" applyProtection="1">
      <alignment horizontal="left" vertical="top" wrapText="1"/>
      <protection locked="0"/>
    </xf>
    <xf numFmtId="0" fontId="2" fillId="4" borderId="28" xfId="0" applyFont="1" applyFill="1" applyBorder="1" applyAlignment="1">
      <alignment horizontal="center"/>
    </xf>
    <xf numFmtId="0" fontId="42" fillId="22" borderId="4" xfId="4" applyBorder="1" applyAlignment="1" applyProtection="1">
      <alignment horizontal="center" vertical="center"/>
      <protection locked="0"/>
    </xf>
    <xf numFmtId="0" fontId="42" fillId="22" borderId="1" xfId="4" applyBorder="1" applyAlignment="1" applyProtection="1">
      <alignment horizontal="center" vertical="center"/>
      <protection locked="0"/>
    </xf>
    <xf numFmtId="2" fontId="0" fillId="13" borderId="30" xfId="2" applyFont="1" applyFill="1" applyBorder="1" applyAlignment="1">
      <alignment horizontal="center" vertical="center"/>
    </xf>
    <xf numFmtId="2" fontId="0" fillId="13" borderId="6" xfId="2" applyFont="1" applyFill="1" applyBorder="1" applyAlignment="1">
      <alignment horizontal="center" vertical="center"/>
    </xf>
    <xf numFmtId="2" fontId="42" fillId="22" borderId="40" xfId="4" applyNumberFormat="1" applyBorder="1" applyAlignment="1">
      <alignment horizontal="center" vertical="center"/>
    </xf>
    <xf numFmtId="2" fontId="42" fillId="22" borderId="6" xfId="4" applyNumberFormat="1" applyBorder="1" applyAlignment="1">
      <alignment horizontal="center" vertical="center"/>
    </xf>
    <xf numFmtId="2" fontId="42" fillId="22" borderId="27" xfId="4" applyNumberFormat="1" applyBorder="1" applyAlignment="1">
      <alignment horizontal="center" vertical="center"/>
    </xf>
    <xf numFmtId="2" fontId="42" fillId="22" borderId="13" xfId="4" applyNumberFormat="1" applyBorder="1" applyAlignment="1">
      <alignment horizontal="center" vertical="center"/>
    </xf>
    <xf numFmtId="0" fontId="10" fillId="0" borderId="48" xfId="0" applyFont="1" applyBorder="1" applyAlignment="1">
      <alignment horizontal="center" vertical="center" wrapText="1"/>
    </xf>
    <xf numFmtId="2" fontId="0" fillId="13" borderId="20" xfId="0" applyNumberFormat="1" applyFill="1" applyBorder="1" applyAlignment="1">
      <alignment horizontal="center"/>
    </xf>
    <xf numFmtId="2" fontId="0" fillId="13" borderId="37" xfId="0" applyNumberFormat="1" applyFill="1" applyBorder="1" applyAlignment="1">
      <alignment horizontal="center"/>
    </xf>
    <xf numFmtId="170" fontId="42" fillId="22" borderId="37" xfId="4" applyNumberFormat="1" applyBorder="1" applyAlignment="1">
      <alignment horizontal="center"/>
    </xf>
    <xf numFmtId="170" fontId="42" fillId="22" borderId="27" xfId="4" applyNumberFormat="1" applyBorder="1" applyAlignment="1">
      <alignment horizontal="center"/>
    </xf>
    <xf numFmtId="170" fontId="42" fillId="22" borderId="36" xfId="4" applyNumberFormat="1" applyBorder="1" applyAlignment="1">
      <alignment horizontal="center"/>
    </xf>
    <xf numFmtId="0" fontId="42" fillId="22" borderId="11" xfId="4" applyBorder="1" applyAlignment="1" applyProtection="1">
      <alignment horizontal="center"/>
      <protection locked="0"/>
    </xf>
    <xf numFmtId="2" fontId="42" fillId="22" borderId="1" xfId="4" applyNumberFormat="1" applyBorder="1" applyAlignment="1">
      <alignment horizontal="center"/>
    </xf>
    <xf numFmtId="2" fontId="42" fillId="22" borderId="11" xfId="4" applyNumberFormat="1" applyBorder="1" applyAlignment="1">
      <alignment horizontal="center"/>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center"/>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42" fillId="22" borderId="21" xfId="4" applyNumberFormat="1" applyBorder="1" applyAlignment="1" applyProtection="1">
      <alignment horizontal="center" wrapText="1"/>
      <protection locked="0"/>
    </xf>
    <xf numFmtId="2" fontId="42" fillId="22" borderId="37" xfId="4" applyNumberFormat="1" applyBorder="1" applyAlignment="1" applyProtection="1">
      <alignment horizontal="center" wrapText="1"/>
      <protection locked="0"/>
    </xf>
    <xf numFmtId="2" fontId="42" fillId="22" borderId="27" xfId="4" applyNumberFormat="1" applyBorder="1" applyAlignment="1" applyProtection="1">
      <alignment horizontal="center" wrapText="1"/>
      <protection locked="0"/>
    </xf>
    <xf numFmtId="2" fontId="42" fillId="22" borderId="36" xfId="4" applyNumberFormat="1" applyBorder="1" applyAlignment="1" applyProtection="1">
      <alignment horizontal="center" wrapText="1"/>
      <protection locked="0"/>
    </xf>
    <xf numFmtId="2" fontId="42" fillId="22" borderId="1" xfId="4" applyNumberFormat="1" applyBorder="1" applyAlignment="1" applyProtection="1">
      <alignment horizontal="center" wrapText="1"/>
      <protection locked="0"/>
    </xf>
    <xf numFmtId="2" fontId="42" fillId="22" borderId="11" xfId="4" applyNumberFormat="1" applyBorder="1" applyAlignment="1" applyProtection="1">
      <alignment horizontal="center" wrapText="1"/>
      <protection locked="0"/>
    </xf>
    <xf numFmtId="0" fontId="0" fillId="7" borderId="16" xfId="0" applyFill="1" applyBorder="1" applyAlignment="1">
      <alignment horizontal="center"/>
    </xf>
    <xf numFmtId="0" fontId="0" fillId="7" borderId="24" xfId="0" applyFill="1" applyBorder="1" applyAlignment="1">
      <alignment horizontal="center"/>
    </xf>
    <xf numFmtId="2" fontId="0" fillId="6" borderId="46" xfId="0" applyNumberFormat="1" applyFill="1" applyBorder="1" applyAlignment="1" applyProtection="1">
      <alignment horizontal="center"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42" fillId="22" borderId="46" xfId="4" applyNumberFormat="1" applyBorder="1" applyAlignment="1" applyProtection="1">
      <alignment horizontal="center" wrapText="1"/>
      <protection locked="0"/>
    </xf>
    <xf numFmtId="2" fontId="42" fillId="22" borderId="5" xfId="4" applyNumberFormat="1" applyBorder="1" applyAlignment="1" applyProtection="1">
      <alignment horizontal="center" wrapText="1"/>
      <protection locked="0"/>
    </xf>
    <xf numFmtId="2" fontId="42" fillId="22" borderId="47" xfId="4" applyNumberFormat="1" applyBorder="1" applyAlignment="1" applyProtection="1">
      <alignment horizontal="center"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42" fillId="22" borderId="43" xfId="4" applyNumberFormat="1" applyBorder="1" applyAlignment="1">
      <alignment horizontal="center" wrapText="1"/>
    </xf>
    <xf numFmtId="2" fontId="42" fillId="22" borderId="41" xfId="4" applyNumberFormat="1" applyBorder="1" applyAlignment="1">
      <alignment horizontal="center" wrapText="1"/>
    </xf>
    <xf numFmtId="2" fontId="42" fillId="22" borderId="56" xfId="4" applyNumberFormat="1" applyBorder="1" applyAlignment="1">
      <alignment horizontal="center" wrapText="1"/>
    </xf>
    <xf numFmtId="2" fontId="0" fillId="13" borderId="37" xfId="0" applyNumberFormat="1" applyFill="1" applyBorder="1" applyAlignment="1">
      <alignment horizontal="center" wrapText="1"/>
    </xf>
    <xf numFmtId="2" fontId="0" fillId="13" borderId="14" xfId="0" applyNumberFormat="1" applyFill="1" applyBorder="1" applyAlignment="1">
      <alignment horizontal="center"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center" wrapText="1"/>
      <protection locked="0"/>
    </xf>
    <xf numFmtId="2" fontId="0" fillId="6" borderId="11" xfId="0" applyNumberFormat="1" applyFill="1" applyBorder="1" applyAlignment="1" applyProtection="1">
      <alignment horizontal="center"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center" vertical="center" wrapText="1"/>
      <protection locked="0"/>
    </xf>
    <xf numFmtId="2" fontId="9" fillId="6" borderId="11" xfId="3" applyNumberFormat="1" applyFont="1" applyFill="1" applyBorder="1" applyAlignment="1" applyProtection="1">
      <alignment horizontal="center" vertical="center" wrapText="1"/>
      <protection locked="0"/>
    </xf>
    <xf numFmtId="10" fontId="42" fillId="22" borderId="27" xfId="4" applyNumberFormat="1" applyBorder="1" applyAlignment="1" applyProtection="1">
      <alignment horizontal="center" vertical="center"/>
      <protection locked="0"/>
    </xf>
    <xf numFmtId="10" fontId="42" fillId="22" borderId="36" xfId="4" applyNumberFormat="1" applyBorder="1" applyAlignment="1" applyProtection="1">
      <alignment horizontal="center" vertical="center"/>
      <protection locked="0"/>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center" wrapText="1"/>
    </xf>
    <xf numFmtId="2" fontId="42" fillId="22" borderId="57" xfId="4" applyNumberFormat="1" applyBorder="1" applyAlignment="1" applyProtection="1">
      <alignment horizontal="center" vertical="center"/>
      <protection locked="0"/>
    </xf>
    <xf numFmtId="2" fontId="42" fillId="22" borderId="58" xfId="4" applyNumberFormat="1" applyBorder="1" applyAlignment="1" applyProtection="1">
      <alignment horizontal="center"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center" vertical="center" wrapText="1"/>
      <protection locked="0"/>
    </xf>
    <xf numFmtId="2" fontId="0" fillId="6" borderId="16" xfId="0" applyNumberFormat="1" applyFill="1" applyBorder="1" applyAlignment="1" applyProtection="1">
      <alignment horizontal="center" vertical="center" wrapText="1"/>
      <protection locked="0"/>
    </xf>
    <xf numFmtId="2" fontId="0" fillId="6" borderId="17" xfId="0" applyNumberFormat="1" applyFill="1" applyBorder="1" applyAlignment="1" applyProtection="1">
      <alignment horizontal="center" vertical="center" wrapText="1"/>
      <protection locked="0"/>
    </xf>
    <xf numFmtId="2" fontId="0" fillId="6" borderId="2" xfId="0" applyNumberFormat="1" applyFill="1" applyBorder="1" applyAlignment="1" applyProtection="1">
      <alignment horizontal="center" vertical="center" wrapText="1"/>
      <protection locked="0"/>
    </xf>
    <xf numFmtId="2" fontId="0" fillId="6" borderId="3" xfId="0" applyNumberFormat="1" applyFill="1" applyBorder="1" applyAlignment="1" applyProtection="1">
      <alignment horizontal="center" vertical="center" wrapText="1"/>
      <protection locked="0"/>
    </xf>
    <xf numFmtId="2" fontId="0" fillId="6" borderId="21" xfId="0" applyNumberFormat="1" applyFill="1" applyBorder="1" applyAlignment="1" applyProtection="1">
      <alignment horizontal="center" vertical="center" wrapText="1"/>
      <protection locked="0"/>
    </xf>
    <xf numFmtId="10" fontId="42" fillId="22" borderId="37" xfId="4" applyNumberFormat="1" applyBorder="1" applyAlignment="1">
      <alignment horizontal="center" vertical="center" wrapText="1"/>
    </xf>
    <xf numFmtId="10" fontId="42" fillId="22" borderId="27" xfId="4" applyNumberFormat="1" applyBorder="1" applyAlignment="1">
      <alignment horizontal="center" vertical="center" wrapText="1"/>
    </xf>
    <xf numFmtId="10" fontId="42" fillId="22" borderId="36" xfId="4" applyNumberFormat="1" applyBorder="1" applyAlignment="1">
      <alignment horizontal="center" vertical="center" wrapText="1"/>
    </xf>
    <xf numFmtId="2" fontId="42" fillId="22" borderId="8" xfId="4" applyNumberFormat="1" applyBorder="1" applyAlignment="1" applyProtection="1">
      <alignment horizontal="center" vertical="center" wrapText="1"/>
      <protection locked="0"/>
    </xf>
    <xf numFmtId="2" fontId="42" fillId="22" borderId="9" xfId="4" applyNumberFormat="1" applyBorder="1" applyAlignment="1" applyProtection="1">
      <alignment horizontal="center" vertical="center" wrapText="1"/>
      <protection locked="0"/>
    </xf>
    <xf numFmtId="2" fontId="9" fillId="19" borderId="2" xfId="0" applyNumberFormat="1" applyFont="1" applyFill="1" applyBorder="1" applyAlignment="1" applyProtection="1">
      <alignment horizontal="center" vertical="center" wrapText="1"/>
      <protection locked="0"/>
    </xf>
    <xf numFmtId="2" fontId="9" fillId="19" borderId="3" xfId="0" applyNumberFormat="1" applyFont="1" applyFill="1" applyBorder="1" applyAlignment="1" applyProtection="1">
      <alignment horizontal="center" vertical="center" wrapText="1"/>
      <protection locked="0"/>
    </xf>
    <xf numFmtId="2" fontId="9" fillId="19" borderId="21" xfId="0" applyNumberFormat="1" applyFont="1" applyFill="1" applyBorder="1" applyAlignment="1" applyProtection="1">
      <alignment horizontal="center" vertical="center" wrapText="1"/>
      <protection locked="0"/>
    </xf>
    <xf numFmtId="2" fontId="0" fillId="13" borderId="2" xfId="0" applyNumberFormat="1" applyFill="1" applyBorder="1" applyAlignment="1" applyProtection="1">
      <alignment horizontal="center" vertical="center" wrapText="1"/>
      <protection locked="0"/>
    </xf>
    <xf numFmtId="2" fontId="0" fillId="13" borderId="3" xfId="0" applyNumberFormat="1" applyFill="1" applyBorder="1" applyAlignment="1" applyProtection="1">
      <alignment horizontal="center" vertical="center" wrapText="1"/>
      <protection locked="0"/>
    </xf>
    <xf numFmtId="2" fontId="0" fillId="13" borderId="21" xfId="0" applyNumberFormat="1" applyFill="1" applyBorder="1" applyAlignment="1" applyProtection="1">
      <alignment horizontal="center" vertical="center" wrapText="1"/>
      <protection locked="0"/>
    </xf>
    <xf numFmtId="2" fontId="42" fillId="22" borderId="37" xfId="4" applyNumberFormat="1" applyBorder="1" applyAlignment="1" applyProtection="1">
      <alignment horizontal="center" vertical="center" wrapText="1"/>
      <protection locked="0"/>
    </xf>
    <xf numFmtId="2" fontId="42" fillId="22" borderId="27" xfId="4" applyNumberFormat="1" applyBorder="1" applyAlignment="1" applyProtection="1">
      <alignment horizontal="center" vertical="center" wrapText="1"/>
      <protection locked="0"/>
    </xf>
    <xf numFmtId="2" fontId="42" fillId="22" borderId="36" xfId="4" applyNumberFormat="1" applyBorder="1" applyAlignment="1" applyProtection="1">
      <alignment horizontal="center"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42" fillId="22" borderId="1" xfId="4" applyNumberFormat="1" applyBorder="1" applyAlignment="1" applyProtection="1">
      <alignment horizontal="center" vertical="center" wrapText="1"/>
      <protection locked="0"/>
    </xf>
    <xf numFmtId="2" fontId="42" fillId="22" borderId="11" xfId="4" applyNumberFormat="1" applyBorder="1" applyAlignment="1" applyProtection="1">
      <alignment horizontal="center"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0" fontId="0" fillId="19" borderId="73" xfId="0" applyFill="1" applyBorder="1" applyAlignment="1" applyProtection="1">
      <alignment horizontal="center" vertical="center" wrapText="1"/>
      <protection locked="0"/>
    </xf>
    <xf numFmtId="0" fontId="0" fillId="19" borderId="16" xfId="0" applyFill="1" applyBorder="1" applyAlignment="1" applyProtection="1">
      <alignment horizontal="center" vertical="center" wrapText="1"/>
      <protection locked="0"/>
    </xf>
    <xf numFmtId="0" fontId="0" fillId="19" borderId="17" xfId="0" applyFill="1" applyBorder="1" applyAlignment="1" applyProtection="1">
      <alignment horizontal="center" vertical="center" wrapText="1"/>
      <protection locked="0"/>
    </xf>
    <xf numFmtId="2" fontId="42" fillId="22" borderId="43" xfId="4" applyNumberFormat="1" applyBorder="1" applyAlignment="1" applyProtection="1">
      <alignment horizontal="center" vertical="center" wrapText="1"/>
      <protection locked="0"/>
    </xf>
    <xf numFmtId="2" fontId="42" fillId="22" borderId="41" xfId="4" applyNumberFormat="1" applyBorder="1" applyAlignment="1" applyProtection="1">
      <alignment horizontal="center" vertical="center" wrapText="1"/>
      <protection locked="0"/>
    </xf>
    <xf numFmtId="2" fontId="42" fillId="22" borderId="56" xfId="4" applyNumberFormat="1" applyBorder="1" applyAlignment="1" applyProtection="1">
      <alignment horizontal="center"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42" fillId="22" borderId="2" xfId="4" applyBorder="1" applyAlignment="1" applyProtection="1">
      <alignment horizontal="center" vertical="center"/>
      <protection locked="0"/>
    </xf>
    <xf numFmtId="0" fontId="42" fillId="22" borderId="3" xfId="4" applyBorder="1" applyAlignment="1" applyProtection="1">
      <alignment horizontal="center" vertical="center"/>
      <protection locked="0"/>
    </xf>
    <xf numFmtId="0" fontId="42" fillId="22" borderId="21" xfId="4" applyBorder="1" applyAlignment="1" applyProtection="1">
      <alignment horizontal="center" vertical="center"/>
      <protection locked="0"/>
    </xf>
    <xf numFmtId="0" fontId="42" fillId="22" borderId="68" xfId="4" applyBorder="1" applyAlignment="1">
      <alignment horizontal="center"/>
    </xf>
    <xf numFmtId="0" fontId="42" fillId="22" borderId="69" xfId="4" applyBorder="1" applyAlignment="1">
      <alignment horizontal="center"/>
    </xf>
    <xf numFmtId="0" fontId="42" fillId="22" borderId="70" xfId="4" applyBorder="1" applyAlignment="1">
      <alignment horizontal="center"/>
    </xf>
    <xf numFmtId="0" fontId="42" fillId="22" borderId="3" xfId="4"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2" fillId="22" borderId="21" xfId="4"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7" borderId="10"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21" xfId="0" applyFont="1" applyFill="1" applyBorder="1" applyAlignment="1">
      <alignment horizontal="center" vertical="center" wrapText="1"/>
    </xf>
    <xf numFmtId="2" fontId="0" fillId="13" borderId="45" xfId="0" applyNumberFormat="1" applyFill="1" applyBorder="1" applyAlignment="1">
      <alignment horizontal="center" wrapText="1"/>
    </xf>
    <xf numFmtId="2" fontId="0" fillId="13" borderId="22" xfId="0" applyNumberFormat="1" applyFill="1" applyBorder="1" applyAlignment="1">
      <alignment horizontal="center" wrapText="1"/>
    </xf>
    <xf numFmtId="2" fontId="0" fillId="13" borderId="23" xfId="0" applyNumberFormat="1" applyFill="1" applyBorder="1" applyAlignment="1">
      <alignment horizontal="center"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10" fontId="0" fillId="13" borderId="37" xfId="0" applyNumberFormat="1" applyFill="1" applyBorder="1" applyAlignment="1">
      <alignment horizontal="center" vertical="center" wrapText="1"/>
    </xf>
    <xf numFmtId="10" fontId="0" fillId="13" borderId="27" xfId="0" applyNumberFormat="1" applyFill="1" applyBorder="1" applyAlignment="1">
      <alignment horizontal="center" vertical="center" wrapText="1"/>
    </xf>
    <xf numFmtId="10" fontId="0" fillId="13" borderId="36" xfId="0" applyNumberFormat="1" applyFill="1" applyBorder="1" applyAlignment="1">
      <alignment horizontal="center" vertical="center" wrapText="1"/>
    </xf>
    <xf numFmtId="0" fontId="42" fillId="22" borderId="5" xfId="4" applyBorder="1" applyAlignment="1" applyProtection="1">
      <alignment horizontal="left" vertical="top"/>
      <protection locked="0"/>
    </xf>
    <xf numFmtId="0" fontId="42" fillId="22" borderId="47" xfId="4" applyBorder="1" applyAlignment="1" applyProtection="1">
      <alignment horizontal="left" vertical="top"/>
      <protection locked="0"/>
    </xf>
    <xf numFmtId="0" fontId="42" fillId="22" borderId="37" xfId="4" applyBorder="1" applyAlignment="1" applyProtection="1">
      <alignment horizontal="center" vertical="center"/>
      <protection locked="0"/>
    </xf>
    <xf numFmtId="0" fontId="42" fillId="22" borderId="27" xfId="4" applyBorder="1" applyAlignment="1" applyProtection="1">
      <alignment horizontal="center" vertical="center"/>
      <protection locked="0"/>
    </xf>
    <xf numFmtId="0" fontId="42" fillId="22" borderId="36" xfId="4" applyBorder="1" applyAlignment="1" applyProtection="1">
      <alignment horizontal="center" vertical="center"/>
      <protection locked="0"/>
    </xf>
    <xf numFmtId="0" fontId="42" fillId="22" borderId="11" xfId="4" applyBorder="1" applyAlignment="1" applyProtection="1">
      <alignment horizontal="center" vertical="center"/>
      <protection locked="0"/>
    </xf>
    <xf numFmtId="0" fontId="42" fillId="22" borderId="2" xfId="4"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2" fillId="22" borderId="2" xfId="4" applyBorder="1" applyAlignment="1" applyProtection="1">
      <alignment horizontal="left" vertical="center"/>
      <protection locked="0"/>
    </xf>
    <xf numFmtId="0" fontId="42" fillId="22" borderId="3" xfId="4" applyBorder="1" applyAlignment="1" applyProtection="1">
      <alignment horizontal="left" vertical="center"/>
      <protection locked="0"/>
    </xf>
    <xf numFmtId="0" fontId="42" fillId="22" borderId="21" xfId="4" applyBorder="1" applyAlignment="1" applyProtection="1">
      <alignment horizontal="left" vertical="center"/>
      <protection locked="0"/>
    </xf>
    <xf numFmtId="0" fontId="42" fillId="22" borderId="27" xfId="4" applyBorder="1" applyAlignment="1" applyProtection="1">
      <alignment horizontal="left" vertical="top"/>
      <protection locked="0"/>
    </xf>
    <xf numFmtId="0" fontId="42" fillId="22" borderId="36" xfId="4"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42" fillId="22" borderId="1" xfId="4" applyBorder="1" applyAlignment="1" applyProtection="1">
      <alignment horizontal="left" vertical="top"/>
      <protection locked="0"/>
    </xf>
    <xf numFmtId="0" fontId="42" fillId="22" borderId="11" xfId="4"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0" fillId="7" borderId="18" xfId="0" applyFill="1" applyBorder="1" applyAlignment="1">
      <alignment horizontal="left" vertical="center" wrapText="1"/>
    </xf>
    <xf numFmtId="0" fontId="0" fillId="7" borderId="1" xfId="0"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32" xfId="0" applyBorder="1" applyAlignment="1">
      <alignment horizontal="left" vertical="center" wrapText="1"/>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lignment horizontal="left" wrapText="1"/>
    </xf>
    <xf numFmtId="0" fontId="6" fillId="7" borderId="49" xfId="3" quotePrefix="1" applyFill="1" applyBorder="1" applyAlignment="1">
      <alignment horizontal="left" wrapText="1"/>
    </xf>
    <xf numFmtId="0" fontId="6" fillId="7" borderId="41" xfId="3" quotePrefix="1" applyFill="1" applyBorder="1" applyAlignment="1">
      <alignment horizontal="left" wrapText="1"/>
    </xf>
    <xf numFmtId="0" fontId="6" fillId="7" borderId="56" xfId="3" quotePrefix="1" applyFill="1" applyBorder="1" applyAlignment="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lignment horizontal="left"/>
    </xf>
    <xf numFmtId="0" fontId="6" fillId="7" borderId="56" xfId="3" quotePrefix="1" applyFill="1" applyBorder="1" applyAlignment="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lignment horizontal="left" wrapText="1"/>
    </xf>
    <xf numFmtId="2" fontId="6" fillId="7" borderId="41" xfId="3" quotePrefix="1" applyNumberFormat="1" applyFill="1" applyBorder="1" applyAlignment="1">
      <alignment horizontal="left" wrapText="1"/>
    </xf>
    <xf numFmtId="2" fontId="6" fillId="7" borderId="56" xfId="3" quotePrefix="1" applyNumberFormat="1" applyFill="1" applyBorder="1" applyAlignment="1">
      <alignment horizontal="left" wrapText="1"/>
    </xf>
    <xf numFmtId="0" fontId="6" fillId="7" borderId="0" xfId="3" quotePrefix="1" applyFill="1" applyBorder="1" applyAlignment="1">
      <alignment horizontal="left" wrapText="1"/>
    </xf>
    <xf numFmtId="0" fontId="6" fillId="7" borderId="26" xfId="3" quotePrefix="1" applyFill="1" applyBorder="1" applyAlignment="1">
      <alignment horizontal="left" wrapText="1"/>
    </xf>
    <xf numFmtId="0" fontId="9" fillId="7" borderId="52" xfId="3" quotePrefix="1" applyFont="1" applyFill="1" applyBorder="1" applyAlignment="1">
      <alignment horizontal="left"/>
    </xf>
    <xf numFmtId="0" fontId="9" fillId="7" borderId="5" xfId="3" quotePrefix="1" applyFont="1" applyFill="1" applyBorder="1" applyAlignment="1">
      <alignment horizontal="left"/>
    </xf>
    <xf numFmtId="0" fontId="9" fillId="7" borderId="47" xfId="3" quotePrefix="1" applyFont="1" applyFill="1" applyBorder="1" applyAlignment="1">
      <alignment horizontal="left"/>
    </xf>
    <xf numFmtId="0" fontId="6" fillId="7" borderId="25" xfId="3" quotePrefix="1" applyFill="1" applyBorder="1" applyAlignment="1">
      <alignment horizontal="left" vertical="top" wrapText="1"/>
    </xf>
    <xf numFmtId="0" fontId="6" fillId="7" borderId="0" xfId="3" quotePrefix="1" applyFill="1" applyBorder="1" applyAlignment="1">
      <alignment horizontal="left" vertical="top" wrapText="1"/>
    </xf>
    <xf numFmtId="0" fontId="6" fillId="7" borderId="26" xfId="3" quotePrefix="1" applyFill="1" applyBorder="1" applyAlignment="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6">
    <cellStyle name="Auto-Calculated-Cells" xfId="2" xr:uid="{4E8529B9-507C-4B39-B503-553D51545A9E}"/>
    <cellStyle name="Bad" xfId="5" builtinId="27"/>
    <cellStyle name="Good" xfId="4" builtinId="26"/>
    <cellStyle name="Hyperlink" xfId="3" builtinId="8"/>
    <cellStyle name="Normal" xfId="0" builtinId="0"/>
    <cellStyle name="Percent" xfId="1" builtinId="5"/>
  </cellStyles>
  <dxfs count="386">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FF0000"/>
        </patternFill>
      </fill>
    </dxf>
    <dxf>
      <fill>
        <patternFill>
          <bgColor rgb="FF00B050"/>
        </patternFill>
      </fill>
    </dxf>
    <dxf>
      <numFmt numFmtId="164" formatCode=";;;"/>
      <fill>
        <patternFill>
          <bgColor theme="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bgColor theme="0" tint="-0.14996795556505021"/>
        </patternFill>
      </fill>
    </dxf>
    <dxf>
      <numFmt numFmtId="164" formatCode=";;;"/>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164" formatCode=";;;"/>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164" formatCode=";;;"/>
      <fill>
        <patternFill>
          <bgColor theme="2" tint="-9.9948118533890809E-2"/>
        </patternFill>
      </fill>
    </dxf>
    <dxf>
      <fill>
        <patternFill patternType="none">
          <bgColor auto="1"/>
        </patternFill>
      </fill>
    </dxf>
    <dxf>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patternFill>
      </fill>
    </dxf>
    <dxf>
      <fill>
        <patternFill patternType="none">
          <bgColor auto="1"/>
        </patternFill>
      </fill>
    </dxf>
    <dxf>
      <numFmt numFmtId="164" formatCode=";;;"/>
      <fill>
        <patternFill>
          <bgColor theme="0" tint="-0.14996795556505021"/>
        </patternFill>
      </fill>
    </dxf>
    <dxf>
      <numFmt numFmtId="164" formatCode=";;;"/>
      <fill>
        <patternFill>
          <bgColor theme="2" tint="-9.9948118533890809E-2"/>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ont>
        <b/>
        <i val="0"/>
      </font>
      <fill>
        <patternFill>
          <bgColor rgb="FFFF0000"/>
        </patternFill>
      </fill>
    </dxf>
    <dxf>
      <font>
        <b/>
        <i val="0"/>
      </font>
      <fill>
        <patternFill>
          <bgColor rgb="FFFF0000"/>
        </patternFill>
      </fill>
    </dxf>
    <dxf>
      <fill>
        <patternFill>
          <bgColor theme="0" tint="-0.14996795556505021"/>
        </patternFill>
      </fill>
    </dxf>
    <dxf>
      <fill>
        <patternFill patternType="none">
          <bgColor auto="1"/>
        </patternFill>
      </fill>
    </dxf>
    <dxf>
      <numFmt numFmtId="164" formatCode=";;;"/>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bgColor theme="0" tint="-0.14996795556505021"/>
        </patternFill>
      </fill>
    </dxf>
    <dxf>
      <fill>
        <patternFill>
          <bgColor theme="0" tint="-0.14996795556505021"/>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164" formatCode=";;;"/>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22/10/relationships/richValueRel" Target="richData/richValueRel.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sharedStrings" Target="sharedStrings.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 &amp; Valida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 &amp; Valida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 &amp; Valida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 &amp; Valida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242</xdr:row>
      <xdr:rowOff>149679</xdr:rowOff>
    </xdr:from>
    <xdr:to>
      <xdr:col>11</xdr:col>
      <xdr:colOff>1802947</xdr:colOff>
      <xdr:row>250</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10</xdr:col>
      <xdr:colOff>393247</xdr:colOff>
      <xdr:row>251</xdr:row>
      <xdr:rowOff>164647</xdr:rowOff>
    </xdr:from>
    <xdr:to>
      <xdr:col>11</xdr:col>
      <xdr:colOff>1857376</xdr:colOff>
      <xdr:row>259</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244</xdr:row>
      <xdr:rowOff>119743</xdr:rowOff>
    </xdr:from>
    <xdr:to>
      <xdr:col>6</xdr:col>
      <xdr:colOff>732064</xdr:colOff>
      <xdr:row>248</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869496</xdr:colOff>
      <xdr:row>253</xdr:row>
      <xdr:rowOff>69397</xdr:rowOff>
    </xdr:from>
    <xdr:to>
      <xdr:col>6</xdr:col>
      <xdr:colOff>721178</xdr:colOff>
      <xdr:row>257</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242</xdr:row>
      <xdr:rowOff>107495</xdr:rowOff>
    </xdr:from>
    <xdr:to>
      <xdr:col>2</xdr:col>
      <xdr:colOff>3322819</xdr:colOff>
      <xdr:row>250</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4662713</xdr:colOff>
      <xdr:row>112</xdr:row>
      <xdr:rowOff>56998</xdr:rowOff>
    </xdr:from>
    <xdr:to>
      <xdr:col>3</xdr:col>
      <xdr:colOff>1980775</xdr:colOff>
      <xdr:row>116</xdr:row>
      <xdr:rowOff>29783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7761513" y="24051531"/>
          <a:ext cx="2135595" cy="71785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2</xdr:col>
      <xdr:colOff>4676018</xdr:colOff>
      <xdr:row>122</xdr:row>
      <xdr:rowOff>97366</xdr:rowOff>
    </xdr:from>
    <xdr:to>
      <xdr:col>3</xdr:col>
      <xdr:colOff>1971220</xdr:colOff>
      <xdr:row>126</xdr:row>
      <xdr:rowOff>70152</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7774818" y="25954566"/>
          <a:ext cx="2112735" cy="71785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1053192</xdr:colOff>
      <xdr:row>110</xdr:row>
      <xdr:rowOff>80282</xdr:rowOff>
    </xdr:from>
    <xdr:to>
      <xdr:col>2</xdr:col>
      <xdr:colOff>2500991</xdr:colOff>
      <xdr:row>118</xdr:row>
      <xdr:rowOff>108859</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902278" y="31028368"/>
          <a:ext cx="2732313" cy="1509034"/>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1032782</xdr:colOff>
      <xdr:row>120</xdr:row>
      <xdr:rowOff>63954</xdr:rowOff>
    </xdr:from>
    <xdr:to>
      <xdr:col>2</xdr:col>
      <xdr:colOff>2480581</xdr:colOff>
      <xdr:row>128</xdr:row>
      <xdr:rowOff>96613</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881868" y="32862611"/>
          <a:ext cx="2732313" cy="151311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877692</xdr:colOff>
      <xdr:row>41</xdr:row>
      <xdr:rowOff>138059</xdr:rowOff>
    </xdr:from>
    <xdr:to>
      <xdr:col>7</xdr:col>
      <xdr:colOff>558091</xdr:colOff>
      <xdr:row>45</xdr:row>
      <xdr:rowOff>115554</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783067" y="13444484"/>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775638</xdr:colOff>
      <xdr:row>51</xdr:row>
      <xdr:rowOff>152736</xdr:rowOff>
    </xdr:from>
    <xdr:to>
      <xdr:col>7</xdr:col>
      <xdr:colOff>456037</xdr:colOff>
      <xdr:row>55</xdr:row>
      <xdr:rowOff>130231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681013" y="15268911"/>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drawing" Target="../drawings/drawing2.xm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printerSettings" Target="../printerSettings/printerSettings2.bin"/><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www.samedisclosures.it/"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printerSettings" Target="../printerSettings/printerSettings3.bin"/><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drawing" Target="../drawings/drawing3.xm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zoomScale="70" zoomScaleNormal="60" workbookViewId="0">
      <selection activeCell="C1" sqref="C1"/>
    </sheetView>
  </sheetViews>
  <sheetFormatPr defaultRowHeight="15" x14ac:dyDescent="0.25"/>
  <cols>
    <col min="1" max="1" width="6" customWidth="1"/>
    <col min="2" max="2" width="56" customWidth="1"/>
    <col min="3" max="3" width="56.140625" customWidth="1"/>
    <col min="4" max="4" width="69.28515625" customWidth="1"/>
    <col min="5" max="5" width="33.5703125" customWidth="1"/>
    <col min="6" max="6" width="42.28515625" bestFit="1" customWidth="1"/>
    <col min="7" max="7" width="43.42578125" bestFit="1" customWidth="1"/>
    <col min="8" max="8" width="48.85546875" bestFit="1" customWidth="1"/>
    <col min="9" max="9" width="38.5703125" customWidth="1"/>
    <col min="10" max="10" width="45.7109375" customWidth="1"/>
    <col min="11" max="11" width="29" customWidth="1"/>
    <col min="12" max="12" width="32.42578125" customWidth="1"/>
    <col min="13" max="13" width="29.5703125" customWidth="1"/>
    <col min="14" max="14" width="21.42578125" bestFit="1" customWidth="1"/>
    <col min="15" max="15" width="11.42578125" customWidth="1"/>
    <col min="16" max="16" width="20.5703125" bestFit="1" customWidth="1"/>
    <col min="17" max="17" width="14.42578125" customWidth="1"/>
    <col min="18" max="18" width="14" bestFit="1" customWidth="1"/>
    <col min="21" max="23" width="20.5703125" bestFit="1" customWidth="1"/>
  </cols>
  <sheetData>
    <row r="1" spans="2:18" x14ac:dyDescent="0.25">
      <c r="B1" s="24" t="s">
        <v>3295</v>
      </c>
      <c r="C1" s="24" t="s">
        <v>4746</v>
      </c>
      <c r="D1" s="24"/>
    </row>
    <row r="2" spans="2:18" x14ac:dyDescent="0.25">
      <c r="B2" s="24" t="s">
        <v>3297</v>
      </c>
      <c r="C2" s="383">
        <v>45804</v>
      </c>
      <c r="D2" s="24"/>
    </row>
    <row r="4" spans="2:18" x14ac:dyDescent="0.25">
      <c r="B4" s="22"/>
    </row>
    <row r="5" spans="2:18" x14ac:dyDescent="0.25">
      <c r="B5" s="22"/>
    </row>
    <row r="6" spans="2:18" x14ac:dyDescent="0.25">
      <c r="B6" s="22"/>
    </row>
    <row r="7" spans="2:18" x14ac:dyDescent="0.25">
      <c r="B7" s="22"/>
    </row>
    <row r="8" spans="2:18" x14ac:dyDescent="0.25">
      <c r="B8" s="22"/>
    </row>
    <row r="9" spans="2:18" x14ac:dyDescent="0.25">
      <c r="B9" s="138" t="s">
        <v>4586</v>
      </c>
      <c r="C9" s="322" t="s">
        <v>4632</v>
      </c>
    </row>
    <row r="10" spans="2:18" s="25" customFormat="1" ht="63.75" x14ac:dyDescent="1">
      <c r="B10" s="23" t="s">
        <v>4736</v>
      </c>
    </row>
    <row r="11" spans="2:18" ht="324.60000000000002" customHeight="1" x14ac:dyDescent="0.25">
      <c r="B11" s="445" t="s">
        <v>4738</v>
      </c>
      <c r="C11" s="446"/>
      <c r="D11" s="446"/>
      <c r="E11" s="447"/>
      <c r="F11" s="65"/>
      <c r="G11" s="65"/>
      <c r="H11" s="65"/>
      <c r="I11" s="65"/>
      <c r="J11" s="65"/>
      <c r="K11" s="65"/>
      <c r="L11" s="65"/>
      <c r="M11" s="65"/>
      <c r="N11" s="65"/>
      <c r="O11" s="65"/>
      <c r="P11" s="65"/>
      <c r="Q11" s="65"/>
      <c r="R11" s="65"/>
    </row>
    <row r="12" spans="2:18" ht="19.899999999999999" customHeight="1" x14ac:dyDescent="0.25">
      <c r="B12" s="390"/>
      <c r="C12" s="390"/>
      <c r="D12" s="390"/>
      <c r="E12" s="390"/>
      <c r="F12" s="65"/>
      <c r="G12" s="65"/>
      <c r="H12" s="65"/>
      <c r="I12" s="65"/>
      <c r="J12" s="65"/>
      <c r="K12" s="65"/>
      <c r="L12" s="65"/>
      <c r="M12" s="65"/>
      <c r="N12" s="65"/>
      <c r="O12" s="65"/>
      <c r="P12" s="65"/>
      <c r="Q12" s="65"/>
      <c r="R12" s="65"/>
    </row>
    <row r="13" spans="2:18" x14ac:dyDescent="0.25">
      <c r="B13" s="22"/>
    </row>
    <row r="14" spans="2:18" ht="26.65" customHeight="1" x14ac:dyDescent="0.35">
      <c r="B14" s="387" t="s">
        <v>3296</v>
      </c>
      <c r="C14" s="388"/>
      <c r="D14" s="388"/>
      <c r="E14" s="389"/>
      <c r="F14" s="32"/>
      <c r="G14" s="32"/>
      <c r="H14" s="32"/>
      <c r="I14" s="32"/>
      <c r="J14" s="32"/>
      <c r="K14" s="32"/>
      <c r="L14" s="32"/>
      <c r="M14" s="32"/>
      <c r="N14" s="32"/>
      <c r="O14" s="32"/>
      <c r="P14" s="32"/>
      <c r="Q14" s="32"/>
      <c r="R14" s="32"/>
    </row>
    <row r="15" spans="2:18" ht="18.75" x14ac:dyDescent="0.25">
      <c r="B15" s="448" t="s">
        <v>4457</v>
      </c>
      <c r="C15" s="449"/>
      <c r="D15" s="449"/>
      <c r="E15" s="450"/>
      <c r="F15" s="384"/>
      <c r="G15" s="384"/>
      <c r="H15" s="384"/>
      <c r="I15" s="384"/>
      <c r="J15" s="384"/>
      <c r="K15" s="384"/>
      <c r="L15" s="384"/>
      <c r="M15" s="384"/>
      <c r="N15" s="384"/>
      <c r="O15" s="384"/>
      <c r="P15" s="384"/>
      <c r="Q15" s="384"/>
      <c r="R15" s="384"/>
    </row>
    <row r="16" spans="2:18" ht="36.6" customHeight="1" x14ac:dyDescent="0.25">
      <c r="B16" s="448" t="s">
        <v>4737</v>
      </c>
      <c r="C16" s="449"/>
      <c r="D16" s="449"/>
      <c r="E16" s="450"/>
      <c r="F16" s="384"/>
      <c r="G16" s="384"/>
      <c r="H16" s="384"/>
      <c r="I16" s="384"/>
      <c r="J16" s="384"/>
      <c r="K16" s="384"/>
      <c r="L16" s="384"/>
      <c r="M16" s="384"/>
      <c r="N16" s="384"/>
      <c r="O16" s="384"/>
      <c r="P16" s="384"/>
      <c r="Q16" s="384"/>
      <c r="R16" s="384"/>
    </row>
    <row r="17" spans="1:18" ht="39.6" customHeight="1" x14ac:dyDescent="0.25">
      <c r="B17" s="469" t="s">
        <v>3737</v>
      </c>
      <c r="C17" s="470"/>
      <c r="D17" s="470"/>
      <c r="E17" s="471"/>
      <c r="F17" s="385"/>
      <c r="G17" s="385"/>
      <c r="H17" s="385"/>
      <c r="I17" s="385"/>
      <c r="J17" s="385"/>
      <c r="K17" s="385"/>
      <c r="L17" s="385"/>
      <c r="M17" s="385"/>
      <c r="N17" s="385"/>
      <c r="O17" s="385"/>
      <c r="P17" s="385"/>
      <c r="Q17" s="385"/>
      <c r="R17" s="385"/>
    </row>
    <row r="18" spans="1:18" ht="36" customHeight="1" x14ac:dyDescent="0.25">
      <c r="B18" s="448" t="s">
        <v>4667</v>
      </c>
      <c r="C18" s="449"/>
      <c r="D18" s="449"/>
      <c r="E18" s="450"/>
      <c r="F18" s="385"/>
      <c r="G18" s="385"/>
      <c r="H18" s="385"/>
      <c r="I18" s="385"/>
      <c r="J18" s="385"/>
      <c r="K18" s="385"/>
      <c r="L18" s="385"/>
      <c r="M18" s="385"/>
      <c r="N18" s="385"/>
      <c r="O18" s="385"/>
      <c r="P18" s="385"/>
      <c r="Q18" s="385"/>
      <c r="R18" s="385"/>
    </row>
    <row r="19" spans="1:18" s="386" customFormat="1" ht="18.75" x14ac:dyDescent="0.25">
      <c r="B19" s="469" t="s">
        <v>4456</v>
      </c>
      <c r="C19" s="470"/>
      <c r="D19" s="470"/>
      <c r="E19" s="471"/>
      <c r="F19" s="385"/>
      <c r="G19" s="385"/>
      <c r="H19" s="385"/>
      <c r="I19" s="385"/>
      <c r="J19" s="385"/>
      <c r="K19" s="385"/>
      <c r="L19" s="385"/>
      <c r="M19" s="385"/>
      <c r="N19" s="385"/>
      <c r="O19" s="385"/>
      <c r="P19" s="385"/>
      <c r="Q19" s="385"/>
      <c r="R19" s="385"/>
    </row>
    <row r="20" spans="1:18" ht="18.75" x14ac:dyDescent="0.25">
      <c r="B20" s="469" t="s">
        <v>4012</v>
      </c>
      <c r="C20" s="470"/>
      <c r="D20" s="470"/>
      <c r="E20" s="471"/>
      <c r="F20" s="385"/>
      <c r="G20" s="385"/>
      <c r="H20" s="385"/>
      <c r="I20" s="385"/>
      <c r="J20" s="385"/>
      <c r="K20" s="385"/>
      <c r="L20" s="385"/>
      <c r="M20" s="385"/>
      <c r="N20" s="385"/>
      <c r="O20" s="385"/>
      <c r="P20" s="385"/>
      <c r="Q20" s="385"/>
      <c r="R20" s="385"/>
    </row>
    <row r="21" spans="1:18" ht="24.6" customHeight="1" x14ac:dyDescent="0.25">
      <c r="B21" s="457" t="s">
        <v>4013</v>
      </c>
      <c r="C21" s="458"/>
      <c r="D21" s="458"/>
      <c r="E21" s="459"/>
      <c r="F21" s="385"/>
      <c r="G21" s="385"/>
      <c r="H21" s="385"/>
      <c r="I21" s="385"/>
      <c r="J21" s="385"/>
      <c r="K21" s="385"/>
      <c r="L21" s="385"/>
      <c r="M21" s="385"/>
      <c r="N21" s="385"/>
      <c r="O21" s="385"/>
      <c r="P21" s="385"/>
      <c r="Q21" s="385"/>
      <c r="R21" s="385"/>
    </row>
    <row r="22" spans="1:18" ht="18.75" x14ac:dyDescent="0.3">
      <c r="B22" s="32"/>
      <c r="C22" s="32"/>
      <c r="D22" s="32"/>
      <c r="E22" s="32"/>
      <c r="F22" s="32"/>
      <c r="G22" s="32"/>
      <c r="H22" s="32"/>
      <c r="I22" s="32"/>
      <c r="J22" s="32"/>
      <c r="K22" s="32"/>
      <c r="L22" s="32"/>
      <c r="M22" s="32"/>
      <c r="N22" s="32"/>
      <c r="O22" s="32"/>
      <c r="P22" s="32"/>
      <c r="Q22" s="32"/>
      <c r="R22" s="32"/>
    </row>
    <row r="23" spans="1:18" ht="36" customHeight="1" x14ac:dyDescent="0.3">
      <c r="B23" s="92" t="s">
        <v>3301</v>
      </c>
      <c r="C23" s="32"/>
      <c r="D23" s="32"/>
      <c r="E23" s="32"/>
      <c r="F23" s="32"/>
      <c r="G23" s="32"/>
      <c r="H23" s="32"/>
      <c r="I23" s="32"/>
      <c r="J23" s="32"/>
      <c r="K23" s="32"/>
      <c r="L23" s="32"/>
      <c r="M23" s="32"/>
      <c r="N23" s="32"/>
      <c r="O23" s="32"/>
      <c r="P23" s="32"/>
      <c r="Q23" s="32"/>
      <c r="R23" s="32"/>
    </row>
    <row r="24" spans="1:18" ht="32.1" customHeight="1" x14ac:dyDescent="0.3">
      <c r="B24" s="373" t="s">
        <v>3627</v>
      </c>
      <c r="C24" s="454" t="s">
        <v>3628</v>
      </c>
      <c r="D24" s="455"/>
      <c r="E24" s="456"/>
      <c r="F24" s="32"/>
      <c r="G24" s="32"/>
      <c r="H24" s="32"/>
      <c r="I24" s="32"/>
      <c r="J24" s="32"/>
      <c r="K24" s="32"/>
      <c r="L24" s="32"/>
      <c r="M24" s="32"/>
      <c r="N24" s="32"/>
      <c r="O24" s="32"/>
      <c r="P24" s="32"/>
      <c r="Q24" s="32"/>
      <c r="R24" s="32"/>
    </row>
    <row r="25" spans="1:18" ht="34.5" customHeight="1" x14ac:dyDescent="0.3">
      <c r="A25" s="21"/>
      <c r="B25" s="93" t="s">
        <v>3298</v>
      </c>
      <c r="C25" s="454" t="s">
        <v>3626</v>
      </c>
      <c r="D25" s="455"/>
      <c r="E25" s="456"/>
      <c r="F25" s="32"/>
      <c r="G25" s="73"/>
      <c r="H25" s="73"/>
      <c r="I25" s="73"/>
      <c r="J25" s="73"/>
      <c r="K25" s="73"/>
      <c r="L25" s="73"/>
      <c r="M25" s="73"/>
      <c r="N25" s="73"/>
      <c r="O25" s="73"/>
      <c r="P25" s="73"/>
      <c r="Q25" s="73"/>
      <c r="R25" s="73"/>
    </row>
    <row r="26" spans="1:18" ht="35.65" customHeight="1" x14ac:dyDescent="0.3">
      <c r="A26" s="21"/>
      <c r="B26" s="94" t="s">
        <v>3299</v>
      </c>
      <c r="C26" s="454" t="s">
        <v>3625</v>
      </c>
      <c r="D26" s="455"/>
      <c r="E26" s="456"/>
      <c r="F26" s="32"/>
      <c r="G26" s="73"/>
      <c r="H26" s="73"/>
      <c r="I26" s="73"/>
      <c r="J26" s="73"/>
      <c r="K26" s="73"/>
      <c r="L26" s="73"/>
      <c r="M26" s="73"/>
      <c r="N26" s="73"/>
      <c r="O26" s="73"/>
      <c r="P26" s="73"/>
      <c r="Q26" s="73"/>
      <c r="R26" s="73"/>
    </row>
    <row r="27" spans="1:18" ht="35.85" customHeight="1" x14ac:dyDescent="0.3">
      <c r="A27" s="21"/>
      <c r="B27" s="95"/>
      <c r="C27" s="451" t="s">
        <v>3767</v>
      </c>
      <c r="D27" s="452"/>
      <c r="E27" s="453"/>
      <c r="F27" s="32"/>
      <c r="G27" s="74"/>
      <c r="H27" s="74"/>
      <c r="I27" s="74"/>
      <c r="J27" s="74"/>
      <c r="K27" s="74"/>
      <c r="L27" s="74"/>
      <c r="M27" s="74"/>
      <c r="N27" s="74"/>
      <c r="O27" s="74"/>
      <c r="P27" s="74"/>
      <c r="Q27" s="74"/>
      <c r="R27" s="74"/>
    </row>
    <row r="28" spans="1:18" ht="63" customHeight="1" x14ac:dyDescent="0.3">
      <c r="A28" s="21"/>
      <c r="B28" s="96"/>
      <c r="C28" s="451" t="s">
        <v>4517</v>
      </c>
      <c r="D28" s="452"/>
      <c r="E28" s="453"/>
      <c r="F28" s="32"/>
      <c r="G28" s="74"/>
      <c r="H28" s="74"/>
      <c r="I28" s="74"/>
      <c r="J28" s="74"/>
      <c r="K28" s="74"/>
      <c r="L28" s="74"/>
      <c r="M28" s="74"/>
      <c r="N28" s="74"/>
      <c r="O28" s="74"/>
      <c r="P28" s="74"/>
      <c r="Q28" s="74"/>
      <c r="R28" s="74"/>
    </row>
    <row r="29" spans="1:18" ht="35.85" customHeight="1" x14ac:dyDescent="0.3">
      <c r="A29" s="21"/>
      <c r="B29" s="97"/>
      <c r="C29" s="451" t="s">
        <v>3799</v>
      </c>
      <c r="D29" s="452"/>
      <c r="E29" s="453"/>
      <c r="F29" s="32"/>
      <c r="G29" s="74"/>
      <c r="H29" s="74"/>
      <c r="I29" s="74"/>
      <c r="J29" s="74"/>
      <c r="K29" s="74"/>
      <c r="L29" s="74"/>
      <c r="M29" s="74"/>
      <c r="N29" s="74"/>
      <c r="O29" s="74"/>
      <c r="P29" s="74"/>
      <c r="Q29" s="74"/>
      <c r="R29" s="74"/>
    </row>
    <row r="30" spans="1:18" ht="30.6" customHeight="1" x14ac:dyDescent="0.3">
      <c r="B30" s="98" t="s">
        <v>3631</v>
      </c>
      <c r="C30" s="454" t="s">
        <v>3738</v>
      </c>
      <c r="D30" s="455"/>
      <c r="E30" s="456"/>
      <c r="F30" s="32"/>
      <c r="G30" s="73"/>
      <c r="H30" s="73"/>
      <c r="I30" s="73"/>
      <c r="J30" s="73"/>
      <c r="K30" s="73"/>
      <c r="L30" s="73"/>
      <c r="M30" s="73"/>
      <c r="N30" s="73"/>
      <c r="O30" s="73"/>
      <c r="P30" s="73"/>
      <c r="Q30" s="73"/>
      <c r="R30" s="73"/>
    </row>
    <row r="31" spans="1:18" ht="22.35" customHeight="1" x14ac:dyDescent="0.3">
      <c r="B31" s="99" t="s">
        <v>3300</v>
      </c>
      <c r="C31" s="454" t="s">
        <v>3630</v>
      </c>
      <c r="D31" s="455"/>
      <c r="E31" s="456"/>
      <c r="F31" s="32"/>
      <c r="G31" s="73"/>
      <c r="H31" s="73"/>
      <c r="I31" s="73"/>
      <c r="J31" s="73"/>
      <c r="K31" s="73"/>
      <c r="L31" s="73"/>
      <c r="M31" s="73"/>
      <c r="N31" s="73"/>
      <c r="O31" s="73"/>
      <c r="P31" s="73"/>
      <c r="Q31" s="73"/>
      <c r="R31" s="73"/>
    </row>
    <row r="32" spans="1:18" ht="22.35" customHeight="1" x14ac:dyDescent="0.3">
      <c r="B32" s="100"/>
      <c r="C32" s="454" t="s">
        <v>3796</v>
      </c>
      <c r="D32" s="455"/>
      <c r="E32" s="456"/>
      <c r="F32" s="32"/>
      <c r="G32" s="73"/>
      <c r="H32" s="73"/>
      <c r="I32" s="73"/>
      <c r="J32" s="73"/>
      <c r="K32" s="73"/>
      <c r="L32" s="73"/>
      <c r="M32" s="73"/>
      <c r="N32" s="73"/>
      <c r="O32" s="73"/>
      <c r="P32" s="73"/>
      <c r="Q32" s="73"/>
      <c r="R32" s="73"/>
    </row>
    <row r="33" spans="1:18" ht="45.75" customHeight="1" x14ac:dyDescent="0.3">
      <c r="A33" s="21"/>
      <c r="B33" s="101" t="s">
        <v>3291</v>
      </c>
      <c r="C33" s="451" t="s">
        <v>3739</v>
      </c>
      <c r="D33" s="452"/>
      <c r="E33" s="453"/>
      <c r="F33" s="32"/>
      <c r="G33" s="75"/>
      <c r="H33" s="75"/>
      <c r="I33" s="75"/>
      <c r="J33" s="75"/>
      <c r="K33" s="75"/>
      <c r="L33" s="75"/>
      <c r="M33" s="75"/>
      <c r="N33" s="75"/>
      <c r="O33" s="75"/>
      <c r="P33" s="75"/>
      <c r="Q33" s="75"/>
      <c r="R33" s="75"/>
    </row>
    <row r="38" spans="1:18" x14ac:dyDescent="0.25">
      <c r="B38" s="466"/>
      <c r="C38" s="467"/>
      <c r="D38" s="467"/>
      <c r="E38" s="468"/>
    </row>
    <row r="39" spans="1:18" ht="97.15" customHeight="1" x14ac:dyDescent="0.35">
      <c r="B39" s="460" t="s">
        <v>3644</v>
      </c>
      <c r="C39" s="461"/>
      <c r="D39" s="461"/>
      <c r="E39" s="462"/>
    </row>
    <row r="40" spans="1:18" ht="21" x14ac:dyDescent="0.35">
      <c r="B40" s="463" t="s">
        <v>3643</v>
      </c>
      <c r="C40" s="464"/>
      <c r="D40" s="464"/>
      <c r="E40" s="465"/>
    </row>
  </sheetData>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election activeCell="C8" sqref="C8"/>
    </sheetView>
  </sheetViews>
  <sheetFormatPr defaultColWidth="8.85546875" defaultRowHeight="15" x14ac:dyDescent="0.25"/>
  <cols>
    <col min="1" max="1" width="3.7109375" style="16" customWidth="1"/>
    <col min="2" max="2" width="98.140625" style="16" customWidth="1"/>
    <col min="3" max="3" width="50.7109375" style="16" customWidth="1"/>
    <col min="4" max="16384" width="8.85546875" style="16"/>
  </cols>
  <sheetData>
    <row r="1" spans="2:3" ht="15.75" thickBot="1" x14ac:dyDescent="0.3"/>
    <row r="2" spans="2:3" ht="18.75" x14ac:dyDescent="0.3">
      <c r="B2" s="326"/>
      <c r="C2" s="327" t="s">
        <v>4633</v>
      </c>
    </row>
    <row r="3" spans="2:3" ht="26.25" x14ac:dyDescent="0.4">
      <c r="B3" s="328" t="s">
        <v>4634</v>
      </c>
      <c r="C3" s="329" t="str">
        <f>IF(
   COUNTIFS(C5:C68,"&lt;&gt;OK",C5:C68,"&lt;&gt;-",C5:C68,"&lt;&gt;")=0,
   "COMPLETE",
   "INCOMPLETE"
)</f>
        <v>INCOMPLETE</v>
      </c>
    </row>
    <row r="4" spans="2:3" ht="18.75" x14ac:dyDescent="0.25">
      <c r="B4" s="330" t="s">
        <v>4635</v>
      </c>
      <c r="C4" s="331" t="s">
        <v>4636</v>
      </c>
    </row>
    <row r="5" spans="2:3" x14ac:dyDescent="0.25">
      <c r="B5" s="376" t="s">
        <v>4637</v>
      </c>
      <c r="C5" s="336"/>
    </row>
    <row r="6" spans="2:3" x14ac:dyDescent="0.25">
      <c r="B6" s="370" t="s">
        <v>4668</v>
      </c>
      <c r="C6" s="332"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25">
      <c r="B7" s="371" t="s">
        <v>4669</v>
      </c>
      <c r="C7" s="332" t="str">
        <f>IF(COUNTIF('General Information'!F18:F29, "MISSING VALUE") &gt; 0, "MISSING VALUE",
IF(COUNTIF('General Information'!F18:F29, "INVALID URL") &gt; 0, "INVALID URL",
IF(COUNTIF('General Information'!F18:F29, "OK") &gt; 0, "OK", "-")))</f>
        <v>INVALID URL</v>
      </c>
    </row>
    <row r="8" spans="2:3" ht="15.75" x14ac:dyDescent="0.25">
      <c r="B8" s="377" t="s">
        <v>3298</v>
      </c>
      <c r="C8" s="337"/>
    </row>
    <row r="9" spans="2:3" x14ac:dyDescent="0.25">
      <c r="B9" s="376" t="s">
        <v>4637</v>
      </c>
      <c r="C9" s="336"/>
    </row>
    <row r="10" spans="2:3" x14ac:dyDescent="0.25">
      <c r="B10" s="368" t="s">
        <v>4670</v>
      </c>
      <c r="C10" s="332"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MISSING VALUE</v>
      </c>
    </row>
    <row r="11" spans="2:3" x14ac:dyDescent="0.25">
      <c r="B11" s="367" t="s">
        <v>4671</v>
      </c>
      <c r="C11" s="332"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25">
      <c r="B12" s="367" t="s">
        <v>4672</v>
      </c>
      <c r="C12" s="332" t="str">
        <f>IF(COUNTIF('General Information'!F70:F94, "MISSING VALUE") &gt; 0, "MISSING VALUE", IF(COUNTIF('General Information'!F70:F94, "OK") &gt; 0, "OK", "-"))</f>
        <v>-</v>
      </c>
    </row>
    <row r="13" spans="2:3" x14ac:dyDescent="0.25">
      <c r="B13" s="367" t="s">
        <v>4673</v>
      </c>
      <c r="C13" s="332" t="str">
        <f>IF(COUNTIF('General Information'!I100, "MISSING VALUE") &gt; 0, "MISSING VALUE", IF(COUNTIF('General Information'!I100, "OK") &gt; 0, "OK", "-"))</f>
        <v>OK</v>
      </c>
    </row>
    <row r="14" spans="2:3" x14ac:dyDescent="0.25">
      <c r="B14" s="367" t="s">
        <v>4674</v>
      </c>
      <c r="C14" s="332" t="str">
        <f>IF(COUNTIF('General Information'!I108:I132, "MISSING VALUE") &gt; 0, "MISSING VALUE", IF(COUNTIF('General Information'!I108:I132, "OK") &gt; 0, "OK", "-"))</f>
        <v>MISSING VALUE</v>
      </c>
    </row>
    <row r="15" spans="2:3" x14ac:dyDescent="0.25">
      <c r="B15" s="367" t="s">
        <v>4656</v>
      </c>
      <c r="C15" s="332"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25">
      <c r="B16" s="367" t="s">
        <v>4726</v>
      </c>
      <c r="C16" s="332" t="str">
        <f>IF(COUNTIF('General Information'!P139, "MISSING VALUE") &gt; 0, "MISSING VALUE", IF(COUNTIF('General Information'!P139, "OK") &gt; 0, "OK", "-"))</f>
        <v>OK</v>
      </c>
    </row>
    <row r="17" spans="2:3" x14ac:dyDescent="0.25">
      <c r="B17" s="367" t="s">
        <v>4727</v>
      </c>
      <c r="C17" s="332" t="str" cm="1">
        <f t="array" ref="C17">IF(OR('General Information'!E143:E145="OK"),"OK","-")</f>
        <v>OK</v>
      </c>
    </row>
    <row r="18" spans="2:3" x14ac:dyDescent="0.25">
      <c r="B18" s="374" t="s">
        <v>4638</v>
      </c>
      <c r="C18" s="336"/>
    </row>
    <row r="19" spans="2:3" x14ac:dyDescent="0.25">
      <c r="B19" s="369" t="s">
        <v>4678</v>
      </c>
      <c r="C19" s="332"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VALUE INCONSISTENCY</v>
      </c>
    </row>
    <row r="20" spans="2:3" x14ac:dyDescent="0.25">
      <c r="B20" s="370" t="s">
        <v>4728</v>
      </c>
      <c r="C20" s="332" t="str">
        <f>IF(COUNTIF('Environmental Disclosures'!L5, "MISSING VALUE") &gt; 0, "MISSING VALUE", IF(COUNTIF('Environmental Disclosures'!L5, "OK") &gt; 0, "OK", "-"))</f>
        <v>OK</v>
      </c>
    </row>
    <row r="21" spans="2:3" x14ac:dyDescent="0.25">
      <c r="B21" s="370" t="s">
        <v>4729</v>
      </c>
      <c r="C21" s="335"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VALUE INCONSISTENCY</v>
      </c>
    </row>
    <row r="22" spans="2:3" x14ac:dyDescent="0.25">
      <c r="B22" s="370" t="s">
        <v>4730</v>
      </c>
      <c r="C22" s="332" t="str">
        <f>IF(COUNTIF('Environmental Disclosures'!L21:L44, "MISSING VALUE") &gt; 0, "MISSING VALUE", IF(COUNTIF('Environmental Disclosures'!L21:L44, "OK") &gt; 0, "OK", "-"))</f>
        <v>MISSING VALUE</v>
      </c>
    </row>
    <row r="23" spans="2:3" x14ac:dyDescent="0.25">
      <c r="B23" s="370" t="s">
        <v>4731</v>
      </c>
      <c r="C23" s="335" t="str">
        <f>IF(C22="OK", "OK", "-")</f>
        <v>-</v>
      </c>
    </row>
    <row r="24" spans="2:3" x14ac:dyDescent="0.25">
      <c r="B24" s="370" t="s">
        <v>4679</v>
      </c>
      <c r="C24" s="332" t="str">
        <f>IF(COUNTIF('Environmental Disclosures'!L72:L116, "INVALID URL") &gt; 0,
   "INVALID URL",
IF(AND(COUNTIF('Environmental Disclosures'!L72:L116, "MISSING VALUE") &gt; 0,
       COUNTIF('Environmental Disclosures'!L72:L116, "VALUE INCONSISTENCY") &gt; 0),
   "MISSING VALUE + VALUE INCONSISTENCY",
IF(COUNTIF('Environmental Disclosures'!L72:L116, "MISSING VALUE") &gt; 0,
   "MISSING VALUE",
IF(COUNTIF('Environmental Disclosures'!L72:L116, "VALUE INCONSISTENCY") &gt; 0,
   "VALUE INCONSISTENCY",
IF(COUNTIF('Environmental Disclosures'!L72:L116, "OK") &gt; 0,
   "OK",
"-")))))</f>
        <v>INVALID URL</v>
      </c>
    </row>
    <row r="25" spans="2:3" x14ac:dyDescent="0.25">
      <c r="B25" s="370" t="s">
        <v>4641</v>
      </c>
      <c r="C25" s="332"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25">
      <c r="B26" s="370" t="s">
        <v>4732</v>
      </c>
      <c r="C26" s="332" t="str">
        <f>IF(COUNTA('Environmental Disclosures'!D125:L150)=0, "-",
IF(AND(
   COUNTIF('Environmental Disclosures'!D125:L150, "MISSING VALUE") &gt; 0,
   COUNTIF('Environmental Disclosures'!D125:L150, "VALUE INCONSISTENCY") = 0),
   "MISSING VALUE",
IF(AND(
   COUNTIF('Environmental Disclosures'!D125:L150, "VALUE INCONSISTENCY") &gt; 0,
   COUNTIF('Environmental Disclosures'!D125:L150, "MISSING VALUE") = 0),
   "VALUE INCONSISTENCY",
IF(AND(
   COUNTIF('Environmental Disclosures'!D125:L150, "VALUE INCONSISTENCY") &gt; 0,
   COUNTIF('Environmental Disclosures'!D125:L150, "MISSING VALUE") &gt; 0),
   "MISSING VALUE + VALUE INCONSISTENCY",
"OK"))))</f>
        <v>OK</v>
      </c>
    </row>
    <row r="27" spans="2:3" x14ac:dyDescent="0.25">
      <c r="B27" s="370" t="s">
        <v>4733</v>
      </c>
      <c r="C27" s="332" t="str">
        <f>IF(
AND(
COUNTIF('Environmental Disclosures'!G156:G161,"MISSING VALUE")&gt;0,
COUNTIF('Environmental Disclosures'!G156:G161,"VALUE INCONSISTENCY")=0,
COUNTIF('Environmental Disclosures'!G156:G161,"OK")&gt;=0
),
"MISSING VALUE",
IF(
AND(
COUNTIF('Environmental Disclosures'!G156:G161,"VALUE INCONSISTENCY")&gt;0,
COUNTIF('Environmental Disclosures'!G156:G161,"MISSING VALUE")=0,
COUNTIF('Environmental Disclosures'!G156:G161,"OK")&gt;=0
),
"VALUE INCONSISTENCY",
IF(
AND(
COUNTIF('Environmental Disclosures'!G156:G161,"VALUE INCONSISTENCY")&gt;0,
COUNTIF('Environmental Disclosures'!G156:G161,"MISSING VALUE")&gt;0,
COUNTIF('Environmental Disclosures'!G156:G161,"OK")&gt;=0
),
"MISSING VALUE + VALUE INCONSISTENCY",
IF(
AND(
COUNTIF('Environmental Disclosures'!G156:G161,"VALUE INCONSISTENCY")=0,
COUNTIF('Environmental Disclosures'!G156:G161,"MISSING VALUE")=0,
COUNTIF('Environmental Disclosures'!G156:G161,"OK")&gt;0
),
"OK",
"-"
)
)
))</f>
        <v>OK</v>
      </c>
    </row>
    <row r="28" spans="2:3" x14ac:dyDescent="0.25">
      <c r="B28" s="370" t="s">
        <v>4680</v>
      </c>
      <c r="C28" s="332"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25">
      <c r="B29" s="370" t="s">
        <v>4734</v>
      </c>
      <c r="C29" s="332" t="str">
        <f>IF(COUNTIF('Environmental Disclosures'!E166:F167, "MISSING VALUE") &gt; 0, "MISSING VALUE", IF(COUNTIF('Environmental Disclosures'!E166:F167, "OK") &gt; 0, "OK", "-"))</f>
        <v>OK</v>
      </c>
    </row>
    <row r="30" spans="2:3" x14ac:dyDescent="0.25">
      <c r="B30" s="370" t="s">
        <v>4735</v>
      </c>
      <c r="C30" s="332" t="str">
        <f>IF(COUNTIF('Environmental Disclosures'!E173:F173, "MISSING VALUE") &gt; 0, "MISSING VALUE", IF(COUNTIF('Environmental Disclosures'!E173:F173, "OK") &gt; 0, "OK", "-"))</f>
        <v>OK</v>
      </c>
    </row>
    <row r="31" spans="2:3" x14ac:dyDescent="0.25">
      <c r="B31" s="370" t="s">
        <v>4681</v>
      </c>
      <c r="C31" s="332"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25">
      <c r="B32" s="370" t="s">
        <v>4682</v>
      </c>
      <c r="C32" s="332" t="str">
        <f>IF(
AND(
COUNTIF('Environmental Disclosures'!H179:I180,"MISSING VALUE")&gt;0,
COUNTIF('Environmental Disclosures'!H179:I180,"VALUE INCONSISTENCY")=0,
COUNTIF('Environmental Disclosures'!H179:I180,"OK")&gt;=0
),
"MISSING VALUE",
IF(
AND(
COUNTIF('Environmental Disclosures'!H179:I180,"VALUE INCONSISTENCY")&gt;0,
COUNTIF('Environmental Disclosures'!H179:I180,"MISSING VALUE")=0,
COUNTIF('Environmental Disclosures'!H179:I180,"OK")&gt;=0
),
"VALUE INCONSISTENCY",
IF(
AND(
COUNTIF('Environmental Disclosures'!H179:I180,"VALUE INCONSISTENCY")&gt;0,
COUNTIF('Environmental Disclosures'!H179:I180,"MISSING VALUE")&gt;0,
COUNTIF('Environmental Disclosures'!H179:I180,"OK")&gt;=0
),
"MISSING VALUE + VALUE INCONSISTENCY",
IF(
AND(
COUNTIF('Environmental Disclosures'!H179:I180,"VALUE INCONSISTENCY")=0,
COUNTIF('Environmental Disclosures'!H179:I180,"MISSING VALUE")=0,
COUNTIF('Environmental Disclosures'!H179:I180,"OK")&gt;0
),
"OK",
"-"
)
)
))</f>
        <v>OK</v>
      </c>
    </row>
    <row r="33" spans="2:3" x14ac:dyDescent="0.25">
      <c r="B33" s="370" t="s">
        <v>4683</v>
      </c>
      <c r="C33" s="332" t="str">
        <f>IF(
    AND(
        COUNTIF('Environmental Disclosures'!M186:M201,"ERROR")&gt;0,
        COUNTIF('Environmental Disclosures'!M186:M201,"MISSING VALUE")&gt;0,
        COUNTIF('Environmental Disclosures'!M186:M201,"VALUE INCONSISTENCY")&gt;0
    ),
    "ERROR + MISSING VALUE + VALUE INCONSISTENCY",
IF(
    AND(
        COUNTIF('Environmental Disclosures'!M186:M201,"ERROR")&gt;0,
        COUNTIF('Environmental Disclosures'!M186:M201,"VALUE INCONSISTENCY")&gt;0,
        COUNTIF('Environmental Disclosures'!M186:M201,"MISSING VALUE")=0
    ),
    "ERROR + VALUE INCONSISTENCY",
IF(
    AND(
        COUNTIF('Environmental Disclosures'!M186:M201,"ERROR")&gt;0,
        COUNTIF('Environmental Disclosures'!M186:M201,"MISSING VALUE")&gt;0,
        COUNTIF('Environmental Disclosures'!M186:M201,"VALUE INCONSISTENCY")=0
    ),
    "ERROR + MISSING VALUE",
IF(
    AND(
        COUNTIF('Environmental Disclosures'!M186:M201,"MISSING VALUE")&gt;0,
        COUNTIF('Environmental Disclosures'!M186:M201,"VALUE INCONSISTENCY")&gt;0,
        COUNTIF('Environmental Disclosures'!M186:M201,"ERROR")=0
    ),
    "MISSING VALUE + VALUE INCONSISTENCY",
IF(
    AND(
        COUNTIF('Environmental Disclosures'!M186:M201,"ERROR")&gt;0,
        COUNTIF('Environmental Disclosures'!M186:M201,"MISSING VALUE")=0,
        COUNTIF('Environmental Disclosures'!M186:M201,"VALUE INCONSISTENCY")=0
    ),
    "ERROR",
IF(
    AND(
        COUNTIF('Environmental Disclosures'!M186:M201,"MISSING VALUE")&gt;0,
        COUNTIF('Environmental Disclosures'!M186:M201,"ERROR")=0,
        COUNTIF('Environmental Disclosures'!M186:M201,"VALUE INCONSISTENCY")=0
    ),
    "MISSING VALUE",
IF(
    AND(
        COUNTIF('Environmental Disclosures'!M186:M201,"VALUE INCONSISTENCY")&gt;0,
        COUNTIF('Environmental Disclosures'!M186:M201,"ERROR")=0,
        COUNTIF('Environmental Disclosures'!M186:M201,"MISSING VALUE")=0
    ),
    "VALUE INCONSISTENCY",
IF(
    AND(
        COUNTIF('Environmental Disclosures'!M186:M201,"ERROR")=0,
        COUNTIF('Environmental Disclosures'!M186:M201,"MISSING VALUE")=0,
        COUNTIF('Environmental Disclosures'!M186:M201,"VALUE INCONSISTENCY")=0,
        COUNTIF('Environmental Disclosures'!M186:M201,"OK")&gt;0
    ),
    "OK",
"-"
))))))))</f>
        <v>OK</v>
      </c>
    </row>
    <row r="34" spans="2:3" x14ac:dyDescent="0.25">
      <c r="B34" s="370" t="s">
        <v>4684</v>
      </c>
      <c r="C34" s="332" t="str">
        <f>IF(COUNTIF('Environmental Disclosures'!K213:K227, "MISSING VALUE") &gt; 0, "MISSING VALUE", IF(COUNTIF('Environmental Disclosures'!K213:K227, "OK") &gt; 0, "OK", "-"))</f>
        <v>OK</v>
      </c>
    </row>
    <row r="35" spans="2:3" x14ac:dyDescent="0.25">
      <c r="B35" s="374" t="s">
        <v>4639</v>
      </c>
      <c r="C35" s="336"/>
    </row>
    <row r="36" spans="2:3" x14ac:dyDescent="0.25">
      <c r="B36" s="369" t="s">
        <v>4691</v>
      </c>
      <c r="C36" s="332"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MISSING VALUE</v>
      </c>
    </row>
    <row r="37" spans="2:3" x14ac:dyDescent="0.25">
      <c r="B37" s="370" t="s">
        <v>4692</v>
      </c>
      <c r="C37" s="332" t="str">
        <f>IF(COUNTIF('Social Disclosures'!H10, "MISSING VALUE") &gt; 0, "MISSING VALUE", IF(COUNTIF('Social Disclosures'!H10, "OK") &gt; 0, "OK", "-"))</f>
        <v>OK</v>
      </c>
    </row>
    <row r="38" spans="2:3" x14ac:dyDescent="0.25">
      <c r="B38" s="370" t="s">
        <v>4693</v>
      </c>
      <c r="C38" s="332" t="str">
        <f>IF(COUNTIF('Social Disclosures'!H18:H21, "MISSING VALUE") &gt; 0, "MISSING VALUE", IF(COUNTIF('Social Disclosures'!H18:H21, "OK") &gt; 0, "OK", "-"))</f>
        <v>MISSING VALUE</v>
      </c>
    </row>
    <row r="39" spans="2:3" x14ac:dyDescent="0.25">
      <c r="B39" s="370" t="s">
        <v>4695</v>
      </c>
      <c r="C39" s="332" t="str">
        <f>IF(COUNTIF('Social Disclosures'!I28:I37, "MISSING VALUE") &gt; 0, "MISSING VALUE", IF(COUNTIF('Social Disclosures'!I28:I37, "OK") &gt; 0, "OK", "-"))</f>
        <v>OK</v>
      </c>
    </row>
    <row r="40" spans="2:3" x14ac:dyDescent="0.25">
      <c r="B40" s="370" t="s">
        <v>4696</v>
      </c>
      <c r="C40" s="332" t="str">
        <f>IF(COUNTIF('Social Disclosures'!I43:I45, "MISSING VALUE") &gt; 0, "MISSING VALUE", IF(COUNTIF('Social Disclosures'!I43:I45, "OK") &gt; 0, "OK", "-"))</f>
        <v>MISSING VALUE</v>
      </c>
    </row>
    <row r="41" spans="2:3" x14ac:dyDescent="0.25">
      <c r="B41" s="370" t="s">
        <v>4694</v>
      </c>
      <c r="C41" s="332" t="str">
        <f>IF(COUNTIF('Social Disclosures'!I49:I53, "MISSING VALUE") &gt; 0, "MISSING VALUE", IF(COUNTIF('Social Disclosures'!I49:I53, "OK") &gt; 0, "OK", "-"))</f>
        <v>OK</v>
      </c>
    </row>
    <row r="42" spans="2:3" x14ac:dyDescent="0.25">
      <c r="B42" s="371" t="s">
        <v>4697</v>
      </c>
      <c r="C42" s="332" t="str">
        <f>IF(COUNTIF('Social Disclosures'!I56:I60, "MISSING VALUE") &gt; 0, "MISSING VALUE", IF(COUNTIF('Social Disclosures'!I56:I60, "OK") &gt; 0, "OK", "-"))</f>
        <v>OK</v>
      </c>
    </row>
    <row r="43" spans="2:3" x14ac:dyDescent="0.25">
      <c r="B43" s="374" t="s">
        <v>4640</v>
      </c>
      <c r="C43" s="336"/>
    </row>
    <row r="44" spans="2:3" x14ac:dyDescent="0.25">
      <c r="B44" s="371" t="s">
        <v>4702</v>
      </c>
      <c r="C44" s="332" t="str">
        <f>IF(COUNTIF('Governance Disclosures'!I6:I7, "MISSING VALUE") &gt; 0, "MISSING VALUE", IF(COUNTIF('Governance Disclosures'!I6:I7, "OK") &gt; 0, "OK", "-"))</f>
        <v>OK</v>
      </c>
    </row>
    <row r="45" spans="2:3" ht="15.75" x14ac:dyDescent="0.25">
      <c r="B45" s="377" t="s">
        <v>3299</v>
      </c>
      <c r="C45" s="337"/>
    </row>
    <row r="46" spans="2:3" x14ac:dyDescent="0.25">
      <c r="B46" s="376" t="s">
        <v>4637</v>
      </c>
      <c r="C46" s="336"/>
    </row>
    <row r="47" spans="2:3" x14ac:dyDescent="0.25">
      <c r="B47" s="367" t="s">
        <v>4675</v>
      </c>
      <c r="C47" s="332" t="str">
        <f>IF(COUNTIF('General Information'!H154:H160, "MISSING VALUE") &gt; 0, "MISSING VALUE", IF(COUNTIF('General Information'!H154:H160, "OK") &gt; 0, "OK", "-"))</f>
        <v>OK</v>
      </c>
    </row>
    <row r="48" spans="2:3" ht="30" x14ac:dyDescent="0.25">
      <c r="B48" s="367" t="s">
        <v>4676</v>
      </c>
      <c r="C48" s="332" t="str">
        <f>IF(COUNTIF('General Information'!H148:H150, "MISSING VALUE") &gt; 0, "MISSING VALUE", IF(COUNTIF('General Information'!H148:H150, "OK") &gt; 0, "OK", "-"))</f>
        <v>OK</v>
      </c>
    </row>
    <row r="49" spans="2:3" x14ac:dyDescent="0.25">
      <c r="B49" s="374" t="s">
        <v>4638</v>
      </c>
      <c r="C49" s="336"/>
    </row>
    <row r="50" spans="2:3" x14ac:dyDescent="0.25">
      <c r="B50" s="369" t="s">
        <v>4685</v>
      </c>
      <c r="C50" s="332" t="str">
        <f>IF(COUNTIF(C51:C53,"ERROR + MISSING VALUE + VALUE INCONSISTENCY")&gt;0,"ERROR + MISSING VALUE + VALUE INCONSISTENCY",
IF(COUNTIF(C51:C53,"ERROR + VALUE INCONSISTENCY")&gt;0,"ERROR + VALUE INCONSISTENCY",
IF(COUNTIF(C51:C53,"ERROR + MISSING VALUE")&gt;0,"ERROR + MISSING VALUE",
IF(COUNTIF(C51:C53,"ERROR")&gt;0,"ERROR",
IF(COUNTIF(C51:C53,"MISSING VALUE + VALUE INCONSISTENCY")&gt;0,"MISSING VALUE + VALUE INCONSISTENCY",
IF(COUNTIF(C51:C53,"VALUE INCONSISTENCY")&gt;0,"VALUE INCONSISTENCY",
IF(COUNTIF(C51:C53,"MISSING VALUE")&gt;0,"MISSING VALUE",
IF(COUNTIF(C51:C53,"OK")=ROWS(C51:C53),"OK",
IF(COUNTIF(C51:C53,"-")=ROWS(C51:C53),"-",
"")))))))))</f>
        <v>OK</v>
      </c>
    </row>
    <row r="51" spans="2:3" x14ac:dyDescent="0.25">
      <c r="B51" s="370" t="s">
        <v>4686</v>
      </c>
      <c r="C51" s="332" t="str">
        <f>IF(AND('General Information'!E32="Option A (Basic Module only)",
        COUNTA('Environmental Disclosures'!G21:G24)=0),
   "-",
IF(COUNTIF('Environmental Disclosures'!L52, "MISSING VALUE") &gt; 0,
   "MISSING VALUE",
IF(COUNTIF('Environmental Disclosures'!L52, "OK") &gt; 0,
   "OK",
"-")))</f>
        <v>OK</v>
      </c>
    </row>
    <row r="52" spans="2:3" x14ac:dyDescent="0.25">
      <c r="B52" s="370" t="s">
        <v>4687</v>
      </c>
      <c r="C52" s="332" t="str">
        <f>IF(COUNTIF('Environmental Disclosures'!L52, "MISSING VALUE") &gt; 0, "MISSING VALUE", IF(COUNTIF('Environmental Disclosures'!L52, "OK") &gt; 0, "OK", "-"))</f>
        <v>OK</v>
      </c>
    </row>
    <row r="53" spans="2:3" x14ac:dyDescent="0.25">
      <c r="B53" s="370" t="s">
        <v>4688</v>
      </c>
      <c r="C53" s="332" t="str">
        <f>IF(COUNTIF('Environmental Disclosures'!L57:L58, "MISSING VALUE") &gt; 0, "MISSING VALUE", IF(COUNTIF('Environmental Disclosures'!L57:L58, "OK") &gt; 0, "OK", "-"))</f>
        <v>OK</v>
      </c>
    </row>
    <row r="54" spans="2:3" x14ac:dyDescent="0.25">
      <c r="B54" s="370" t="s">
        <v>4689</v>
      </c>
      <c r="C54" s="332" t="str">
        <f>IF(COUNTIF('Environmental Disclosures'!L233:L237, "MISSING VALUE") &gt; 0, "MISSING VALUE", IF(COUNTIF('Environmental Disclosures'!L233:L237, "OK") &gt; 0, "OK", "-"))</f>
        <v>OK</v>
      </c>
    </row>
    <row r="55" spans="2:3" x14ac:dyDescent="0.25">
      <c r="B55" s="374" t="s">
        <v>4639</v>
      </c>
      <c r="C55" s="336"/>
    </row>
    <row r="56" spans="2:3" x14ac:dyDescent="0.25">
      <c r="B56" s="370" t="s">
        <v>4698</v>
      </c>
      <c r="C56" s="332" t="str">
        <f>IF(COUNTIF('Social Disclosures'!I74:I78,"OK")&gt;0,"OK","-")</f>
        <v>OK</v>
      </c>
    </row>
    <row r="57" spans="2:3" x14ac:dyDescent="0.25">
      <c r="B57" s="370" t="s">
        <v>4699</v>
      </c>
      <c r="C57" s="332"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25">
      <c r="B58" s="371" t="s">
        <v>4700</v>
      </c>
      <c r="C58" s="333"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25">
      <c r="B59" s="375" t="s">
        <v>4640</v>
      </c>
      <c r="C59" s="337"/>
    </row>
    <row r="60" spans="2:3" x14ac:dyDescent="0.25">
      <c r="B60" s="368" t="s">
        <v>4703</v>
      </c>
      <c r="C60" s="332"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VALUE INCONSISTENCY</v>
      </c>
    </row>
    <row r="61" spans="2:3" x14ac:dyDescent="0.25">
      <c r="B61" s="367" t="s">
        <v>4704</v>
      </c>
      <c r="C61" s="332" t="str">
        <f>IF(COUNTIF('Governance Disclosures'!I12:I18, "VALUE INCONSISTENCY") &gt; 0, "VALUE INCONSISTENCY", IF(COUNTIF('Governance Disclosures'!I12:I18, "OK") &gt; 0, "OK", "-"))</f>
        <v>VALUE INCONSISTENCY</v>
      </c>
    </row>
    <row r="62" spans="2:3" x14ac:dyDescent="0.25">
      <c r="B62" s="367" t="s">
        <v>4705</v>
      </c>
      <c r="C62" s="332" t="str">
        <f>IF(COUNTIF('Governance Disclosures'!I22:I26, "MISSING VALUE") &gt; 0, "MISSING VALUE", IF(COUNTIF('Governance Disclosures'!I22:I26, "OK") &gt; 0, "OK", "-"))</f>
        <v>OK</v>
      </c>
    </row>
    <row r="63" spans="2:3" x14ac:dyDescent="0.25">
      <c r="B63" s="382" t="s">
        <v>4706</v>
      </c>
      <c r="C63" s="333" t="str">
        <f>IF(COUNTIF('Governance Disclosures'!I31:I32, "MISSING VALUE") &gt; 0, "MISSING VALUE", IF(COUNTIF('Governance Disclosures'!I31:I32, "OK") &gt; 0, "OK", "-"))</f>
        <v>OK</v>
      </c>
    </row>
    <row r="64" spans="2:3" x14ac:dyDescent="0.25">
      <c r="B64" s="381" t="s">
        <v>4725</v>
      </c>
      <c r="C64" s="337"/>
    </row>
    <row r="65" spans="2:3" x14ac:dyDescent="0.25">
      <c r="B65" s="367" t="s">
        <v>4677</v>
      </c>
      <c r="C65" s="333" t="str">
        <f>IF('General Information'!I164="OK", "OK", "")</f>
        <v>OK</v>
      </c>
    </row>
    <row r="66" spans="2:3" x14ac:dyDescent="0.25">
      <c r="B66" s="371" t="s">
        <v>4690</v>
      </c>
      <c r="C66" s="333" t="str">
        <f>IF('Environmental Disclosures'!M241="OK", "OK", "")</f>
        <v>OK</v>
      </c>
    </row>
    <row r="67" spans="2:3" x14ac:dyDescent="0.25">
      <c r="B67" s="371" t="s">
        <v>4701</v>
      </c>
      <c r="C67" s="333" t="str">
        <f>IF('Social Disclosures'!I109="OK", "OK", "")</f>
        <v>OK</v>
      </c>
    </row>
    <row r="68" spans="2:3" ht="15.75" thickBot="1" x14ac:dyDescent="0.3">
      <c r="B68" s="372" t="s">
        <v>4707</v>
      </c>
      <c r="C68" s="334" t="str">
        <f>IF('Governance Disclosures'!I38="OK", "OK", "")</f>
        <v>OK</v>
      </c>
    </row>
  </sheetData>
  <conditionalFormatting sqref="B3">
    <cfRule type="expression" dxfId="385" priority="371">
      <formula>B$44="INCOMPLETE"</formula>
    </cfRule>
    <cfRule type="expression" dxfId="384" priority="372">
      <formula>B$44="COMPLETE"</formula>
    </cfRule>
  </conditionalFormatting>
  <conditionalFormatting sqref="C2">
    <cfRule type="expression" dxfId="383" priority="12">
      <formula>C$58="INCOMPLETE"</formula>
    </cfRule>
    <cfRule type="expression" dxfId="382" priority="13">
      <formula>C$58="COMPLETE"</formula>
    </cfRule>
  </conditionalFormatting>
  <conditionalFormatting sqref="C3">
    <cfRule type="expression" dxfId="381" priority="10">
      <formula>$C$3="INCOMPLETE"</formula>
    </cfRule>
    <cfRule type="expression" dxfId="380" priority="11">
      <formula>$C$3="COMPLETE"</formula>
    </cfRule>
  </conditionalFormatting>
  <conditionalFormatting sqref="C6:C8 C10:C45 C47:C68">
    <cfRule type="expression" dxfId="379" priority="1">
      <formula>$C6="VALUE INCONSISTENCY"</formula>
    </cfRule>
    <cfRule type="expression" dxfId="378" priority="2">
      <formula>$C6="INVALID URL"</formula>
    </cfRule>
    <cfRule type="expression" dxfId="377" priority="3">
      <formula>$C6="ERROR + MISSING VALUE + VALUE INCONSISTENCY"</formula>
    </cfRule>
    <cfRule type="expression" dxfId="376" priority="4">
      <formula>$C6="ERROR + VALUE INCONSISTENCY"</formula>
    </cfRule>
    <cfRule type="expression" dxfId="375" priority="5">
      <formula>$C6="ERROR + MISSING VALUE"</formula>
    </cfRule>
    <cfRule type="expression" dxfId="374" priority="6">
      <formula>$C6="MISSING VALUE + VALUE INCONSISTENCY"</formula>
    </cfRule>
    <cfRule type="expression" dxfId="373" priority="7">
      <formula>$C6="MISSING VALUE"</formula>
    </cfRule>
    <cfRule type="expression" dxfId="372" priority="8">
      <formula>$C6="ERROR"</formula>
    </cfRule>
    <cfRule type="expression" dxfId="371"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tabSelected="1" topLeftCell="A133" zoomScaleNormal="100" workbookViewId="0">
      <selection activeCell="D145" sqref="D145"/>
    </sheetView>
  </sheetViews>
  <sheetFormatPr defaultRowHeight="15" outlineLevelRow="2" x14ac:dyDescent="0.25"/>
  <cols>
    <col min="1" max="2" width="10" bestFit="1" customWidth="1"/>
    <col min="3" max="3" width="55.7109375" customWidth="1"/>
    <col min="4" max="4" width="42.85546875" customWidth="1"/>
    <col min="5" max="5" width="41.28515625" customWidth="1"/>
    <col min="6" max="6" width="23.7109375" style="2" bestFit="1" customWidth="1"/>
    <col min="7" max="7" width="13.5703125" bestFit="1" customWidth="1"/>
    <col min="8" max="8" width="91.7109375" customWidth="1"/>
    <col min="9" max="9" width="13.28515625" bestFit="1" customWidth="1"/>
    <col min="10" max="10" width="25.7109375" bestFit="1" customWidth="1"/>
    <col min="11" max="11" width="43.5703125" bestFit="1" customWidth="1"/>
    <col min="12" max="12" width="11" customWidth="1"/>
    <col min="13" max="13" width="8.7109375" customWidth="1"/>
    <col min="14" max="14" width="24" customWidth="1"/>
    <col min="15" max="15" width="15.5703125" customWidth="1"/>
    <col min="16" max="16" width="58" customWidth="1"/>
    <col min="17" max="17" width="34.5703125" customWidth="1"/>
    <col min="18" max="18" width="25" customWidth="1"/>
  </cols>
  <sheetData>
    <row r="1" spans="1:11" ht="60.75" thickBot="1" x14ac:dyDescent="0.3">
      <c r="A1" s="406" t="s">
        <v>4747</v>
      </c>
      <c r="B1" s="406" t="s">
        <v>4748</v>
      </c>
    </row>
    <row r="2" spans="1:11" ht="14.45" customHeight="1" x14ac:dyDescent="0.25">
      <c r="A2" s="137"/>
      <c r="B2" s="137"/>
      <c r="C2" s="540" t="s">
        <v>4010</v>
      </c>
      <c r="D2" s="541"/>
      <c r="E2" s="542"/>
    </row>
    <row r="3" spans="1:11" ht="14.45" customHeight="1" x14ac:dyDescent="0.25">
      <c r="A3" s="137"/>
      <c r="B3" s="137"/>
      <c r="C3" s="176" t="s">
        <v>0</v>
      </c>
      <c r="D3" s="562" t="s">
        <v>4822</v>
      </c>
      <c r="E3" s="563"/>
      <c r="F3" s="17" t="str">
        <f>IF(D3="","MISSING VALUE","OK")</f>
        <v>OK</v>
      </c>
    </row>
    <row r="4" spans="1:11" ht="14.45" customHeight="1" x14ac:dyDescent="0.25">
      <c r="A4" s="137"/>
      <c r="B4" s="137"/>
      <c r="C4" s="176" t="s">
        <v>4666</v>
      </c>
      <c r="D4" s="408" t="s">
        <v>4662</v>
      </c>
      <c r="E4" s="103" t="s">
        <v>4822</v>
      </c>
      <c r="F4" s="17" t="str">
        <f>IF(OR(D4="", E4=""),"MISSING VALUE","OK")</f>
        <v>OK</v>
      </c>
    </row>
    <row r="5" spans="1:11" ht="14.45" customHeight="1" thickBot="1" x14ac:dyDescent="0.3">
      <c r="C5" s="356" t="s">
        <v>3637</v>
      </c>
      <c r="D5" s="564" t="s">
        <v>3871</v>
      </c>
      <c r="E5" s="565"/>
      <c r="F5" s="17" t="str">
        <f>IF(D5="","MISSING VALUE","OK")</f>
        <v>OK</v>
      </c>
      <c r="H5" s="66"/>
    </row>
    <row r="6" spans="1:11" ht="14.45" customHeight="1" x14ac:dyDescent="0.25">
      <c r="C6" s="355" t="s">
        <v>3786</v>
      </c>
      <c r="D6" s="534">
        <v>2024</v>
      </c>
      <c r="E6" s="535"/>
      <c r="F6" s="570" t="str">
        <f>IF(OR(D6="", D7="", D8=""),
    "MISSING VALUE",
    IF(OR(
        AND(D7="February", D8&gt;29),
        AND(D7="February", D8=29, NOT(AND(MOD(D6,4)=0, OR(MOD(D6,100)&lt;&gt;0, MOD(D6,400)=0)))),
        AND(OR(D7="April", D7="June", D7="September", D7="November"), D8=31)
    ),
        "ERROR",
        IF(F10="VALUE INCONSISTENCY", "VALUE INCONSISTENCY", "OK")
    )
)</f>
        <v>OK</v>
      </c>
    </row>
    <row r="7" spans="1:11" ht="14.45" customHeight="1" x14ac:dyDescent="0.25">
      <c r="C7" s="192" t="s">
        <v>3787</v>
      </c>
      <c r="D7" s="566" t="s">
        <v>3755</v>
      </c>
      <c r="E7" s="567"/>
      <c r="F7" s="570"/>
    </row>
    <row r="8" spans="1:11" ht="14.45" customHeight="1" x14ac:dyDescent="0.25">
      <c r="C8" s="192" t="s">
        <v>3788</v>
      </c>
      <c r="D8" s="568">
        <v>1</v>
      </c>
      <c r="E8" s="569"/>
      <c r="F8" s="570"/>
    </row>
    <row r="9" spans="1:11" ht="14.45" customHeight="1" thickBot="1" x14ac:dyDescent="0.3">
      <c r="C9" s="173" t="s">
        <v>3789</v>
      </c>
      <c r="D9" s="532" t="str">
        <f>IF(OR(ISBLANK(D6), ISBLANK(D7), ISBLANK(D8)), "-", TEXT(DATE(D6, MONTH(DATEVALUE("1 " &amp; D7)), D8), "dd/mm/yyyy"))</f>
        <v>01/01/2024</v>
      </c>
      <c r="E9" s="533"/>
      <c r="F9"/>
    </row>
    <row r="10" spans="1:11" ht="14.45" customHeight="1" x14ac:dyDescent="0.25">
      <c r="C10" s="355" t="s">
        <v>3790</v>
      </c>
      <c r="D10" s="534">
        <v>2024</v>
      </c>
      <c r="E10" s="535"/>
      <c r="F10" s="570" t="str">
        <f>IF(OR(D10="",D11="",D12=""),"MISSING VALUE",
IF(OR(
   AND(D11="February",D12&gt;29),
   AND(D11="February",D12=29,NOT(AND(MOD(D10,4)=0,OR(MOD(D10,100)&lt;&gt;0,MOD(D10,400)=0)))),
   AND(OR(D11="April",D11="June",D11="September",D11="November"),D12=31)
),"ERROR",
IF(D10&lt;D6,"VALUE INCONSISTENCY",
IF(D10&gt;D6,"OK",
IF(AND(D10=D6,
MATCH(D11,{"January";"February";"March";"April";"May";"June";"July";"August";"September";"October";"November";"December"},0)&lt;
MATCH(D7,{"January";"February";"March";"April";"May";"June";"July";"August";"September";"October";"November";"December"},0)),
"VALUE INCONSISTENCY",
IF(AND(D10=D6,
MATCH(D11,{"January";"February";"March";"April";"May";"June";"July";"August";"September";"October";"November";"December"},0)&gt;
MATCH(D7,{"January";"February";"March";"April";"May";"June";"July";"August";"September";"October";"November";"December"},0)),
"OK",
IF(AND(D10=D6,
MATCH(D11,{"January";"February";"March";"April";"May";"June";"July";"August";"September";"October";"November";"December"},0)=
MATCH(D7,{"January";"February";"March";"April";"May";"June";"July";"August";"September";"October";"November";"December"},0),
D12&lt;D8),
"VALUE INCONSISTENCY",
"OK"
)))))))</f>
        <v>OK</v>
      </c>
      <c r="K10" s="66"/>
    </row>
    <row r="11" spans="1:11" ht="14.45" customHeight="1" x14ac:dyDescent="0.25">
      <c r="C11" s="192" t="s">
        <v>3791</v>
      </c>
      <c r="D11" s="536" t="s">
        <v>3766</v>
      </c>
      <c r="E11" s="537"/>
      <c r="F11" s="570"/>
    </row>
    <row r="12" spans="1:11" ht="14.45" customHeight="1" x14ac:dyDescent="0.25">
      <c r="C12" s="192" t="s">
        <v>3792</v>
      </c>
      <c r="D12" s="538">
        <v>31</v>
      </c>
      <c r="E12" s="539"/>
      <c r="F12" s="570"/>
    </row>
    <row r="13" spans="1:11" ht="14.45" customHeight="1" thickBot="1" x14ac:dyDescent="0.3">
      <c r="A13" s="137"/>
      <c r="B13" s="137"/>
      <c r="C13" s="173" t="s">
        <v>3793</v>
      </c>
      <c r="D13" s="532" t="str">
        <f>IF(OR(ISBLANK(D10), ISBLANK(D11), ISBLANK(D12)), "-", TEXT(DATE(D10, MONTH(DATEVALUE("1 " &amp; D11)), D12), "dd/mm/yyyy"))</f>
        <v>31/12/2024</v>
      </c>
      <c r="E13" s="533"/>
      <c r="F13" s="17"/>
    </row>
    <row r="14" spans="1:11" x14ac:dyDescent="0.25">
      <c r="A14" s="137"/>
      <c r="B14" s="137"/>
      <c r="C14" s="138"/>
      <c r="D14" s="138"/>
      <c r="E14" s="139"/>
      <c r="F14" s="17"/>
    </row>
    <row r="15" spans="1:11" ht="15" customHeight="1" thickBot="1" x14ac:dyDescent="0.3">
      <c r="A15" s="137"/>
      <c r="B15" s="137"/>
      <c r="E15" s="18"/>
    </row>
    <row r="16" spans="1:11" x14ac:dyDescent="0.25">
      <c r="A16" s="140"/>
      <c r="B16" s="137"/>
      <c r="C16" s="545" t="s">
        <v>3642</v>
      </c>
      <c r="D16" s="546"/>
      <c r="E16" s="547"/>
    </row>
    <row r="17" spans="1:6" x14ac:dyDescent="0.25">
      <c r="A17" s="140"/>
      <c r="B17" s="137"/>
      <c r="C17" s="550">
        <v>16</v>
      </c>
      <c r="D17" s="551"/>
      <c r="E17" s="552"/>
      <c r="F17" s="357"/>
    </row>
    <row r="18" spans="1:6" ht="14.45" customHeight="1" x14ac:dyDescent="0.25">
      <c r="C18" s="548" t="s">
        <v>2</v>
      </c>
      <c r="D18" s="549"/>
      <c r="E18" s="409" t="b">
        <v>1</v>
      </c>
      <c r="F18" s="17" t="str">
        <f>IF(E18=FALSE,"","OK")</f>
        <v>OK</v>
      </c>
    </row>
    <row r="19" spans="1:6" ht="14.45" customHeight="1" x14ac:dyDescent="0.25">
      <c r="C19" s="553" t="s">
        <v>3</v>
      </c>
      <c r="D19" s="554"/>
      <c r="E19" s="410" t="s">
        <v>2671</v>
      </c>
      <c r="F19" s="17" t="str">
        <f>IF(AND(E18=FALSE, E19=""), "",
IF(AND(E18=FALSE, E19&lt;&gt;""), "",
IF(AND(E18=TRUE, E19=""), "MISSING VALUE",
IF(AND(E18=TRUE, E19&lt;&gt;"", COUNTIF(E19:E28, E19) = COUNTA(E19:E28), COUNTA(E19:E28)&gt;1), "VALUE INCONSISTENCY",
"OK"))))</f>
        <v>OK</v>
      </c>
    </row>
    <row r="20" spans="1:6" ht="14.45" customHeight="1" outlineLevel="2" x14ac:dyDescent="0.25">
      <c r="C20" s="555"/>
      <c r="D20" s="556"/>
      <c r="E20" s="104"/>
      <c r="F20" s="17" t="str">
        <f>IF($E$18=FALSE, "",
IF(E20="", "",
IF(COUNTIF($E$19:$E$28, E20) &gt; 1, "VALUE INCONSISTENCY", "OK")))</f>
        <v/>
      </c>
    </row>
    <row r="21" spans="1:6" ht="14.45" customHeight="1" outlineLevel="2" x14ac:dyDescent="0.25">
      <c r="C21" s="555"/>
      <c r="D21" s="556"/>
      <c r="E21" s="104"/>
      <c r="F21" s="17" t="str">
        <f t="shared" ref="F21:F28" si="0">IF($E$18=FALSE, "",
IF(E21="", "",
IF(COUNTIF($E$19:$E$28, E21) &gt; 1, "VALUE INCONSISTENCY", "OK")))</f>
        <v/>
      </c>
    </row>
    <row r="22" spans="1:6" ht="14.45" customHeight="1" outlineLevel="2" x14ac:dyDescent="0.25">
      <c r="C22" s="555"/>
      <c r="D22" s="556"/>
      <c r="E22" s="104"/>
      <c r="F22" s="17" t="str">
        <f t="shared" si="0"/>
        <v/>
      </c>
    </row>
    <row r="23" spans="1:6" ht="14.45" customHeight="1" outlineLevel="2" x14ac:dyDescent="0.25">
      <c r="C23" s="555"/>
      <c r="D23" s="556"/>
      <c r="E23" s="104"/>
      <c r="F23" s="17" t="str">
        <f t="shared" si="0"/>
        <v/>
      </c>
    </row>
    <row r="24" spans="1:6" ht="14.45" customHeight="1" outlineLevel="2" x14ac:dyDescent="0.25">
      <c r="C24" s="555"/>
      <c r="D24" s="556"/>
      <c r="E24" s="104"/>
      <c r="F24" s="17" t="str">
        <f t="shared" si="0"/>
        <v/>
      </c>
    </row>
    <row r="25" spans="1:6" ht="14.45" customHeight="1" outlineLevel="2" x14ac:dyDescent="0.25">
      <c r="C25" s="555"/>
      <c r="D25" s="556"/>
      <c r="E25" s="104"/>
      <c r="F25" s="17" t="str">
        <f t="shared" si="0"/>
        <v/>
      </c>
    </row>
    <row r="26" spans="1:6" ht="14.45" customHeight="1" outlineLevel="2" x14ac:dyDescent="0.25">
      <c r="C26" s="555"/>
      <c r="D26" s="556"/>
      <c r="E26" s="104"/>
      <c r="F26" s="17" t="str">
        <f t="shared" si="0"/>
        <v/>
      </c>
    </row>
    <row r="27" spans="1:6" ht="14.45" customHeight="1" outlineLevel="2" x14ac:dyDescent="0.25">
      <c r="C27" s="555"/>
      <c r="D27" s="556"/>
      <c r="E27" s="104"/>
      <c r="F27" s="17" t="str">
        <f t="shared" si="0"/>
        <v/>
      </c>
    </row>
    <row r="28" spans="1:6" ht="14.45" customHeight="1" outlineLevel="2" x14ac:dyDescent="0.25">
      <c r="C28" s="557"/>
      <c r="D28" s="558"/>
      <c r="E28" s="104"/>
      <c r="F28" s="17" t="str">
        <f t="shared" si="0"/>
        <v/>
      </c>
    </row>
    <row r="29" spans="1:6" ht="14.45" customHeight="1" thickBot="1" x14ac:dyDescent="0.3">
      <c r="A29" s="141"/>
      <c r="B29" s="141"/>
      <c r="C29" s="491" t="s">
        <v>3369</v>
      </c>
      <c r="D29" s="492"/>
      <c r="E29" s="412" t="s">
        <v>4822</v>
      </c>
      <c r="F29" s="17" t="str">
        <f>IF(AND(E18=FALSE,E29=""),"",IF(AND(E18=TRUE,E29=""),"",
IF(AND(E18=FALSE,E29&lt;&gt;""),"",
IF(AND(E18=TRUE,E29&lt;&gt;"",OR(LEFT(E29,7)="http://",LEFT(E29,8)="https://",LEFT(E29,4)="www.")),"OK",
IF(E18=TRUE,"INVALID URL","MISSING VALUE")))))</f>
        <v>INVALID URL</v>
      </c>
    </row>
    <row r="30" spans="1:6" ht="15.75" thickBot="1" x14ac:dyDescent="0.3">
      <c r="A30" s="142"/>
      <c r="B30" s="142"/>
    </row>
    <row r="31" spans="1:6" ht="17.649999999999999" customHeight="1" x14ac:dyDescent="0.25">
      <c r="C31" s="559" t="str">
        <f>"B1 - Basis for Preparation and other undertaking's general information " &amp; template_reporting_period_display &amp; " [Always to be reported]"</f>
        <v>B1 - Basis for Preparation and other undertaking's general information from 01/01/2024 to 31/12/2024 [Always to be reported]</v>
      </c>
      <c r="D31" s="560"/>
      <c r="E31" s="561"/>
      <c r="F31"/>
    </row>
    <row r="32" spans="1:6" ht="30" x14ac:dyDescent="0.25">
      <c r="A32" s="391" t="s">
        <v>4750</v>
      </c>
      <c r="B32" s="360" t="s">
        <v>1</v>
      </c>
      <c r="C32" s="523" t="s">
        <v>3777</v>
      </c>
      <c r="D32" s="524"/>
      <c r="E32" s="411" t="s">
        <v>4744</v>
      </c>
      <c r="F32" s="17" t="str">
        <f>IF(E32="","MISSING VALUE","OK")</f>
        <v>OK</v>
      </c>
    </row>
    <row r="33" spans="1:6" x14ac:dyDescent="0.25">
      <c r="A33" s="391" t="s">
        <v>4751</v>
      </c>
      <c r="B33" s="360" t="s">
        <v>1</v>
      </c>
      <c r="C33" s="571" t="s">
        <v>4</v>
      </c>
      <c r="D33" s="572"/>
      <c r="E33" s="411" t="s">
        <v>2668</v>
      </c>
      <c r="F33" s="17" t="str">
        <f>IF(E32="", "",
IF(AND(OR(E32="Option A (Basic Module only)", E32="Option B (Basic Module and Comprehensive Module)"), E33=""), "MISSING VALUE",
IF(COUNTIF(E33:E42, E33) &gt; 1, "VALUE INCONSISTENCY", "OK")))</f>
        <v>OK</v>
      </c>
    </row>
    <row r="34" spans="1:6" ht="14.45" customHeight="1" outlineLevel="2" x14ac:dyDescent="0.25">
      <c r="C34" s="571"/>
      <c r="D34" s="572"/>
      <c r="E34" s="105"/>
      <c r="F34" s="17" t="str">
        <f>IF(AND($E$33="None",E34&lt;&gt;""), "VALUE INCONSISTENCY",
IF(E34="", "",
IF(COUNTIF($E$33:$E$41, E34) &gt; 1,
   "VALUE INCONSISTENCY",
   "OK")))</f>
        <v/>
      </c>
    </row>
    <row r="35" spans="1:6" ht="14.45" customHeight="1" outlineLevel="2" x14ac:dyDescent="0.25">
      <c r="C35" s="571"/>
      <c r="D35" s="572"/>
      <c r="E35" s="105"/>
      <c r="F35" s="17" t="str">
        <f t="shared" ref="F35:F41" si="1">IF(AND($E$33="None",E35&lt;&gt;""), "VALUE INCONSISTENCY",
IF(E35="", "",
IF(COUNTIF($E$33:$E$41, E35) &gt; 1,
   "VALUE INCONSISTENCY",
   "OK")))</f>
        <v/>
      </c>
    </row>
    <row r="36" spans="1:6" ht="14.45" customHeight="1" outlineLevel="2" x14ac:dyDescent="0.25">
      <c r="C36" s="571"/>
      <c r="D36" s="572"/>
      <c r="E36" s="105"/>
      <c r="F36" s="17" t="str">
        <f t="shared" si="1"/>
        <v/>
      </c>
    </row>
    <row r="37" spans="1:6" ht="14.45" customHeight="1" outlineLevel="2" x14ac:dyDescent="0.25">
      <c r="C37" s="571"/>
      <c r="D37" s="572"/>
      <c r="E37" s="105"/>
      <c r="F37" s="17" t="str">
        <f t="shared" si="1"/>
        <v/>
      </c>
    </row>
    <row r="38" spans="1:6" ht="14.45" customHeight="1" outlineLevel="2" x14ac:dyDescent="0.25">
      <c r="C38" s="571"/>
      <c r="D38" s="572"/>
      <c r="E38" s="105"/>
      <c r="F38" s="17" t="str">
        <f t="shared" si="1"/>
        <v/>
      </c>
    </row>
    <row r="39" spans="1:6" ht="14.45" customHeight="1" outlineLevel="2" x14ac:dyDescent="0.25">
      <c r="C39" s="571"/>
      <c r="D39" s="572"/>
      <c r="E39" s="105"/>
      <c r="F39" s="17" t="str">
        <f t="shared" si="1"/>
        <v/>
      </c>
    </row>
    <row r="40" spans="1:6" ht="14.45" customHeight="1" outlineLevel="2" x14ac:dyDescent="0.25">
      <c r="C40" s="571"/>
      <c r="D40" s="572"/>
      <c r="E40" s="105"/>
      <c r="F40" s="17" t="str">
        <f t="shared" si="1"/>
        <v/>
      </c>
    </row>
    <row r="41" spans="1:6" ht="14.45" customHeight="1" outlineLevel="2" x14ac:dyDescent="0.25">
      <c r="C41" s="571"/>
      <c r="D41" s="572"/>
      <c r="E41" s="105"/>
      <c r="F41" s="17" t="str">
        <f t="shared" si="1"/>
        <v/>
      </c>
    </row>
    <row r="42" spans="1:6" ht="30" x14ac:dyDescent="0.25">
      <c r="A42" s="391" t="s">
        <v>4752</v>
      </c>
      <c r="B42" s="360" t="s">
        <v>1</v>
      </c>
      <c r="C42" s="523" t="s">
        <v>4007</v>
      </c>
      <c r="D42" s="524"/>
      <c r="E42" s="411" t="s">
        <v>4823</v>
      </c>
      <c r="F42" s="17" t="str">
        <f>IF(AND(OR(E32="Option A (Basic Module only)", E32="Option B (Basic Module and Comprehensive Module)"),E42=""),"MISSING VALUE",IF(E32="","","OK"))</f>
        <v>OK</v>
      </c>
    </row>
    <row r="43" spans="1:6" x14ac:dyDescent="0.25">
      <c r="A43" s="527" t="s">
        <v>4752</v>
      </c>
      <c r="B43" s="529">
        <v>68</v>
      </c>
      <c r="C43" s="523" t="s">
        <v>5</v>
      </c>
      <c r="D43" s="524"/>
      <c r="E43" s="411" t="s">
        <v>2774</v>
      </c>
      <c r="F43" s="17" t="str">
        <f>IF(AND(OR(E32="Option A (Basic Module only)", E32="Option B (Basic Module and Comprehensive Module)"),E43=""),"MISSING VALUE",IF(E32="","","OK"))</f>
        <v>OK</v>
      </c>
    </row>
    <row r="44" spans="1:6" x14ac:dyDescent="0.25">
      <c r="A44" s="528"/>
      <c r="B44" s="529"/>
      <c r="C44" s="530" t="s">
        <v>3780</v>
      </c>
      <c r="D44" s="531"/>
      <c r="E44" s="106" t="s">
        <v>4822</v>
      </c>
      <c r="F44" s="17" t="str">
        <f>IF(AND(E43="other (please specify the legal form in the row below)",E44&lt;&gt;""),"OK",IF(AND(E43="other (please specify the legal form in the row below)",E44=""),"MISSING VALUE",IF(AND(E43="",E44=""),"",IF(AND(E43&lt;&gt;"other (please specify the legal form in the row below)",E44=""),"",""))))</f>
        <v/>
      </c>
    </row>
    <row r="45" spans="1:6" ht="14.45" customHeight="1" x14ac:dyDescent="0.25">
      <c r="A45" s="519" t="s">
        <v>4753</v>
      </c>
      <c r="B45" s="521" t="s">
        <v>4754</v>
      </c>
      <c r="C45" s="523" t="s">
        <v>2779</v>
      </c>
      <c r="D45" s="524"/>
      <c r="E45" s="411" t="s">
        <v>4824</v>
      </c>
      <c r="F45" s="17" t="str">
        <f>IF(OR(E32="Option A (Basic Module only)", E32="Option B (Basic Module and Comprehensive Module)"),
    IF(COUNTIF(enum_ListNACECategories, E45)&gt;0, "ERROR",
        IF(E45="", "MISSING VALUE",
            IF(COUNTIF(E45:E59, E45)&gt;1, "VALUE INCONSISTENCY", "OK")
        )
    ),
    ""
)</f>
        <v>OK</v>
      </c>
    </row>
    <row r="46" spans="1:6" ht="14.45" customHeight="1" outlineLevel="1" x14ac:dyDescent="0.25">
      <c r="A46" s="520"/>
      <c r="B46" s="522"/>
      <c r="C46" s="523"/>
      <c r="D46" s="524"/>
      <c r="E46" s="107"/>
      <c r="F46" s="17" t="str">
        <f t="shared" ref="F46:F59" si="2">IF(COUNTIF(enum_ListNACECategories, E46)&gt;0, "ERROR",
IF(E46="", "",
IF(COUNTIF(E45:E59, E46)&gt;1, "VALUE INCONSISTENCY", "OK")))</f>
        <v/>
      </c>
    </row>
    <row r="47" spans="1:6" ht="14.45" customHeight="1" outlineLevel="1" x14ac:dyDescent="0.25">
      <c r="A47" s="520"/>
      <c r="B47" s="522"/>
      <c r="C47" s="523"/>
      <c r="D47" s="524"/>
      <c r="E47" s="107"/>
      <c r="F47" s="17" t="str">
        <f t="shared" si="2"/>
        <v/>
      </c>
    </row>
    <row r="48" spans="1:6" ht="14.45" customHeight="1" outlineLevel="1" x14ac:dyDescent="0.25">
      <c r="A48" s="520"/>
      <c r="B48" s="522"/>
      <c r="C48" s="523"/>
      <c r="D48" s="524"/>
      <c r="E48" s="107"/>
      <c r="F48" s="17" t="str">
        <f t="shared" si="2"/>
        <v/>
      </c>
    </row>
    <row r="49" spans="1:6" ht="14.45" customHeight="1" outlineLevel="1" x14ac:dyDescent="0.25">
      <c r="A49" s="520"/>
      <c r="B49" s="522"/>
      <c r="C49" s="523"/>
      <c r="D49" s="524"/>
      <c r="E49" s="107"/>
      <c r="F49" s="17" t="str">
        <f t="shared" si="2"/>
        <v/>
      </c>
    </row>
    <row r="50" spans="1:6" ht="14.45" customHeight="1" outlineLevel="1" x14ac:dyDescent="0.25">
      <c r="A50" s="520"/>
      <c r="B50" s="522"/>
      <c r="C50" s="523"/>
      <c r="D50" s="524"/>
      <c r="E50" s="107"/>
      <c r="F50" s="17" t="str">
        <f t="shared" si="2"/>
        <v/>
      </c>
    </row>
    <row r="51" spans="1:6" ht="14.45" customHeight="1" outlineLevel="1" x14ac:dyDescent="0.25">
      <c r="A51" s="520"/>
      <c r="B51" s="522"/>
      <c r="C51" s="523"/>
      <c r="D51" s="524"/>
      <c r="E51" s="107"/>
      <c r="F51" s="17" t="str">
        <f t="shared" si="2"/>
        <v/>
      </c>
    </row>
    <row r="52" spans="1:6" ht="14.45" customHeight="1" outlineLevel="1" x14ac:dyDescent="0.25">
      <c r="A52" s="520"/>
      <c r="B52" s="522"/>
      <c r="C52" s="523"/>
      <c r="D52" s="524"/>
      <c r="E52" s="107"/>
      <c r="F52" s="17" t="str">
        <f t="shared" si="2"/>
        <v/>
      </c>
    </row>
    <row r="53" spans="1:6" ht="14.45" customHeight="1" outlineLevel="1" x14ac:dyDescent="0.25">
      <c r="A53" s="520"/>
      <c r="B53" s="522"/>
      <c r="C53" s="523"/>
      <c r="D53" s="524"/>
      <c r="E53" s="107"/>
      <c r="F53" s="17" t="str">
        <f t="shared" si="2"/>
        <v/>
      </c>
    </row>
    <row r="54" spans="1:6" ht="14.45" customHeight="1" outlineLevel="1" x14ac:dyDescent="0.25">
      <c r="A54" s="520"/>
      <c r="B54" s="522"/>
      <c r="C54" s="523"/>
      <c r="D54" s="524"/>
      <c r="E54" s="107"/>
      <c r="F54" s="17" t="str">
        <f t="shared" si="2"/>
        <v/>
      </c>
    </row>
    <row r="55" spans="1:6" ht="14.45" customHeight="1" outlineLevel="1" x14ac:dyDescent="0.25">
      <c r="A55" s="520"/>
      <c r="B55" s="522"/>
      <c r="C55" s="523"/>
      <c r="D55" s="524"/>
      <c r="E55" s="107"/>
      <c r="F55" s="17" t="str">
        <f t="shared" si="2"/>
        <v/>
      </c>
    </row>
    <row r="56" spans="1:6" ht="14.45" customHeight="1" outlineLevel="1" x14ac:dyDescent="0.25">
      <c r="A56" s="520"/>
      <c r="B56" s="522"/>
      <c r="C56" s="523"/>
      <c r="D56" s="524"/>
      <c r="E56" s="107"/>
      <c r="F56" s="17" t="str">
        <f t="shared" si="2"/>
        <v/>
      </c>
    </row>
    <row r="57" spans="1:6" ht="14.45" customHeight="1" outlineLevel="1" x14ac:dyDescent="0.25">
      <c r="A57" s="520"/>
      <c r="B57" s="522"/>
      <c r="C57" s="523"/>
      <c r="D57" s="524"/>
      <c r="E57" s="107"/>
      <c r="F57" s="17" t="str">
        <f t="shared" si="2"/>
        <v/>
      </c>
    </row>
    <row r="58" spans="1:6" ht="14.45" customHeight="1" outlineLevel="1" x14ac:dyDescent="0.25">
      <c r="A58" s="520"/>
      <c r="B58" s="522"/>
      <c r="C58" s="523"/>
      <c r="D58" s="524"/>
      <c r="E58" s="107"/>
      <c r="F58" s="17" t="str">
        <f t="shared" si="2"/>
        <v/>
      </c>
    </row>
    <row r="59" spans="1:6" ht="14.45" customHeight="1" outlineLevel="1" x14ac:dyDescent="0.25">
      <c r="A59" s="520"/>
      <c r="B59" s="522"/>
      <c r="C59" s="523"/>
      <c r="D59" s="524"/>
      <c r="E59" s="107"/>
      <c r="F59" s="17" t="str">
        <f t="shared" si="2"/>
        <v/>
      </c>
    </row>
    <row r="60" spans="1:6" ht="14.45" customHeight="1" x14ac:dyDescent="0.25">
      <c r="A60" s="391" t="s">
        <v>4755</v>
      </c>
      <c r="B60" s="360" t="s">
        <v>1</v>
      </c>
      <c r="C60" s="523" t="str">
        <f>"Size of balance sheet in " &amp; template_currency</f>
        <v xml:space="preserve">Size of balance sheet in EUR  </v>
      </c>
      <c r="D60" s="524"/>
      <c r="E60" s="413">
        <v>10000</v>
      </c>
      <c r="F60" s="17" t="str">
        <f>IF(AND(OR(E32="Option A (Basic Module only)", E32="Option B (Basic Module and Comprehensive Module)"),E60=""),"MISSING VALUE",IF(E32="","","OK"))</f>
        <v>OK</v>
      </c>
    </row>
    <row r="61" spans="1:6" ht="14.45" customHeight="1" x14ac:dyDescent="0.25">
      <c r="A61" s="391" t="s">
        <v>4756</v>
      </c>
      <c r="B61" s="360" t="s">
        <v>1</v>
      </c>
      <c r="C61" s="523" t="str">
        <f>"Turnover in " &amp;  template_currency</f>
        <v xml:space="preserve">Turnover in EUR  </v>
      </c>
      <c r="D61" s="524"/>
      <c r="E61" s="413">
        <v>10000</v>
      </c>
      <c r="F61" s="17" t="str">
        <f>IF(AND(OR(E32="Option A (Basic Module only)", E32="Option B (Basic Module and Comprehensive Module)"),E61=""),"MISSING VALUE",IF(E32="","","OK"))</f>
        <v>OK</v>
      </c>
    </row>
    <row r="62" spans="1:6" ht="14.45" customHeight="1" x14ac:dyDescent="0.25">
      <c r="A62" s="391" t="s">
        <v>4740</v>
      </c>
      <c r="B62" s="393" t="s">
        <v>4739</v>
      </c>
      <c r="C62" s="523" t="s">
        <v>6</v>
      </c>
      <c r="D62" s="524"/>
      <c r="E62" s="414">
        <v>10000</v>
      </c>
      <c r="F62" s="17" t="str">
        <f>IF(AND(OR(E32="Option A (Basic Module only)", E32="Option B (Basic Module and Comprehensive Module)"),E62=""),"MISSING VALUE",IF(E32="","","OK"))</f>
        <v>OK</v>
      </c>
    </row>
    <row r="63" spans="1:6" ht="14.45" customHeight="1" x14ac:dyDescent="0.25">
      <c r="A63" s="391" t="s">
        <v>4740</v>
      </c>
      <c r="B63" s="393" t="s">
        <v>4757</v>
      </c>
      <c r="C63" s="578" t="s">
        <v>4015</v>
      </c>
      <c r="D63" s="579"/>
      <c r="E63" s="414" t="s">
        <v>4018</v>
      </c>
      <c r="F63" s="17" t="str">
        <f>IF(AND(OR(E32="Option A (Basic Module only)", E32="Option B (Basic Module and Comprehensive Module)"),E63=""),"MISSING VALUE",IF(E32="","","OK"))</f>
        <v>OK</v>
      </c>
    </row>
    <row r="64" spans="1:6" ht="14.45" customHeight="1" x14ac:dyDescent="0.25">
      <c r="A64" s="391" t="s">
        <v>4740</v>
      </c>
      <c r="B64" s="393" t="s">
        <v>4757</v>
      </c>
      <c r="C64" s="523" t="s">
        <v>4016</v>
      </c>
      <c r="D64" s="524"/>
      <c r="E64" s="415" t="s">
        <v>4825</v>
      </c>
      <c r="F64" s="17" t="str">
        <f>IF(AND(OR(E32="Option A (Basic Module only)", E32="Option B (Basic Module and Comprehensive Module)"),E64=""),"MISSING VALUE",IF(E32="","","OK"))</f>
        <v>OK</v>
      </c>
    </row>
    <row r="65" spans="1:6" ht="14.45" customHeight="1" thickBot="1" x14ac:dyDescent="0.3">
      <c r="A65" s="391" t="s">
        <v>4759</v>
      </c>
      <c r="B65" s="393" t="s">
        <v>4758</v>
      </c>
      <c r="C65" s="525" t="s">
        <v>7</v>
      </c>
      <c r="D65" s="526"/>
      <c r="E65" s="416" t="s">
        <v>58</v>
      </c>
      <c r="F65" s="17" t="str">
        <f>IF(AND(OR(E32="Option A (Basic Module only)", E32="Option B (Basic Module and Comprehensive Module)"),E65=""),"MISSING VALUE",IF(E32="","","OK"))</f>
        <v>OK</v>
      </c>
    </row>
    <row r="66" spans="1:6" ht="15.75" thickBot="1" x14ac:dyDescent="0.3">
      <c r="A66" s="358"/>
      <c r="B66" s="137"/>
    </row>
    <row r="67" spans="1:6" ht="14.45" customHeight="1" x14ac:dyDescent="0.25">
      <c r="A67" s="137"/>
      <c r="B67" s="137"/>
      <c r="C67" s="559" t="str">
        <f xml:space="preserve"> "B1 - List of subsidiaries " &amp; template_reporting_period_display &amp; " [If applicable]"</f>
        <v>B1 - List of subsidiaries from 01/01/2024 to 31/12/2024 [If applicable]</v>
      </c>
      <c r="D67" s="560"/>
      <c r="E67" s="561"/>
    </row>
    <row r="68" spans="1:6" ht="14.45" customHeight="1" x14ac:dyDescent="0.25">
      <c r="A68" s="137"/>
      <c r="B68" s="137"/>
      <c r="C68" s="472" t="s">
        <v>4760</v>
      </c>
      <c r="D68" s="473"/>
      <c r="E68" s="474"/>
      <c r="F68" s="143"/>
    </row>
    <row r="69" spans="1:6" ht="14.45" customHeight="1" x14ac:dyDescent="0.25">
      <c r="A69" s="137"/>
      <c r="B69" s="137"/>
      <c r="C69" s="9" t="s">
        <v>8</v>
      </c>
      <c r="D69" s="1" t="s">
        <v>9</v>
      </c>
      <c r="E69" s="144" t="s">
        <v>3744</v>
      </c>
    </row>
    <row r="70" spans="1:6" ht="14.45" customHeight="1" thickBot="1" x14ac:dyDescent="0.3">
      <c r="A70" s="137"/>
      <c r="B70" s="137"/>
      <c r="C70" s="417">
        <v>1</v>
      </c>
      <c r="D70" s="418" t="s">
        <v>4822</v>
      </c>
      <c r="E70" s="419" t="s">
        <v>4822</v>
      </c>
      <c r="F70" s="17"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
      </c>
    </row>
    <row r="71" spans="1:6" ht="14.45" customHeight="1" outlineLevel="1" x14ac:dyDescent="0.25">
      <c r="A71" s="137"/>
      <c r="B71" s="137"/>
      <c r="C71" s="27">
        <v>2</v>
      </c>
      <c r="D71" s="109"/>
      <c r="E71" s="110"/>
      <c r="F71" s="135" t="str">
        <f t="shared" ref="F71:F94" si="3">IF(AND(D71&lt;&gt;"",E71=""),"MISSING VALUE", IF(AND(D71&lt;&gt;"",E71&lt;&gt;""),"OK", IF(AND(D71="",E71=""),"", "MISSING VALUE")))</f>
        <v/>
      </c>
    </row>
    <row r="72" spans="1:6" ht="14.45" customHeight="1" outlineLevel="1" x14ac:dyDescent="0.25">
      <c r="C72" s="9">
        <v>3</v>
      </c>
      <c r="D72" s="111"/>
      <c r="E72" s="112"/>
      <c r="F72" s="135" t="str">
        <f t="shared" si="3"/>
        <v/>
      </c>
    </row>
    <row r="73" spans="1:6" ht="14.45" customHeight="1" outlineLevel="1" x14ac:dyDescent="0.25">
      <c r="C73" s="9">
        <v>4</v>
      </c>
      <c r="D73" s="111"/>
      <c r="E73" s="112"/>
      <c r="F73" s="135" t="str">
        <f t="shared" si="3"/>
        <v/>
      </c>
    </row>
    <row r="74" spans="1:6" ht="14.45" customHeight="1" outlineLevel="1" x14ac:dyDescent="0.25">
      <c r="C74" s="19">
        <v>5</v>
      </c>
      <c r="D74" s="111"/>
      <c r="E74" s="112"/>
      <c r="F74" s="135" t="str">
        <f t="shared" si="3"/>
        <v/>
      </c>
    </row>
    <row r="75" spans="1:6" ht="14.45" customHeight="1" outlineLevel="1" x14ac:dyDescent="0.25">
      <c r="C75" s="9">
        <v>6</v>
      </c>
      <c r="D75" s="111"/>
      <c r="E75" s="112"/>
      <c r="F75" s="135" t="str">
        <f t="shared" si="3"/>
        <v/>
      </c>
    </row>
    <row r="76" spans="1:6" ht="14.45" customHeight="1" outlineLevel="1" x14ac:dyDescent="0.25">
      <c r="C76" s="9">
        <v>7</v>
      </c>
      <c r="D76" s="111"/>
      <c r="E76" s="112"/>
      <c r="F76" s="135" t="str">
        <f t="shared" si="3"/>
        <v/>
      </c>
    </row>
    <row r="77" spans="1:6" ht="14.45" customHeight="1" outlineLevel="1" x14ac:dyDescent="0.25">
      <c r="C77" s="19">
        <v>8</v>
      </c>
      <c r="D77" s="111"/>
      <c r="E77" s="112"/>
      <c r="F77" s="135" t="str">
        <f t="shared" si="3"/>
        <v/>
      </c>
    </row>
    <row r="78" spans="1:6" ht="14.45" customHeight="1" outlineLevel="1" x14ac:dyDescent="0.25">
      <c r="C78" s="9">
        <v>9</v>
      </c>
      <c r="D78" s="111"/>
      <c r="E78" s="112"/>
      <c r="F78" s="135" t="str">
        <f t="shared" si="3"/>
        <v/>
      </c>
    </row>
    <row r="79" spans="1:6" ht="14.45" customHeight="1" outlineLevel="1" x14ac:dyDescent="0.25">
      <c r="C79" s="9">
        <v>10</v>
      </c>
      <c r="D79" s="111"/>
      <c r="E79" s="112"/>
      <c r="F79" s="135" t="str">
        <f t="shared" si="3"/>
        <v/>
      </c>
    </row>
    <row r="80" spans="1:6" ht="14.45" customHeight="1" outlineLevel="1" x14ac:dyDescent="0.25">
      <c r="C80" s="19">
        <v>11</v>
      </c>
      <c r="D80" s="111"/>
      <c r="E80" s="112"/>
      <c r="F80" s="135" t="str">
        <f t="shared" si="3"/>
        <v/>
      </c>
    </row>
    <row r="81" spans="3:8" ht="14.45" customHeight="1" outlineLevel="1" x14ac:dyDescent="0.25">
      <c r="C81" s="9">
        <v>12</v>
      </c>
      <c r="D81" s="111"/>
      <c r="E81" s="112"/>
      <c r="F81" s="135" t="str">
        <f t="shared" si="3"/>
        <v/>
      </c>
    </row>
    <row r="82" spans="3:8" ht="14.45" customHeight="1" outlineLevel="1" x14ac:dyDescent="0.25">
      <c r="C82" s="9">
        <v>13</v>
      </c>
      <c r="D82" s="111"/>
      <c r="E82" s="112"/>
      <c r="F82" s="135" t="str">
        <f t="shared" si="3"/>
        <v/>
      </c>
    </row>
    <row r="83" spans="3:8" ht="14.45" customHeight="1" outlineLevel="1" x14ac:dyDescent="0.25">
      <c r="C83" s="19">
        <v>14</v>
      </c>
      <c r="D83" s="111"/>
      <c r="E83" s="112"/>
      <c r="F83" s="135" t="str">
        <f t="shared" si="3"/>
        <v/>
      </c>
    </row>
    <row r="84" spans="3:8" ht="14.45" customHeight="1" outlineLevel="1" x14ac:dyDescent="0.25">
      <c r="C84" s="9">
        <v>15</v>
      </c>
      <c r="D84" s="111"/>
      <c r="E84" s="112"/>
      <c r="F84" s="135" t="str">
        <f t="shared" si="3"/>
        <v/>
      </c>
    </row>
    <row r="85" spans="3:8" ht="14.45" customHeight="1" outlineLevel="1" x14ac:dyDescent="0.25">
      <c r="C85" s="9">
        <v>16</v>
      </c>
      <c r="D85" s="111"/>
      <c r="E85" s="112"/>
      <c r="F85" s="135" t="str">
        <f t="shared" si="3"/>
        <v/>
      </c>
    </row>
    <row r="86" spans="3:8" ht="14.45" customHeight="1" outlineLevel="1" x14ac:dyDescent="0.25">
      <c r="C86" s="19">
        <v>17</v>
      </c>
      <c r="D86" s="111"/>
      <c r="E86" s="112"/>
      <c r="F86" s="135" t="str">
        <f t="shared" si="3"/>
        <v/>
      </c>
    </row>
    <row r="87" spans="3:8" ht="14.45" customHeight="1" outlineLevel="1" x14ac:dyDescent="0.25">
      <c r="C87" s="9">
        <v>18</v>
      </c>
      <c r="D87" s="111"/>
      <c r="E87" s="112"/>
      <c r="F87" s="135" t="str">
        <f t="shared" si="3"/>
        <v/>
      </c>
    </row>
    <row r="88" spans="3:8" ht="14.45" customHeight="1" outlineLevel="1" x14ac:dyDescent="0.25">
      <c r="C88" s="9">
        <v>19</v>
      </c>
      <c r="D88" s="111"/>
      <c r="E88" s="112"/>
      <c r="F88" s="135" t="str">
        <f t="shared" si="3"/>
        <v/>
      </c>
    </row>
    <row r="89" spans="3:8" ht="14.45" customHeight="1" outlineLevel="1" x14ac:dyDescent="0.25">
      <c r="C89" s="19">
        <v>20</v>
      </c>
      <c r="D89" s="111"/>
      <c r="E89" s="112"/>
      <c r="F89" s="135" t="str">
        <f t="shared" si="3"/>
        <v/>
      </c>
    </row>
    <row r="90" spans="3:8" ht="14.45" customHeight="1" outlineLevel="1" x14ac:dyDescent="0.25">
      <c r="C90" s="9">
        <v>21</v>
      </c>
      <c r="D90" s="111"/>
      <c r="E90" s="112"/>
      <c r="F90" s="135" t="str">
        <f t="shared" si="3"/>
        <v/>
      </c>
    </row>
    <row r="91" spans="3:8" ht="14.45" customHeight="1" outlineLevel="1" x14ac:dyDescent="0.25">
      <c r="C91" s="9">
        <v>22</v>
      </c>
      <c r="D91" s="111"/>
      <c r="E91" s="112"/>
      <c r="F91" s="135" t="str">
        <f t="shared" si="3"/>
        <v/>
      </c>
    </row>
    <row r="92" spans="3:8" ht="14.45" customHeight="1" outlineLevel="1" x14ac:dyDescent="0.25">
      <c r="C92" s="19">
        <v>23</v>
      </c>
      <c r="D92" s="111"/>
      <c r="E92" s="112"/>
      <c r="F92" s="135" t="str">
        <f t="shared" si="3"/>
        <v/>
      </c>
    </row>
    <row r="93" spans="3:8" ht="14.45" customHeight="1" outlineLevel="1" x14ac:dyDescent="0.25">
      <c r="C93" s="9">
        <v>24</v>
      </c>
      <c r="D93" s="111"/>
      <c r="E93" s="112"/>
      <c r="F93" s="135" t="str">
        <f t="shared" si="3"/>
        <v/>
      </c>
    </row>
    <row r="94" spans="3:8" ht="14.45" customHeight="1" outlineLevel="1" thickBot="1" x14ac:dyDescent="0.3">
      <c r="C94" s="10">
        <v>25</v>
      </c>
      <c r="D94" s="113"/>
      <c r="E94" s="108"/>
      <c r="F94" s="135" t="str">
        <f t="shared" si="3"/>
        <v/>
      </c>
    </row>
    <row r="95" spans="3:8" ht="15.75" thickBot="1" x14ac:dyDescent="0.3"/>
    <row r="96" spans="3:8" ht="14.45" customHeight="1" x14ac:dyDescent="0.25">
      <c r="C96" s="590" t="str">
        <f xml:space="preserve"> "B1 - Disclosure of sustainability-related certification(s) or label(s) " &amp; template_reporting_period_display &amp; " [If applicable]"</f>
        <v>B1 - Disclosure of sustainability-related certification(s) or label(s) from 01/01/2024 to 31/12/2024 [If applicable]</v>
      </c>
      <c r="D96" s="591"/>
      <c r="E96" s="591"/>
      <c r="F96" s="591"/>
      <c r="G96" s="591"/>
      <c r="H96" s="592"/>
    </row>
    <row r="97" spans="3:13" ht="14.45" customHeight="1" x14ac:dyDescent="0.25">
      <c r="C97" s="472">
        <v>25</v>
      </c>
      <c r="D97" s="473"/>
      <c r="E97" s="473"/>
      <c r="F97" s="473"/>
      <c r="G97" s="473"/>
      <c r="H97" s="474"/>
    </row>
    <row r="98" spans="3:13" ht="14.45" customHeight="1" x14ac:dyDescent="0.25">
      <c r="C98" s="593">
        <v>77</v>
      </c>
      <c r="D98" s="594"/>
      <c r="E98" s="594"/>
      <c r="F98" s="594"/>
      <c r="G98" s="594"/>
      <c r="H98" s="595"/>
    </row>
    <row r="99" spans="3:13" ht="14.45" customHeight="1" x14ac:dyDescent="0.25">
      <c r="C99" s="580" t="s">
        <v>4006</v>
      </c>
      <c r="D99" s="581"/>
      <c r="E99" s="582" t="b">
        <v>1</v>
      </c>
      <c r="F99" s="583"/>
      <c r="G99" s="583"/>
      <c r="H99" s="584"/>
    </row>
    <row r="100" spans="3:13" ht="30" customHeight="1" thickBot="1" x14ac:dyDescent="0.3">
      <c r="C100" s="543" t="s">
        <v>10</v>
      </c>
      <c r="D100" s="544"/>
      <c r="E100" s="513" t="s">
        <v>4822</v>
      </c>
      <c r="F100" s="514"/>
      <c r="G100" s="514"/>
      <c r="H100" s="515"/>
      <c r="I100" s="28" t="str">
        <f>IF(AND(E99=TRUE,E100=""), "MISSING VALUE",IF(AND(E99=TRUE,E100&lt;&gt;""), "OK",""))</f>
        <v>OK</v>
      </c>
    </row>
    <row r="101" spans="3:13" ht="15.75" thickBot="1" x14ac:dyDescent="0.3"/>
    <row r="102" spans="3:13" x14ac:dyDescent="0.25">
      <c r="C102" s="559" t="str">
        <f xml:space="preserve"> "B1 - List of site(s) " &amp; template_reporting_period_display &amp; " [Always to be reported]"</f>
        <v>B1 - List of site(s) from 01/01/2024 to 31/12/2024 [Always to be reported]</v>
      </c>
      <c r="D102" s="560"/>
      <c r="E102" s="560"/>
      <c r="F102" s="560"/>
      <c r="G102" s="560"/>
      <c r="H102" s="561"/>
    </row>
    <row r="103" spans="3:13" x14ac:dyDescent="0.25">
      <c r="C103" s="472" t="s">
        <v>4761</v>
      </c>
      <c r="D103" s="473"/>
      <c r="E103" s="473"/>
      <c r="F103" s="473"/>
      <c r="G103" s="473"/>
      <c r="H103" s="474"/>
    </row>
    <row r="104" spans="3:13" x14ac:dyDescent="0.25">
      <c r="C104" s="585" t="s">
        <v>4758</v>
      </c>
      <c r="D104" s="586"/>
      <c r="E104" s="586"/>
      <c r="F104" s="586"/>
      <c r="G104" s="586"/>
      <c r="H104" s="587"/>
    </row>
    <row r="105" spans="3:13" x14ac:dyDescent="0.25">
      <c r="C105" s="480" t="s">
        <v>8</v>
      </c>
      <c r="D105" s="483" t="s">
        <v>11</v>
      </c>
      <c r="E105" s="483" t="s">
        <v>12</v>
      </c>
      <c r="F105" s="486" t="s">
        <v>13</v>
      </c>
      <c r="G105" s="483" t="s">
        <v>14</v>
      </c>
      <c r="H105" s="297" t="s">
        <v>3641</v>
      </c>
      <c r="I105" s="145"/>
    </row>
    <row r="106" spans="3:13" ht="141.6" customHeight="1" x14ac:dyDescent="0.25">
      <c r="C106" s="481"/>
      <c r="D106" s="484"/>
      <c r="E106" s="484"/>
      <c r="F106" s="487"/>
      <c r="G106" s="484"/>
      <c r="H106" s="298" t="s">
        <v>4541</v>
      </c>
      <c r="I106" s="145"/>
      <c r="J106" s="2"/>
    </row>
    <row r="107" spans="3:13" x14ac:dyDescent="0.25">
      <c r="C107" s="482"/>
      <c r="D107" s="485"/>
      <c r="E107" s="485"/>
      <c r="F107" s="488"/>
      <c r="G107" s="485"/>
      <c r="H107" s="299" t="b">
        <v>1</v>
      </c>
      <c r="I107" s="145"/>
    </row>
    <row r="108" spans="3:13" x14ac:dyDescent="0.25">
      <c r="C108" s="9">
        <v>1</v>
      </c>
      <c r="D108" s="420" t="s">
        <v>4822</v>
      </c>
      <c r="E108" s="421" t="s">
        <v>4822</v>
      </c>
      <c r="F108" s="422" t="s">
        <v>4822</v>
      </c>
      <c r="G108" s="420" t="s">
        <v>58</v>
      </c>
      <c r="H108" s="423" t="s">
        <v>4822</v>
      </c>
      <c r="I108" s="29" t="str">
        <f>IF(OR(E32="Option A (Basic Module only)", E32="Option B (Basic Module and Comprehensive Module)"),
    IF(AND(D108&lt;&gt;"", E108&lt;&gt;"", F108&lt;&gt;"", G108&lt;&gt;"", H108&lt;&gt;""),
        "OK",
        "MISSING VALUE"
    ),
    ""
)</f>
        <v>OK</v>
      </c>
      <c r="J108" s="296" t="str">
        <f>IF(AND(D108&lt;&gt;"", E108&lt;&gt;"", F108&lt;&gt;"", G108&lt;&gt;""),
    IFERROR(HYPERLINK("https://www.openstreetmap.org/search?lat=" &amp; 'Technical Sheet'!E2 &amp; "&amp;lon=" &amp; 'Technical Sheet'!F2, "OpenStreetMap Link"),
    ""),
"")</f>
        <v/>
      </c>
      <c r="K108" s="146" t="str">
        <f t="shared" ref="K108:K132" si="4">LOWER(SUBSTITUTE(D108," ","+" )) &amp; "+" &amp; LOWER(SUBSTITUTE(E108," ","+" )) &amp; "+" &amp; LOWER(SUBSTITUTE(F108," ","+" )) &amp; "+" &amp; LOWER(SUBSTITUTE(G108," ","+" )) &amp; "+"</f>
        <v>a+a+a+andorra+</v>
      </c>
      <c r="M108" s="138"/>
    </row>
    <row r="109" spans="3:13" x14ac:dyDescent="0.25">
      <c r="C109" s="19">
        <v>2</v>
      </c>
      <c r="D109" s="117"/>
      <c r="E109" s="118"/>
      <c r="F109" s="119"/>
      <c r="G109" s="114"/>
      <c r="H109" s="287"/>
      <c r="I109" s="29" t="str">
        <f>IF(AND(D109&lt;&gt;"", E109&lt;&gt;"", F109&lt;&gt;"", G109&lt;&gt;"", H109&lt;&gt;""), "OK",
    IF(AND(D109="", E109="", F109="", G109="", H109="-"), "",
        "MISSING VALUE"
    )
)</f>
        <v>MISSING VALUE</v>
      </c>
      <c r="J109" s="296" t="str">
        <f>IF(AND(D109&lt;&gt;"", E109&lt;&gt;"", F109&lt;&gt;"", G109&lt;&gt;""),
    IFERROR(HYPERLINK("https://www.openstreetmap.org/search?lat=" &amp; 'Technical Sheet'!E3 &amp; "&amp;lon=" &amp; 'Technical Sheet'!F3, "OpenStreetMap Link"),
    ""),
"")</f>
        <v/>
      </c>
      <c r="K109" s="146" t="str">
        <f>LOWER(SUBSTITUTE(D109," ","+" )) &amp; "+" &amp; LOWER(SUBSTITUTE(E109," ","+" )) &amp; "+" &amp; LOWER(SUBSTITUTE(F109," ","+" )) &amp; "+" &amp; LOWER(SUBSTITUTE(G109," ","+" )) &amp; "+"</f>
        <v>++++</v>
      </c>
    </row>
    <row r="110" spans="3:13" ht="15.75" thickBot="1" x14ac:dyDescent="0.3">
      <c r="C110" s="10">
        <v>3</v>
      </c>
      <c r="D110" s="120"/>
      <c r="E110" s="121"/>
      <c r="F110" s="122"/>
      <c r="G110" s="120"/>
      <c r="H110" s="288" t="str">
        <f>IF(COUNTA(D110:G110)=COLUMNS(D110:G110), IFERROR('Technical Sheet'!G4, "-"), "-")</f>
        <v>-</v>
      </c>
      <c r="I110" s="29" t="str">
        <f>IF(AND(D110&lt;&gt;"", E110&lt;&gt;"", F110&lt;&gt;"", G110&lt;&gt;"", H110&lt;&gt;""), "OK",
    IF(AND(D110="", E110="", F110="", G110="", H110="-"), "",
        "MISSING VALUE"
    )
)</f>
        <v/>
      </c>
      <c r="J110" s="296" t="str">
        <f>IF(AND(D110&lt;&gt;"", E110&lt;&gt;"", F110&lt;&gt;"", G110&lt;&gt;""),
    IFERROR(HYPERLINK("https://www.openstreetmap.org/search?lat=" &amp; 'Technical Sheet'!E4 &amp; "&amp;lon=" &amp; 'Technical Sheet'!F4, "OpenStreetMap Link"),
    ""),
"")</f>
        <v/>
      </c>
      <c r="K110" s="146" t="str">
        <f>LOWER(SUBSTITUTE(D110," ","+" )) &amp; "+" &amp; LOWER(SUBSTITUTE(E110," ","+" )) &amp; "+" &amp; LOWER(SUBSTITUTE(F110," ","+" )) &amp; "+" &amp; LOWER(SUBSTITUTE(G110," ","+" )) &amp; "+"</f>
        <v>++++</v>
      </c>
    </row>
    <row r="111" spans="3:13" outlineLevel="1" x14ac:dyDescent="0.25">
      <c r="C111" s="19">
        <v>4</v>
      </c>
      <c r="D111" s="117"/>
      <c r="E111" s="118"/>
      <c r="F111" s="119"/>
      <c r="G111" s="117"/>
      <c r="H111" s="289" t="str">
        <f>IF(COUNTA(D111:G111)=COLUMNS(D111:G111), IFERROR('Technical Sheet'!G5, "-"), "-")</f>
        <v>-</v>
      </c>
      <c r="I111" s="29" t="str">
        <f t="shared" ref="I111:I132" si="5">IF(AND(D111&lt;&gt;"", E111&lt;&gt;"", F111&lt;&gt;"", G111&lt;&gt;"", H111&lt;&gt;""), "OK",
    IF(AND(D111="", E111="", F111="", G111="", H111="-"), "",
        "MISSING VALUE"
    )
)</f>
        <v/>
      </c>
      <c r="J111" s="296" t="str">
        <f>IF(AND(D111&lt;&gt;"", E111&lt;&gt;"", F111&lt;&gt;"", G111&lt;&gt;""),
    IFERROR(HYPERLINK("https://www.openstreetmap.org/search?lat=" &amp; 'Technical Sheet'!E5 &amp; "&amp;lon=" &amp; 'Technical Sheet'!F5, "OpenStreetMap Link"),
    ""),
"")</f>
        <v/>
      </c>
      <c r="K111" s="146" t="str">
        <f t="shared" si="4"/>
        <v>++++</v>
      </c>
    </row>
    <row r="112" spans="3:13" outlineLevel="1" x14ac:dyDescent="0.25">
      <c r="C112" s="19">
        <v>5</v>
      </c>
      <c r="D112" s="114"/>
      <c r="E112" s="115"/>
      <c r="F112" s="116"/>
      <c r="G112" s="114"/>
      <c r="H112" s="287" t="str">
        <f>IF(COUNTA(D112:G112)=COLUMNS(D112:G112), IFERROR('Technical Sheet'!G6, "-"), "-")</f>
        <v>-</v>
      </c>
      <c r="I112" s="29" t="str">
        <f t="shared" si="5"/>
        <v/>
      </c>
      <c r="J112" s="296" t="str">
        <f>IF(AND(D112&lt;&gt;"", E112&lt;&gt;"", F112&lt;&gt;"", G112&lt;&gt;""),
    IFERROR(HYPERLINK("https://www.openstreetmap.org/search?lat=" &amp; 'Technical Sheet'!E6 &amp; "&amp;lon=" &amp; 'Technical Sheet'!F6, "OpenStreetMap Link"),
    ""),
"")</f>
        <v/>
      </c>
      <c r="K112" s="146" t="str">
        <f t="shared" si="4"/>
        <v>++++</v>
      </c>
    </row>
    <row r="113" spans="3:11" outlineLevel="1" x14ac:dyDescent="0.25">
      <c r="C113" s="9">
        <v>6</v>
      </c>
      <c r="D113" s="114"/>
      <c r="E113" s="115"/>
      <c r="F113" s="116"/>
      <c r="G113" s="114"/>
      <c r="H113" s="287" t="str">
        <f>IF(COUNTA(D113:G113)=COLUMNS(D113:G113), IFERROR('Technical Sheet'!G7, "-"), "-")</f>
        <v>-</v>
      </c>
      <c r="I113" s="29" t="str">
        <f t="shared" si="5"/>
        <v/>
      </c>
      <c r="J113" s="296" t="str">
        <f>IF(AND(D113&lt;&gt;"", E113&lt;&gt;"", F113&lt;&gt;"", G113&lt;&gt;""),
    IFERROR(HYPERLINK("https://www.openstreetmap.org/search?lat=" &amp; 'Technical Sheet'!E7 &amp; "&amp;lon=" &amp; 'Technical Sheet'!F7, "OpenStreetMap Link"),
    ""),
"")</f>
        <v/>
      </c>
      <c r="K113" s="146" t="str">
        <f t="shared" si="4"/>
        <v>++++</v>
      </c>
    </row>
    <row r="114" spans="3:11" outlineLevel="1" x14ac:dyDescent="0.25">
      <c r="C114" s="9">
        <v>7</v>
      </c>
      <c r="D114" s="114"/>
      <c r="E114" s="115"/>
      <c r="F114" s="116"/>
      <c r="G114" s="114"/>
      <c r="H114" s="287" t="str">
        <f>IF(COUNTA(D114:G114)=COLUMNS(D114:G114), IFERROR('Technical Sheet'!G8, "-"), "-")</f>
        <v>-</v>
      </c>
      <c r="I114" s="29" t="str">
        <f t="shared" si="5"/>
        <v/>
      </c>
      <c r="J114" s="296" t="str">
        <f>IF(AND(D114&lt;&gt;"", E114&lt;&gt;"", F114&lt;&gt;"", G114&lt;&gt;""),
    IFERROR(HYPERLINK("https://www.openstreetmap.org/search?lat=" &amp; 'Technical Sheet'!E8 &amp; "&amp;lon=" &amp; 'Technical Sheet'!F8, "OpenStreetMap Link"),
    ""),
"")</f>
        <v/>
      </c>
      <c r="K114" s="146" t="str">
        <f t="shared" si="4"/>
        <v>++++</v>
      </c>
    </row>
    <row r="115" spans="3:11" outlineLevel="1" x14ac:dyDescent="0.25">
      <c r="C115" s="19">
        <v>8</v>
      </c>
      <c r="D115" s="114"/>
      <c r="E115" s="115"/>
      <c r="F115" s="116"/>
      <c r="G115" s="114"/>
      <c r="H115" s="287" t="str">
        <f>IF(COUNTA(D115:G115)=COLUMNS(D115:G115), IFERROR('Technical Sheet'!G9, "-"), "-")</f>
        <v>-</v>
      </c>
      <c r="I115" s="29" t="str">
        <f t="shared" si="5"/>
        <v/>
      </c>
      <c r="J115" s="296" t="str">
        <f>IF(AND(D115&lt;&gt;"", E115&lt;&gt;"", F115&lt;&gt;"", G115&lt;&gt;""),
    IFERROR(HYPERLINK("https://www.openstreetmap.org/search?lat=" &amp; 'Technical Sheet'!E9 &amp; "&amp;lon=" &amp; 'Technical Sheet'!F9, "OpenStreetMap Link"),
    ""),
"")</f>
        <v/>
      </c>
      <c r="K115" s="146" t="str">
        <f t="shared" si="4"/>
        <v>++++</v>
      </c>
    </row>
    <row r="116" spans="3:11" outlineLevel="1" x14ac:dyDescent="0.25">
      <c r="C116" s="9">
        <v>9</v>
      </c>
      <c r="D116" s="114"/>
      <c r="E116" s="115"/>
      <c r="F116" s="116"/>
      <c r="G116" s="114"/>
      <c r="H116" s="287" t="str">
        <f>IF(COUNTA(D116:G116)=COLUMNS(D116:G116), IFERROR('Technical Sheet'!G10, "-"), "-")</f>
        <v>-</v>
      </c>
      <c r="I116" s="29" t="str">
        <f t="shared" si="5"/>
        <v/>
      </c>
      <c r="J116" s="296" t="str">
        <f>IF(AND(D116&lt;&gt;"", E116&lt;&gt;"", F116&lt;&gt;"", G116&lt;&gt;""),
    IFERROR(HYPERLINK("https://www.openstreetmap.org/search?lat=" &amp; 'Technical Sheet'!E10 &amp; "&amp;lon=" &amp; 'Technical Sheet'!F10, "OpenStreetMap Link"),
    ""),
"")</f>
        <v/>
      </c>
      <c r="K116" s="146" t="str">
        <f t="shared" si="4"/>
        <v>++++</v>
      </c>
    </row>
    <row r="117" spans="3:11" outlineLevel="1" x14ac:dyDescent="0.25">
      <c r="C117" s="9">
        <v>10</v>
      </c>
      <c r="D117" s="114"/>
      <c r="E117" s="115"/>
      <c r="F117" s="116"/>
      <c r="G117" s="114"/>
      <c r="H117" s="287" t="str">
        <f>IF(COUNTA(D117:G117)=COLUMNS(D117:G117), IFERROR('Technical Sheet'!G11, "-"), "-")</f>
        <v>-</v>
      </c>
      <c r="I117" s="29" t="str">
        <f t="shared" si="5"/>
        <v/>
      </c>
      <c r="J117" s="296" t="str">
        <f>IF(AND(D117&lt;&gt;"", E117&lt;&gt;"", F117&lt;&gt;"", G117&lt;&gt;""),
    IFERROR(HYPERLINK("https://www.openstreetmap.org/search?lat=" &amp; 'Technical Sheet'!E11 &amp; "&amp;lon=" &amp; 'Technical Sheet'!F11, "OpenStreetMap Link"),
    ""),
"")</f>
        <v/>
      </c>
      <c r="K117" s="146" t="str">
        <f t="shared" si="4"/>
        <v>++++</v>
      </c>
    </row>
    <row r="118" spans="3:11" outlineLevel="1" x14ac:dyDescent="0.25">
      <c r="C118" s="19">
        <v>11</v>
      </c>
      <c r="D118" s="114"/>
      <c r="E118" s="115"/>
      <c r="F118" s="116"/>
      <c r="G118" s="114"/>
      <c r="H118" s="287" t="str">
        <f>IF(COUNTA(D118:G118)=COLUMNS(D118:G118), IFERROR('Technical Sheet'!G12, "-"), "-")</f>
        <v>-</v>
      </c>
      <c r="I118" s="29" t="str">
        <f t="shared" si="5"/>
        <v/>
      </c>
      <c r="J118" s="296" t="str">
        <f>IF(AND(D118&lt;&gt;"", E118&lt;&gt;"", F118&lt;&gt;"", G118&lt;&gt;""),
    IFERROR(HYPERLINK("https://www.openstreetmap.org/search?lat=" &amp; 'Technical Sheet'!E12 &amp; "&amp;lon=" &amp; 'Technical Sheet'!F12, "OpenStreetMap Link"),
    ""),
"")</f>
        <v/>
      </c>
      <c r="K118" s="146" t="str">
        <f t="shared" si="4"/>
        <v>++++</v>
      </c>
    </row>
    <row r="119" spans="3:11" outlineLevel="1" x14ac:dyDescent="0.25">
      <c r="C119" s="9">
        <v>12</v>
      </c>
      <c r="D119" s="114"/>
      <c r="E119" s="115"/>
      <c r="F119" s="116"/>
      <c r="G119" s="114"/>
      <c r="H119" s="287" t="str">
        <f>IF(COUNTA(D119:G119)=COLUMNS(D119:G119), IFERROR('Technical Sheet'!G13, "-"), "-")</f>
        <v>-</v>
      </c>
      <c r="I119" s="29" t="str">
        <f t="shared" si="5"/>
        <v/>
      </c>
      <c r="J119" s="296" t="str">
        <f>IF(AND(D119&lt;&gt;"", E119&lt;&gt;"", F119&lt;&gt;"", G119&lt;&gt;""),
    IFERROR(HYPERLINK("https://www.openstreetmap.org/search?lat=" &amp; 'Technical Sheet'!E13 &amp; "&amp;lon=" &amp; 'Technical Sheet'!F13, "OpenStreetMap Link"),
    ""),
"")</f>
        <v/>
      </c>
      <c r="K119" s="146" t="str">
        <f t="shared" si="4"/>
        <v>++++</v>
      </c>
    </row>
    <row r="120" spans="3:11" outlineLevel="1" x14ac:dyDescent="0.25">
      <c r="C120" s="9">
        <v>13</v>
      </c>
      <c r="D120" s="114"/>
      <c r="E120" s="115"/>
      <c r="F120" s="116"/>
      <c r="G120" s="114"/>
      <c r="H120" s="287" t="str">
        <f>IF(COUNTA(D120:G120)=COLUMNS(D120:G120), IFERROR('Technical Sheet'!G14, "-"), "-")</f>
        <v>-</v>
      </c>
      <c r="I120" s="29" t="str">
        <f t="shared" si="5"/>
        <v/>
      </c>
      <c r="J120" s="296" t="str">
        <f>IF(AND(D120&lt;&gt;"", E120&lt;&gt;"", F120&lt;&gt;"", G120&lt;&gt;""),
    IFERROR(HYPERLINK("https://www.openstreetmap.org/search?lat=" &amp; 'Technical Sheet'!E14 &amp; "&amp;lon=" &amp; 'Technical Sheet'!F14, "OpenStreetMap Link"),
    ""),
"")</f>
        <v/>
      </c>
      <c r="K120" s="146" t="str">
        <f t="shared" si="4"/>
        <v>++++</v>
      </c>
    </row>
    <row r="121" spans="3:11" outlineLevel="1" x14ac:dyDescent="0.25">
      <c r="C121" s="19">
        <v>14</v>
      </c>
      <c r="D121" s="114"/>
      <c r="E121" s="115"/>
      <c r="F121" s="116"/>
      <c r="G121" s="114"/>
      <c r="H121" s="287" t="str">
        <f>IF(COUNTA(D121:G121)=COLUMNS(D121:G121), IFERROR('Technical Sheet'!G15, "-"), "-")</f>
        <v>-</v>
      </c>
      <c r="I121" s="29" t="str">
        <f t="shared" si="5"/>
        <v/>
      </c>
      <c r="J121" s="296" t="str">
        <f>IF(AND(D121&lt;&gt;"", E121&lt;&gt;"", F121&lt;&gt;"", G121&lt;&gt;""),
    IFERROR(HYPERLINK("https://www.openstreetmap.org/search?lat=" &amp; 'Technical Sheet'!E15 &amp; "&amp;lon=" &amp; 'Technical Sheet'!F15, "OpenStreetMap Link"),
    ""),
"")</f>
        <v/>
      </c>
      <c r="K121" s="146" t="str">
        <f t="shared" si="4"/>
        <v>++++</v>
      </c>
    </row>
    <row r="122" spans="3:11" outlineLevel="1" x14ac:dyDescent="0.25">
      <c r="C122" s="9">
        <v>15</v>
      </c>
      <c r="D122" s="114"/>
      <c r="E122" s="115"/>
      <c r="F122" s="116"/>
      <c r="G122" s="114"/>
      <c r="H122" s="287" t="str">
        <f>IF(COUNTA(D122:G122)=COLUMNS(D122:G122), IFERROR('Technical Sheet'!G16, "-"), "-")</f>
        <v>-</v>
      </c>
      <c r="I122" s="29" t="str">
        <f t="shared" si="5"/>
        <v/>
      </c>
      <c r="J122" s="296" t="str">
        <f>IF(AND(D122&lt;&gt;"", E122&lt;&gt;"", F122&lt;&gt;"", G122&lt;&gt;""),
    IFERROR(HYPERLINK("https://www.openstreetmap.org/search?lat=" &amp; 'Technical Sheet'!E16 &amp; "&amp;lon=" &amp; 'Technical Sheet'!F16, "OpenStreetMap Link"),
    ""),
"")</f>
        <v/>
      </c>
      <c r="K122" s="146" t="str">
        <f t="shared" si="4"/>
        <v>++++</v>
      </c>
    </row>
    <row r="123" spans="3:11" outlineLevel="1" x14ac:dyDescent="0.25">
      <c r="C123" s="9">
        <v>16</v>
      </c>
      <c r="D123" s="114"/>
      <c r="E123" s="115"/>
      <c r="F123" s="116"/>
      <c r="G123" s="114"/>
      <c r="H123" s="287" t="str">
        <f>IF(COUNTA(D123:G123)=COLUMNS(D123:G123), IFERROR('Technical Sheet'!G17, "-"), "-")</f>
        <v>-</v>
      </c>
      <c r="I123" s="29" t="str">
        <f t="shared" si="5"/>
        <v/>
      </c>
      <c r="J123" s="296" t="str">
        <f>IF(AND(D123&lt;&gt;"", E123&lt;&gt;"", F123&lt;&gt;"", G123&lt;&gt;""),
    IFERROR(HYPERLINK("https://www.openstreetmap.org/search?lat=" &amp; 'Technical Sheet'!E17 &amp; "&amp;lon=" &amp; 'Technical Sheet'!F17, "OpenStreetMap Link"),
    ""),
"")</f>
        <v/>
      </c>
      <c r="K123" s="146" t="str">
        <f t="shared" si="4"/>
        <v>++++</v>
      </c>
    </row>
    <row r="124" spans="3:11" outlineLevel="1" x14ac:dyDescent="0.25">
      <c r="C124" s="19">
        <v>17</v>
      </c>
      <c r="D124" s="114"/>
      <c r="E124" s="115"/>
      <c r="F124" s="116"/>
      <c r="G124" s="114"/>
      <c r="H124" s="287" t="str">
        <f>IF(COUNTA(D124:G124)=COLUMNS(D124:G124), IFERROR('Technical Sheet'!G18, "-"), "-")</f>
        <v>-</v>
      </c>
      <c r="I124" s="29" t="str">
        <f t="shared" si="5"/>
        <v/>
      </c>
      <c r="J124" s="296" t="str">
        <f>IF(AND(D124&lt;&gt;"", E124&lt;&gt;"", F124&lt;&gt;"", G124&lt;&gt;""),
    IFERROR(HYPERLINK("https://www.openstreetmap.org/search?lat=" &amp; 'Technical Sheet'!E18 &amp; "&amp;lon=" &amp; 'Technical Sheet'!F18, "OpenStreetMap Link"),
    ""),
"")</f>
        <v/>
      </c>
      <c r="K124" s="146" t="str">
        <f t="shared" si="4"/>
        <v>++++</v>
      </c>
    </row>
    <row r="125" spans="3:11" outlineLevel="1" x14ac:dyDescent="0.25">
      <c r="C125" s="9">
        <v>18</v>
      </c>
      <c r="D125" s="114"/>
      <c r="E125" s="115"/>
      <c r="F125" s="116"/>
      <c r="G125" s="114"/>
      <c r="H125" s="287" t="str">
        <f>IF(COUNTA(D125:G125)=COLUMNS(D125:G125), IFERROR('Technical Sheet'!G19, "-"), "-")</f>
        <v>-</v>
      </c>
      <c r="I125" s="29" t="str">
        <f t="shared" si="5"/>
        <v/>
      </c>
      <c r="J125" s="296" t="str">
        <f>IF(AND(D125&lt;&gt;"", E125&lt;&gt;"", F125&lt;&gt;"", G125&lt;&gt;""),
    IFERROR(HYPERLINK("https://www.openstreetmap.org/search?lat=" &amp; 'Technical Sheet'!E19 &amp; "&amp;lon=" &amp; 'Technical Sheet'!F19, "OpenStreetMap Link"),
    ""),
"")</f>
        <v/>
      </c>
      <c r="K125" s="146" t="str">
        <f t="shared" si="4"/>
        <v>++++</v>
      </c>
    </row>
    <row r="126" spans="3:11" outlineLevel="1" x14ac:dyDescent="0.25">
      <c r="C126" s="9">
        <v>19</v>
      </c>
      <c r="D126" s="114"/>
      <c r="E126" s="115"/>
      <c r="F126" s="116"/>
      <c r="G126" s="114"/>
      <c r="H126" s="287" t="str">
        <f>IF(COUNTA(D126:G126)=COLUMNS(D126:G126), IFERROR('Technical Sheet'!G20, "-"), "-")</f>
        <v>-</v>
      </c>
      <c r="I126" s="29" t="str">
        <f t="shared" si="5"/>
        <v/>
      </c>
      <c r="J126" s="296" t="str">
        <f>IF(AND(D126&lt;&gt;"", E126&lt;&gt;"", F126&lt;&gt;"", G126&lt;&gt;""),
    IFERROR(HYPERLINK("https://www.openstreetmap.org/search?lat=" &amp; 'Technical Sheet'!E20 &amp; "&amp;lon=" &amp; 'Technical Sheet'!F20, "OpenStreetMap Link"),
    ""),
"")</f>
        <v/>
      </c>
      <c r="K126" s="146" t="str">
        <f t="shared" si="4"/>
        <v>++++</v>
      </c>
    </row>
    <row r="127" spans="3:11" outlineLevel="1" x14ac:dyDescent="0.25">
      <c r="C127" s="19">
        <v>20</v>
      </c>
      <c r="D127" s="114"/>
      <c r="E127" s="115"/>
      <c r="F127" s="116"/>
      <c r="G127" s="114"/>
      <c r="H127" s="287" t="str">
        <f>IF(COUNTA(D127:G127)=COLUMNS(D127:G127), IFERROR('Technical Sheet'!G21, "-"), "-")</f>
        <v>-</v>
      </c>
      <c r="I127" s="29" t="str">
        <f t="shared" si="5"/>
        <v/>
      </c>
      <c r="J127" s="296" t="str">
        <f>IF(AND(D127&lt;&gt;"", E127&lt;&gt;"", F127&lt;&gt;"", G127&lt;&gt;""),
    IFERROR(HYPERLINK("https://www.openstreetmap.org/search?lat=" &amp; 'Technical Sheet'!E21 &amp; "&amp;lon=" &amp; 'Technical Sheet'!F21, "OpenStreetMap Link"),
    ""),
"")</f>
        <v/>
      </c>
      <c r="K127" s="146" t="str">
        <f t="shared" si="4"/>
        <v>++++</v>
      </c>
    </row>
    <row r="128" spans="3:11" outlineLevel="1" x14ac:dyDescent="0.25">
      <c r="C128" s="9">
        <v>21</v>
      </c>
      <c r="D128" s="114"/>
      <c r="E128" s="115"/>
      <c r="F128" s="116"/>
      <c r="G128" s="114"/>
      <c r="H128" s="287" t="str">
        <f>IF(COUNTA(D128:G128)=COLUMNS(D128:G128), IFERROR('Technical Sheet'!G22, "-"), "-")</f>
        <v>-</v>
      </c>
      <c r="I128" s="29" t="str">
        <f t="shared" si="5"/>
        <v/>
      </c>
      <c r="J128" s="296" t="str">
        <f>IF(AND(D128&lt;&gt;"", E128&lt;&gt;"", F128&lt;&gt;"", G128&lt;&gt;""),
    IFERROR(HYPERLINK("https://www.openstreetmap.org/search?lat=" &amp; 'Technical Sheet'!E22 &amp; "&amp;lon=" &amp; 'Technical Sheet'!F22, "OpenStreetMap Link"),
    ""),
"")</f>
        <v/>
      </c>
      <c r="K128" s="146" t="str">
        <f t="shared" si="4"/>
        <v>++++</v>
      </c>
    </row>
    <row r="129" spans="3:17" outlineLevel="1" x14ac:dyDescent="0.25">
      <c r="C129" s="9">
        <v>22</v>
      </c>
      <c r="D129" s="114"/>
      <c r="E129" s="115"/>
      <c r="F129" s="116"/>
      <c r="G129" s="114"/>
      <c r="H129" s="287" t="str">
        <f>IF(COUNTA(D129:G129)=COLUMNS(D129:G129), IFERROR('Technical Sheet'!G23, "-"), "-")</f>
        <v>-</v>
      </c>
      <c r="I129" s="29" t="str">
        <f t="shared" si="5"/>
        <v/>
      </c>
      <c r="J129" s="296" t="str">
        <f>IF(AND(D129&lt;&gt;"", E129&lt;&gt;"", F129&lt;&gt;"", G129&lt;&gt;""),
    IFERROR(HYPERLINK("https://www.openstreetmap.org/search?lat=" &amp; 'Technical Sheet'!E23 &amp; "&amp;lon=" &amp; 'Technical Sheet'!F23, "OpenStreetMap Link"),
    ""),
"")</f>
        <v/>
      </c>
      <c r="K129" s="146" t="str">
        <f t="shared" si="4"/>
        <v>++++</v>
      </c>
    </row>
    <row r="130" spans="3:17" outlineLevel="1" x14ac:dyDescent="0.25">
      <c r="C130" s="19">
        <v>23</v>
      </c>
      <c r="D130" s="114"/>
      <c r="E130" s="115"/>
      <c r="F130" s="116"/>
      <c r="G130" s="114"/>
      <c r="H130" s="287" t="str">
        <f>IF(COUNTA(D130:G130)=COLUMNS(D130:G130), IFERROR('Technical Sheet'!G24, "-"), "-")</f>
        <v>-</v>
      </c>
      <c r="I130" s="29" t="str">
        <f t="shared" si="5"/>
        <v/>
      </c>
      <c r="J130" s="296" t="str">
        <f>IF(AND(D130&lt;&gt;"", E130&lt;&gt;"", F130&lt;&gt;"", G130&lt;&gt;""),
    IFERROR(HYPERLINK("https://www.openstreetmap.org/search?lat=" &amp; 'Technical Sheet'!E24 &amp; "&amp;lon=" &amp; 'Technical Sheet'!F24, "OpenStreetMap Link"),
    ""),
"")</f>
        <v/>
      </c>
      <c r="K130" s="146" t="str">
        <f t="shared" si="4"/>
        <v>++++</v>
      </c>
    </row>
    <row r="131" spans="3:17" outlineLevel="1" x14ac:dyDescent="0.25">
      <c r="C131" s="88">
        <v>24</v>
      </c>
      <c r="D131" s="123"/>
      <c r="E131" s="124"/>
      <c r="F131" s="125"/>
      <c r="G131" s="123"/>
      <c r="H131" s="287" t="str">
        <f>IF(COUNTA(D131:G131)=COLUMNS(D131:G131), IFERROR('Technical Sheet'!G25, "-"), "-")</f>
        <v>-</v>
      </c>
      <c r="I131" s="29" t="str">
        <f t="shared" si="5"/>
        <v/>
      </c>
      <c r="J131" s="296" t="str">
        <f>IF(AND(D131&lt;&gt;"", E131&lt;&gt;"", F131&lt;&gt;"", G131&lt;&gt;""),
    IFERROR(HYPERLINK("https://www.openstreetmap.org/search?lat=" &amp; 'Technical Sheet'!E25 &amp; "&amp;lon=" &amp; 'Technical Sheet'!F25, "OpenStreetMap Link"),
    ""),
"")</f>
        <v/>
      </c>
      <c r="K131" s="146" t="str">
        <f t="shared" si="4"/>
        <v>++++</v>
      </c>
    </row>
    <row r="132" spans="3:17" ht="15.75" outlineLevel="1" thickBot="1" x14ac:dyDescent="0.3">
      <c r="C132" s="10">
        <v>25</v>
      </c>
      <c r="D132" s="120"/>
      <c r="E132" s="121"/>
      <c r="F132" s="122"/>
      <c r="G132" s="120"/>
      <c r="H132" s="288" t="str">
        <f>IF(COUNTA(D132:G132)=COLUMNS(D132:G132), IFERROR('Technical Sheet'!G26, "-"), "-")</f>
        <v>-</v>
      </c>
      <c r="I132" s="29" t="str">
        <f t="shared" si="5"/>
        <v/>
      </c>
      <c r="J132" s="296" t="str">
        <f>IF(AND(D132&lt;&gt;"", E132&lt;&gt;"", F132&lt;&gt;"", G132&lt;&gt;""),
    IFERROR(HYPERLINK("https://www.openstreetmap.org/search?lat=" &amp; 'Technical Sheet'!E26 &amp; "&amp;lon=" &amp; 'Technical Sheet'!F26, "OpenStreetMap Link"),
    ""),
"")</f>
        <v/>
      </c>
      <c r="K132" s="146" t="str">
        <f t="shared" si="4"/>
        <v>++++</v>
      </c>
    </row>
    <row r="133" spans="3:17" ht="15" customHeight="1" thickBot="1" x14ac:dyDescent="0.3"/>
    <row r="134" spans="3:17" ht="38.1" customHeight="1" x14ac:dyDescent="0.25">
      <c r="C134" s="516"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01/01/2024 to 31/12/2024 [If applicable]</v>
      </c>
      <c r="D134" s="517"/>
      <c r="E134" s="517"/>
      <c r="F134" s="517"/>
      <c r="G134" s="517"/>
      <c r="H134" s="517"/>
      <c r="I134" s="517"/>
      <c r="J134" s="517"/>
      <c r="K134" s="517"/>
      <c r="L134" s="517"/>
      <c r="M134" s="517"/>
      <c r="N134" s="517"/>
      <c r="O134" s="518"/>
    </row>
    <row r="135" spans="3:17" s="16" customFormat="1" x14ac:dyDescent="0.25">
      <c r="C135" s="472" t="s">
        <v>4762</v>
      </c>
      <c r="D135" s="473"/>
      <c r="E135" s="473"/>
      <c r="F135" s="473"/>
      <c r="G135" s="473"/>
      <c r="H135" s="473"/>
      <c r="I135" s="473"/>
      <c r="J135" s="473"/>
      <c r="K135" s="473"/>
      <c r="L135" s="473"/>
      <c r="M135" s="473"/>
      <c r="N135" s="473"/>
      <c r="O135" s="474"/>
      <c r="P135"/>
      <c r="Q135"/>
    </row>
    <row r="136" spans="3:17" x14ac:dyDescent="0.25">
      <c r="C136" s="585" t="s">
        <v>4763</v>
      </c>
      <c r="D136" s="586"/>
      <c r="E136" s="586"/>
      <c r="F136" s="586"/>
      <c r="G136" s="586"/>
      <c r="H136" s="586"/>
      <c r="I136" s="586"/>
      <c r="J136" s="586"/>
      <c r="K136" s="586"/>
      <c r="L136" s="586"/>
      <c r="M136" s="586"/>
      <c r="N136" s="586"/>
      <c r="O136" s="587"/>
    </row>
    <row r="137" spans="3:17" x14ac:dyDescent="0.25">
      <c r="C137" s="576" t="s">
        <v>4531</v>
      </c>
      <c r="D137" s="475" t="s">
        <v>4535</v>
      </c>
      <c r="E137" s="475"/>
      <c r="F137" s="475"/>
      <c r="G137" s="475"/>
      <c r="H137" s="475"/>
      <c r="I137" s="475"/>
      <c r="J137" s="475"/>
      <c r="K137" s="475"/>
      <c r="L137" s="475"/>
      <c r="M137" s="475"/>
      <c r="N137" s="476" t="s">
        <v>4532</v>
      </c>
      <c r="O137" s="478" t="s">
        <v>4533</v>
      </c>
    </row>
    <row r="138" spans="3:17" ht="41.45" customHeight="1" x14ac:dyDescent="0.25">
      <c r="C138" s="577"/>
      <c r="D138" s="134" t="s">
        <v>3305</v>
      </c>
      <c r="E138" s="134" t="s">
        <v>3306</v>
      </c>
      <c r="F138" s="134" t="s">
        <v>3307</v>
      </c>
      <c r="G138" s="134" t="s">
        <v>3308</v>
      </c>
      <c r="H138" s="134" t="s">
        <v>3309</v>
      </c>
      <c r="I138" s="134" t="s">
        <v>3310</v>
      </c>
      <c r="J138" s="134" t="s">
        <v>2666</v>
      </c>
      <c r="K138" s="426" t="s">
        <v>3311</v>
      </c>
      <c r="L138" s="134" t="s">
        <v>3312</v>
      </c>
      <c r="M138" s="134" t="s">
        <v>3303</v>
      </c>
      <c r="N138" s="477"/>
      <c r="O138" s="479"/>
    </row>
    <row r="139" spans="3:17" ht="15.75" thickBot="1" x14ac:dyDescent="0.3">
      <c r="C139" s="284" t="b">
        <v>1</v>
      </c>
      <c r="D139" s="424" t="b">
        <v>1</v>
      </c>
      <c r="E139" s="281" t="b">
        <v>0</v>
      </c>
      <c r="F139" s="281" t="b">
        <v>0</v>
      </c>
      <c r="G139" s="281" t="b">
        <v>0</v>
      </c>
      <c r="H139" s="281" t="b">
        <v>0</v>
      </c>
      <c r="I139" s="281" t="b">
        <v>0</v>
      </c>
      <c r="J139" s="281" t="b">
        <v>0</v>
      </c>
      <c r="K139" s="425" t="b">
        <v>0</v>
      </c>
      <c r="L139" s="281" t="b">
        <v>0</v>
      </c>
      <c r="M139" s="281" t="b">
        <v>0</v>
      </c>
      <c r="N139" s="281" t="b">
        <v>1</v>
      </c>
      <c r="O139" s="282" t="b">
        <v>1</v>
      </c>
      <c r="P139" s="28" t="str">
        <f>IF(C139=TRUE, IF(COUNTIF(D139:M139, TRUE)&gt;0, "OK", "MISSING VALUE"), "")</f>
        <v>OK</v>
      </c>
    </row>
    <row r="140" spans="3:17" ht="57.4" customHeight="1" thickBot="1" x14ac:dyDescent="0.3">
      <c r="F140"/>
    </row>
    <row r="141" spans="3:17" x14ac:dyDescent="0.25">
      <c r="C141" s="588" t="str">
        <f xml:space="preserve"> "B2 - Cooperative specific disclosures " &amp; template_reporting_period_display &amp; " [If applicable]"</f>
        <v>B2 - Cooperative specific disclosures from 01/01/2024 to 31/12/2024 [If applicable]</v>
      </c>
      <c r="D141" s="589"/>
      <c r="F141"/>
    </row>
    <row r="142" spans="3:17" x14ac:dyDescent="0.25">
      <c r="C142" s="596">
        <v>79</v>
      </c>
      <c r="D142" s="597"/>
      <c r="F142"/>
    </row>
    <row r="143" spans="3:17" ht="30" x14ac:dyDescent="0.25">
      <c r="C143" s="429" t="s">
        <v>4653</v>
      </c>
      <c r="D143" s="427" t="s">
        <v>4822</v>
      </c>
      <c r="E143" s="28" t="str">
        <f>IF(AND(D143&lt;&gt;"",UndertakingsLegalForm="cooperative"),"OK","")</f>
        <v>OK</v>
      </c>
      <c r="F143"/>
    </row>
    <row r="144" spans="3:17" ht="60" x14ac:dyDescent="0.25">
      <c r="C144" s="429" t="s">
        <v>4654</v>
      </c>
      <c r="D144" s="427">
        <v>10000</v>
      </c>
      <c r="E144" s="28" t="str">
        <f>IF(AND(D144&lt;&gt;"",UndertakingsLegalForm="cooperative"),"OK","")</f>
        <v>OK</v>
      </c>
      <c r="F144"/>
    </row>
    <row r="145" spans="1:8" ht="57.4" customHeight="1" thickBot="1" x14ac:dyDescent="0.3">
      <c r="C145" s="430" t="s">
        <v>4655</v>
      </c>
      <c r="D145" s="428" t="s">
        <v>4822</v>
      </c>
      <c r="E145" s="28" t="str">
        <f>IF(AND(D145&lt;&gt;"",UndertakingsLegalForm="cooperative"),"OK","")</f>
        <v>OK</v>
      </c>
      <c r="F145"/>
    </row>
    <row r="146" spans="1:8" ht="49.9" customHeight="1" thickBot="1" x14ac:dyDescent="0.3">
      <c r="F146"/>
    </row>
    <row r="147" spans="1:8" x14ac:dyDescent="0.25">
      <c r="C147" s="573"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01/01/2024 to 31/12/2024 [If applicable linked with B2]</v>
      </c>
      <c r="D147" s="574"/>
      <c r="E147" s="574"/>
      <c r="F147" s="574"/>
      <c r="G147" s="575"/>
    </row>
    <row r="148" spans="1:8" ht="37.9" customHeight="1" x14ac:dyDescent="0.25">
      <c r="A148" s="394">
        <v>48</v>
      </c>
      <c r="B148" s="395">
        <v>213</v>
      </c>
      <c r="C148" s="548" t="s">
        <v>4537</v>
      </c>
      <c r="D148" s="549"/>
      <c r="E148" s="605" t="s">
        <v>4822</v>
      </c>
      <c r="F148" s="606"/>
      <c r="G148" s="607"/>
      <c r="H148" s="28"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25">
      <c r="A149" s="361" t="s">
        <v>1</v>
      </c>
      <c r="B149" s="395">
        <v>213</v>
      </c>
      <c r="C149" s="578" t="s">
        <v>4536</v>
      </c>
      <c r="D149" s="579"/>
      <c r="E149" s="605" t="s">
        <v>4822</v>
      </c>
      <c r="F149" s="606"/>
      <c r="G149" s="607"/>
      <c r="H149" s="28"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OK</v>
      </c>
    </row>
    <row r="150" spans="1:8" ht="15.75" thickBot="1" x14ac:dyDescent="0.3">
      <c r="A150" s="394">
        <v>49</v>
      </c>
      <c r="B150" s="395">
        <v>213</v>
      </c>
      <c r="C150" s="505" t="s">
        <v>4534</v>
      </c>
      <c r="D150" s="506"/>
      <c r="E150" s="608" t="s">
        <v>4822</v>
      </c>
      <c r="F150" s="609"/>
      <c r="G150" s="610"/>
      <c r="H150" s="28"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65" customHeight="1" x14ac:dyDescent="0.25">
      <c r="F151"/>
    </row>
    <row r="152" spans="1:8" ht="14.65" customHeight="1" thickBot="1" x14ac:dyDescent="0.3">
      <c r="F152"/>
    </row>
    <row r="153" spans="1:8" ht="14.85" customHeight="1" x14ac:dyDescent="0.25">
      <c r="C153" s="573" t="str">
        <f xml:space="preserve"> "C1 – Strategy: Business Model and Sustainability – Related Initiatives " &amp; template_reporting_period_display &amp; " [Always to be reported]"</f>
        <v>C1 – Strategy: Business Model and Sustainability – Related Initiatives from 01/01/2024 to 31/12/2024 [Always to be reported]</v>
      </c>
      <c r="D153" s="574"/>
      <c r="E153" s="574"/>
      <c r="F153" s="574"/>
      <c r="G153" s="575"/>
    </row>
    <row r="154" spans="1:8" x14ac:dyDescent="0.25">
      <c r="A154" s="391" t="s">
        <v>4764</v>
      </c>
      <c r="B154" s="360" t="s">
        <v>1</v>
      </c>
      <c r="C154" s="509" t="s">
        <v>16</v>
      </c>
      <c r="D154" s="510"/>
      <c r="E154" s="498" t="s">
        <v>4822</v>
      </c>
      <c r="F154" s="499"/>
      <c r="G154" s="500"/>
      <c r="H154" s="28" t="str">
        <f>IF(AND($E$32="Option B (Basic Module and Comprehensive Module)", E154=""), "MISSING VALUE",
   IF(AND($E$32="Option A (Basic Module only)", E154&lt;&gt;""), "OK",
   IF(AND($E$32="Option B (Basic Module and Comprehensive Module)", E154&lt;&gt;""), "OK", "")))</f>
        <v>OK</v>
      </c>
    </row>
    <row r="155" spans="1:8" x14ac:dyDescent="0.25">
      <c r="A155" s="391" t="s">
        <v>4765</v>
      </c>
      <c r="B155" s="360" t="s">
        <v>1</v>
      </c>
      <c r="C155" s="511" t="s">
        <v>3740</v>
      </c>
      <c r="D155" s="512"/>
      <c r="E155" s="501" t="s">
        <v>4822</v>
      </c>
      <c r="F155" s="501"/>
      <c r="G155" s="502"/>
      <c r="H155" s="28" t="str">
        <f>IF(AND($E$32="Option B (Basic Module and Comprehensive Module)", E155=""), "MISSING VALUE",
   IF(AND($E$32="Option A (Basic Module only)", E155&lt;&gt;""), "OK",
   IF(AND($E$32="Option B (Basic Module and Comprehensive Module)", E155&lt;&gt;""), "OK", "")))</f>
        <v>OK</v>
      </c>
    </row>
    <row r="156" spans="1:8" ht="15.75" thickBot="1" x14ac:dyDescent="0.3">
      <c r="A156" s="391" t="s">
        <v>4766</v>
      </c>
      <c r="B156" s="393">
        <v>212</v>
      </c>
      <c r="C156" s="507" t="s">
        <v>3741</v>
      </c>
      <c r="D156" s="508"/>
      <c r="E156" s="503" t="s">
        <v>4822</v>
      </c>
      <c r="F156" s="503"/>
      <c r="G156" s="504"/>
      <c r="H156" s="28" t="str">
        <f>IF(AND($E$32="Option B (Basic Module and Comprehensive Module)", E156=""), "MISSING VALUE",
   IF(AND($E$32="Option A (Basic Module only)", E156&lt;&gt;""), "OK",
   IF(AND($E$32="Option B (Basic Module and Comprehensive Module)", E156&lt;&gt;""), "OK", "")))</f>
        <v>OK</v>
      </c>
    </row>
    <row r="157" spans="1:8" ht="27" customHeight="1" thickBot="1" x14ac:dyDescent="0.3">
      <c r="F157"/>
    </row>
    <row r="158" spans="1:8" x14ac:dyDescent="0.25">
      <c r="C158" s="602" t="str">
        <f xml:space="preserve"> "C1 – Strategy: Business Model and Sustainability – Related Initiatives " &amp; template_reporting_period_display &amp; " [If applicable]"</f>
        <v>C1 – Strategy: Business Model and Sustainability – Related Initiatives from 01/01/2024 to 31/12/2024 [If applicable]</v>
      </c>
      <c r="D158" s="603"/>
      <c r="E158" s="603"/>
      <c r="F158" s="603"/>
      <c r="G158" s="604"/>
    </row>
    <row r="159" spans="1:8" x14ac:dyDescent="0.25">
      <c r="C159" s="598" t="s">
        <v>3994</v>
      </c>
      <c r="D159" s="599"/>
      <c r="E159" s="600" t="b">
        <v>1</v>
      </c>
      <c r="F159" s="600"/>
      <c r="G159" s="601"/>
    </row>
    <row r="160" spans="1:8" ht="15.75" thickBot="1" x14ac:dyDescent="0.3">
      <c r="A160" s="391" t="s">
        <v>4767</v>
      </c>
      <c r="B160" s="360" t="s">
        <v>1</v>
      </c>
      <c r="C160" s="505" t="s">
        <v>4538</v>
      </c>
      <c r="D160" s="506"/>
      <c r="E160" s="503" t="s">
        <v>4822</v>
      </c>
      <c r="F160" s="503"/>
      <c r="G160" s="504"/>
      <c r="H160" s="28" t="str">
        <f>IF(AND($E$32="Option B (Basic Module and Comprehensive Module)", E160="",E159=TRUE), "MISSING VALUE",
   IF(AND($E$32="Option A (Basic Module only)", E160&lt;&gt;"",E159=TRUE), "OK",
   IF(AND($E$32="Option B (Basic Module and Comprehensive Module)", E160&lt;&gt;"",E159=TRUE), "OK", "")))</f>
        <v>OK</v>
      </c>
    </row>
    <row r="161" spans="2:15" ht="15.75" thickBot="1" x14ac:dyDescent="0.3"/>
    <row r="162" spans="2:15" ht="14.85" customHeight="1" x14ac:dyDescent="0.25">
      <c r="C162" s="495"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01/01/2024 to 31/12/2024 [May (optional)] </v>
      </c>
      <c r="D162" s="496"/>
      <c r="E162" s="496"/>
      <c r="F162" s="496"/>
      <c r="G162" s="496"/>
      <c r="H162" s="497"/>
      <c r="I162" s="16"/>
      <c r="J162" s="16"/>
      <c r="K162" s="16"/>
      <c r="L162" s="16"/>
      <c r="M162" s="16"/>
      <c r="N162" s="16"/>
      <c r="O162" s="16"/>
    </row>
    <row r="163" spans="2:15" ht="14.85" customHeight="1" x14ac:dyDescent="0.25">
      <c r="B163" s="362"/>
      <c r="C163" s="493">
        <v>10</v>
      </c>
      <c r="D163" s="493"/>
      <c r="E163" s="493"/>
      <c r="F163" s="493"/>
      <c r="G163" s="493"/>
      <c r="H163" s="494"/>
      <c r="I163" s="16"/>
      <c r="J163" s="16"/>
      <c r="K163" s="16"/>
      <c r="L163" s="16"/>
      <c r="M163" s="16"/>
      <c r="N163" s="16"/>
      <c r="O163" s="16"/>
    </row>
    <row r="164" spans="2:15" ht="15.75" thickBot="1" x14ac:dyDescent="0.3">
      <c r="C164" s="489" t="s">
        <v>4822</v>
      </c>
      <c r="D164" s="490"/>
      <c r="E164" s="490"/>
      <c r="F164" s="490"/>
      <c r="G164" s="490"/>
      <c r="H164" s="490"/>
      <c r="I164" s="136" t="str">
        <f>IF(C164&lt;&gt;"", "OK", "")</f>
        <v>OK</v>
      </c>
    </row>
  </sheetData>
  <sheetProtection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0" priority="87">
      <formula>$E$18=TRUE</formula>
    </cfRule>
  </conditionalFormatting>
  <conditionalFormatting sqref="C44">
    <cfRule type="expression" dxfId="369" priority="103">
      <formula>$E$43="other (please specify the legal form in the row below)"</formula>
    </cfRule>
  </conditionalFormatting>
  <conditionalFormatting sqref="D143:D145">
    <cfRule type="expression" dxfId="368" priority="8">
      <formula>$E$43="cooperative"</formula>
    </cfRule>
  </conditionalFormatting>
  <conditionalFormatting sqref="D70:E94">
    <cfRule type="expression" dxfId="367" priority="55">
      <formula>$E$42="Sustainability report prepared on a consolidated basis"</formula>
    </cfRule>
  </conditionalFormatting>
  <conditionalFormatting sqref="D139:O139 E148 E150">
    <cfRule type="expression" dxfId="366" priority="17">
      <formula>$C$139=TRUE</formula>
    </cfRule>
  </conditionalFormatting>
  <conditionalFormatting sqref="D139:O139">
    <cfRule type="expression" dxfId="365" priority="27">
      <formula>$C$139=TRUE</formula>
    </cfRule>
  </conditionalFormatting>
  <conditionalFormatting sqref="E19:E28">
    <cfRule type="expression" dxfId="364" priority="141">
      <formula>AND(ISBLANK(#REF!), $E$18=TRUE)</formula>
    </cfRule>
  </conditionalFormatting>
  <conditionalFormatting sqref="E19:E29">
    <cfRule type="expression" dxfId="363" priority="1">
      <formula>$E$18=TRUE</formula>
    </cfRule>
  </conditionalFormatting>
  <conditionalFormatting sqref="E34:E41">
    <cfRule type="expression" dxfId="362" priority="76">
      <formula>AND(ISBLANK(#REF!), $E$18=TRUE)</formula>
    </cfRule>
    <cfRule type="expression" dxfId="361" priority="75">
      <formula>$E$18=TRUE</formula>
    </cfRule>
  </conditionalFormatting>
  <conditionalFormatting sqref="E44">
    <cfRule type="expression" dxfId="360" priority="102">
      <formula>$E$43="other (please specify the legal form in the row below)"</formula>
    </cfRule>
  </conditionalFormatting>
  <conditionalFormatting sqref="E99">
    <cfRule type="expression" dxfId="359" priority="53">
      <formula>$D$81="YES"</formula>
    </cfRule>
  </conditionalFormatting>
  <conditionalFormatting sqref="E143:E145">
    <cfRule type="expression" dxfId="358" priority="11">
      <formula>$E143="OK"</formula>
    </cfRule>
  </conditionalFormatting>
  <conditionalFormatting sqref="E149:G149">
    <cfRule type="expression" dxfId="357" priority="371">
      <formula>AND($C$139=TRUE,$O$139=TRUE)</formula>
    </cfRule>
  </conditionalFormatting>
  <conditionalFormatting sqref="E160:G160">
    <cfRule type="expression" dxfId="356" priority="44">
      <formula>$E$159=TRUE</formula>
    </cfRule>
  </conditionalFormatting>
  <conditionalFormatting sqref="E100:H100">
    <cfRule type="expression" dxfId="355" priority="52">
      <formula>$E$99=TRUE</formula>
    </cfRule>
  </conditionalFormatting>
  <conditionalFormatting sqref="F3:F5 F70:F94">
    <cfRule type="expression" dxfId="354" priority="146">
      <formula>$F3="OK"</formula>
    </cfRule>
    <cfRule type="expression" dxfId="353" priority="147">
      <formula>$F3="MISSING VALUE"</formula>
    </cfRule>
  </conditionalFormatting>
  <conditionalFormatting sqref="F6:F8">
    <cfRule type="expression" dxfId="352" priority="2">
      <formula>$F$6="ERROR"</formula>
    </cfRule>
    <cfRule type="expression" dxfId="351" priority="57">
      <formula>$F$6="VALUE INCONSISTENCY"</formula>
    </cfRule>
    <cfRule type="expression" dxfId="350" priority="59">
      <formula>$F$6="OK"</formula>
    </cfRule>
    <cfRule type="expression" dxfId="349" priority="60">
      <formula>$F$6="MISSING VALUE"</formula>
    </cfRule>
  </conditionalFormatting>
  <conditionalFormatting sqref="F10">
    <cfRule type="expression" dxfId="348" priority="63">
      <formula>$F$10="OK"</formula>
    </cfRule>
    <cfRule type="expression" dxfId="347" priority="56">
      <formula>$F$10="ERROR"</formula>
    </cfRule>
    <cfRule type="expression" dxfId="346" priority="61">
      <formula>$F$10="MISSING VALUE"</formula>
    </cfRule>
    <cfRule type="expression" dxfId="345" priority="62">
      <formula>$F$10="VALUE INCONSISTENCY"</formula>
    </cfRule>
  </conditionalFormatting>
  <conditionalFormatting sqref="F13:F14">
    <cfRule type="expression" dxfId="344" priority="64">
      <formula>$F13="MISSING VALUE"</formula>
    </cfRule>
    <cfRule type="expression" dxfId="343" priority="65">
      <formula>$F13="OK"</formula>
    </cfRule>
  </conditionalFormatting>
  <conditionalFormatting sqref="F18">
    <cfRule type="expression" dxfId="342" priority="88">
      <formula>$F$18="OK"</formula>
    </cfRule>
  </conditionalFormatting>
  <conditionalFormatting sqref="F19:F29">
    <cfRule type="expression" dxfId="341" priority="85">
      <formula>$F19="MISSING VALUE"</formula>
    </cfRule>
    <cfRule type="expression" dxfId="340" priority="7">
      <formula>$F19="VALUE INCONSISTENCY"</formula>
    </cfRule>
    <cfRule type="expression" dxfId="339" priority="86">
      <formula>$F19="OK"</formula>
    </cfRule>
  </conditionalFormatting>
  <conditionalFormatting sqref="F29">
    <cfRule type="expression" dxfId="338" priority="12">
      <formula>$F$29="INVALID URL"</formula>
    </cfRule>
  </conditionalFormatting>
  <conditionalFormatting sqref="F32">
    <cfRule type="expression" dxfId="337" priority="68">
      <formula>$F32="MISSING VALUE"</formula>
    </cfRule>
    <cfRule type="expression" dxfId="336" priority="69">
      <formula>$F32="OK"</formula>
    </cfRule>
  </conditionalFormatting>
  <conditionalFormatting sqref="F33">
    <cfRule type="expression" dxfId="335" priority="5">
      <formula>$F$33="VALUE INCONSISTENCY"</formula>
    </cfRule>
    <cfRule type="expression" dxfId="334" priority="119">
      <formula>$F$33="OK"</formula>
    </cfRule>
    <cfRule type="expression" dxfId="333" priority="118">
      <formula>$F$33="MISSING VALUE"</formula>
    </cfRule>
  </conditionalFormatting>
  <conditionalFormatting sqref="F34:F41">
    <cfRule type="expression" dxfId="332" priority="6">
      <formula>$F34="VALUE INCONSISTENCY"</formula>
    </cfRule>
    <cfRule type="expression" dxfId="331" priority="73">
      <formula>$F34="MISSING VALUE"</formula>
    </cfRule>
    <cfRule type="expression" dxfId="330" priority="74">
      <formula>$F34="OK"</formula>
    </cfRule>
  </conditionalFormatting>
  <conditionalFormatting sqref="F42">
    <cfRule type="expression" dxfId="329" priority="151">
      <formula>$F$42="MISSING VALUE"</formula>
    </cfRule>
    <cfRule type="expression" dxfId="328" priority="128">
      <formula>$F$42="OK"</formula>
    </cfRule>
  </conditionalFormatting>
  <conditionalFormatting sqref="F43">
    <cfRule type="expression" dxfId="327" priority="126">
      <formula>$F$43="MISSING VALUE"</formula>
    </cfRule>
    <cfRule type="expression" dxfId="326" priority="127">
      <formula>$F$43="OK"</formula>
    </cfRule>
  </conditionalFormatting>
  <conditionalFormatting sqref="F44">
    <cfRule type="expression" dxfId="325" priority="89">
      <formula>$F$44="MISSING VALUE"</formula>
    </cfRule>
    <cfRule type="expression" dxfId="324" priority="90">
      <formula>$F$44="OK"</formula>
    </cfRule>
  </conditionalFormatting>
  <conditionalFormatting sqref="F45">
    <cfRule type="expression" dxfId="323" priority="4">
      <formula>$F$45="VALUE INCONSISTENCY"</formula>
    </cfRule>
    <cfRule type="expression" dxfId="322" priority="149">
      <formula>$F$45="MISSING VALUE"</formula>
    </cfRule>
    <cfRule type="expression" dxfId="321" priority="148">
      <formula>$F$45="OK"</formula>
    </cfRule>
    <cfRule type="expression" dxfId="320" priority="41">
      <formula>$F$45="ERROR"</formula>
    </cfRule>
  </conditionalFormatting>
  <conditionalFormatting sqref="F46:F59">
    <cfRule type="expression" dxfId="319" priority="38">
      <formula>$F46="MISSING VALUE"</formula>
    </cfRule>
    <cfRule type="expression" dxfId="318" priority="40">
      <formula>$F46="ERROR"</formula>
    </cfRule>
    <cfRule type="expression" dxfId="317" priority="39">
      <formula>$F46="OK"</formula>
    </cfRule>
    <cfRule type="expression" dxfId="316" priority="3">
      <formula>$F46="VALUE INCONSISTENCY"</formula>
    </cfRule>
  </conditionalFormatting>
  <conditionalFormatting sqref="F60">
    <cfRule type="expression" dxfId="315" priority="135">
      <formula>$F$60="OK"</formula>
    </cfRule>
    <cfRule type="expression" dxfId="314" priority="136">
      <formula>$F$60="MISSING VALUE"</formula>
    </cfRule>
  </conditionalFormatting>
  <conditionalFormatting sqref="F61:F65">
    <cfRule type="expression" dxfId="313" priority="133">
      <formula>$F61="OK"</formula>
    </cfRule>
    <cfRule type="expression" dxfId="312" priority="134">
      <formula>$F61="MISSING VALUE"</formula>
    </cfRule>
  </conditionalFormatting>
  <conditionalFormatting sqref="F93">
    <cfRule type="expression" dxfId="311" priority="270">
      <formula>#REF!="MISSING VALUE"</formula>
    </cfRule>
    <cfRule type="expression" dxfId="310" priority="271">
      <formula>#REF!="OK"</formula>
    </cfRule>
  </conditionalFormatting>
  <conditionalFormatting sqref="F94">
    <cfRule type="expression" dxfId="309" priority="272">
      <formula>$F105="MISSING VALUE"</formula>
    </cfRule>
    <cfRule type="expression" dxfId="308" priority="273">
      <formula>$F105="OK"</formula>
    </cfRule>
  </conditionalFormatting>
  <conditionalFormatting sqref="G43">
    <cfRule type="expression" dxfId="307" priority="132">
      <formula>$G$43="Please specify the legal form in the row below"</formula>
    </cfRule>
  </conditionalFormatting>
  <conditionalFormatting sqref="H108:H132">
    <cfRule type="expression" dxfId="306" priority="13">
      <formula>$H$107=FALSE</formula>
    </cfRule>
  </conditionalFormatting>
  <conditionalFormatting sqref="H148:H150">
    <cfRule type="expression" dxfId="305" priority="14">
      <formula>$H148="MISSING VALUE"</formula>
    </cfRule>
    <cfRule type="expression" dxfId="304" priority="15">
      <formula>$H148="OK"</formula>
    </cfRule>
  </conditionalFormatting>
  <conditionalFormatting sqref="H154:H156 H160">
    <cfRule type="expression" dxfId="303" priority="100">
      <formula>$H154="OK"</formula>
    </cfRule>
    <cfRule type="expression" dxfId="302" priority="101">
      <formula>$H154="MISSING VALUE"</formula>
    </cfRule>
  </conditionalFormatting>
  <conditionalFormatting sqref="I100">
    <cfRule type="expression" dxfId="301" priority="43">
      <formula>$I$100="MISSING VALUE"</formula>
    </cfRule>
    <cfRule type="expression" dxfId="300" priority="84">
      <formula>$I$100="OK"</formula>
    </cfRule>
  </conditionalFormatting>
  <conditionalFormatting sqref="I108:I132">
    <cfRule type="expression" dxfId="299" priority="92">
      <formula>$I108="MISSING VALUE"</formula>
    </cfRule>
    <cfRule type="expression" dxfId="298" priority="91">
      <formula>$I108="OK"</formula>
    </cfRule>
  </conditionalFormatting>
  <conditionalFormatting sqref="I164">
    <cfRule type="expression" dxfId="297" priority="83">
      <formula>$I$164="OK"</formula>
    </cfRule>
  </conditionalFormatting>
  <conditionalFormatting sqref="P139">
    <cfRule type="expression" dxfId="296" priority="24">
      <formula>$P$139="OK"</formula>
    </cfRule>
    <cfRule type="expression" dxfId="295" priority="23">
      <formula>$P$139="MISSING VALUE"</formula>
    </cfRule>
  </conditionalFormatting>
  <dataValidations xWindow="549" yWindow="696" count="28">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custom" allowBlank="1" showInputMessage="1" showErrorMessage="1" sqref="D9" xr:uid="{A6893FAA-5941-41DF-9847-2BA180C744C7}">
      <formula1>AND(D8&gt;=1, D8&lt;=31, IF(OR(D7="APRIL", D7="JUNE", D7="SEPTEMBER", D7="NOVEMBER"), D8&lt;=30, IF(D7="FEBRUARY", IF(AND(INT(D6/4)=D6/4, OR(INT(D6/100)&lt;&gt;D6/100, INT(D6/400)=D6/400)), D8&lt;=29, D8&lt;=28), D8&lt;=31)))</formula1>
    </dataValidation>
    <dataValidation type="date" operator="greaterThan" showInputMessage="1" showErrorMessage="1" sqref="E14" xr:uid="{14FB1F45-F6E6-440A-8B10-700A785CFE1C}">
      <formula1>D10</formula1>
    </dataValidation>
    <dataValidation type="date" operator="greaterThan" showInputMessage="1" showErrorMessage="1" sqref="D13" xr:uid="{91F62C38-3D19-4176-85FE-23E07F105461}">
      <formula1>D9</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 ref="E29" r:id="rId37" display="www.samedisclosures.it" xr:uid="{018465CC-FC9F-49AD-BC7C-7A9BED2E0D24}"/>
  </hyperlinks>
  <pageMargins left="0.7" right="0.7" top="0.75" bottom="0.75" header="0.3" footer="0.3"/>
  <pageSetup paperSize="9" orientation="portrait" horizontalDpi="4294967293" verticalDpi="4294967293" r:id="rId38"/>
  <drawing r:id="rId39"/>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1"/>
  <sheetViews>
    <sheetView showGridLines="0" topLeftCell="A212" zoomScaleNormal="100" workbookViewId="0"/>
  </sheetViews>
  <sheetFormatPr defaultColWidth="8.85546875" defaultRowHeight="15" outlineLevelRow="1" x14ac:dyDescent="0.25"/>
  <cols>
    <col min="1" max="2" width="10" bestFit="1" customWidth="1"/>
    <col min="3" max="3" width="76.5703125" customWidth="1"/>
    <col min="4" max="4" width="17.28515625" customWidth="1"/>
    <col min="5" max="5" width="19.7109375" customWidth="1"/>
    <col min="6" max="6" width="22.7109375" customWidth="1"/>
    <col min="7" max="7" width="24.7109375" customWidth="1"/>
    <col min="8" max="8" width="5.28515625" customWidth="1"/>
    <col min="9" max="9" width="16.28515625" customWidth="1"/>
    <col min="10" max="10" width="26.5703125" customWidth="1"/>
    <col min="11" max="11" width="24.7109375" customWidth="1"/>
    <col min="12" max="12" width="27.28515625" customWidth="1"/>
    <col min="13" max="13" width="30.28515625" customWidth="1"/>
    <col min="14" max="14" width="29.7109375" customWidth="1"/>
  </cols>
  <sheetData>
    <row r="1" spans="1:12" ht="60.75" thickBot="1" x14ac:dyDescent="0.3">
      <c r="A1" s="406" t="s">
        <v>4749</v>
      </c>
      <c r="B1" s="406" t="s">
        <v>4748</v>
      </c>
    </row>
    <row r="2" spans="1:12" x14ac:dyDescent="0.25">
      <c r="C2" s="590" t="str">
        <f>"B3 - Total Energy Consumption (in MWh) " &amp; template_reporting_period_display  &amp; " [Always to be reported]"</f>
        <v>B3 - Total Energy Consumption (in MWh) from 01/01/2024 to 31/12/2024 [Always to be reported]</v>
      </c>
      <c r="D2" s="591"/>
      <c r="E2" s="591"/>
      <c r="F2" s="591"/>
      <c r="G2" s="591"/>
      <c r="H2" s="591"/>
      <c r="I2" s="591"/>
      <c r="J2" s="591"/>
      <c r="K2" s="592"/>
    </row>
    <row r="3" spans="1:12" x14ac:dyDescent="0.25">
      <c r="C3" s="472">
        <v>29</v>
      </c>
      <c r="D3" s="473"/>
      <c r="E3" s="473"/>
      <c r="F3" s="473"/>
      <c r="G3" s="473"/>
      <c r="H3" s="473"/>
      <c r="I3" s="473"/>
      <c r="J3" s="473"/>
      <c r="K3" s="474"/>
    </row>
    <row r="4" spans="1:12" x14ac:dyDescent="0.25">
      <c r="C4" s="635" t="s">
        <v>4768</v>
      </c>
      <c r="D4" s="636"/>
      <c r="E4" s="636"/>
      <c r="F4" s="636"/>
      <c r="G4" s="636"/>
      <c r="H4" s="636"/>
      <c r="I4" s="636"/>
      <c r="J4" s="636"/>
      <c r="K4" s="637"/>
    </row>
    <row r="5" spans="1:12" ht="15.75" thickBot="1" x14ac:dyDescent="0.3">
      <c r="C5" s="659" t="s">
        <v>3287</v>
      </c>
      <c r="D5" s="660"/>
      <c r="E5" s="660"/>
      <c r="F5" s="661"/>
      <c r="G5" s="675">
        <v>10000</v>
      </c>
      <c r="H5" s="676"/>
      <c r="I5" s="676"/>
      <c r="J5" s="676"/>
      <c r="K5" s="677"/>
      <c r="L5" s="28" t="str">
        <f>IF(AND(OR('General Information'!E32="Option A (Basic Module only)", 'General Information'!E32="Option B (Basic Module and Comprehensive Module)"),G5=""),"MISSING VALUE",IF('General Information'!E32="","","OK"))</f>
        <v>OK</v>
      </c>
    </row>
    <row r="6" spans="1:12" ht="15.75" thickBot="1" x14ac:dyDescent="0.3"/>
    <row r="7" spans="1:12" x14ac:dyDescent="0.25">
      <c r="C7" s="590" t="str">
        <f>"B3 - Breakdown of energy consumption (in MWh) " &amp; template_reporting_period_display &amp; " [If applicable]"</f>
        <v>B3 - Breakdown of energy consumption (in MWh) from 01/01/2024 to 31/12/2024 [If applicable]</v>
      </c>
      <c r="D7" s="591"/>
      <c r="E7" s="591"/>
      <c r="F7" s="591"/>
      <c r="G7" s="591"/>
      <c r="H7" s="591"/>
      <c r="I7" s="591"/>
      <c r="J7" s="591"/>
      <c r="K7" s="592"/>
    </row>
    <row r="8" spans="1:12" x14ac:dyDescent="0.25">
      <c r="C8" s="472">
        <v>29</v>
      </c>
      <c r="D8" s="473"/>
      <c r="E8" s="473"/>
      <c r="F8" s="473"/>
      <c r="G8" s="473"/>
      <c r="H8" s="473"/>
      <c r="I8" s="473"/>
      <c r="J8" s="473"/>
      <c r="K8" s="474"/>
    </row>
    <row r="9" spans="1:12" x14ac:dyDescent="0.25">
      <c r="C9" s="635" t="s">
        <v>4768</v>
      </c>
      <c r="D9" s="636"/>
      <c r="E9" s="636"/>
      <c r="F9" s="636"/>
      <c r="G9" s="636"/>
      <c r="H9" s="636"/>
      <c r="I9" s="636"/>
      <c r="J9" s="636"/>
      <c r="K9" s="637"/>
    </row>
    <row r="10" spans="1:12" x14ac:dyDescent="0.25">
      <c r="C10" s="613" t="s">
        <v>3993</v>
      </c>
      <c r="D10" s="614"/>
      <c r="E10" s="614"/>
      <c r="F10" s="614"/>
      <c r="G10" s="600" t="b">
        <v>1</v>
      </c>
      <c r="H10" s="600"/>
      <c r="I10" s="600"/>
      <c r="J10" s="600"/>
      <c r="K10" s="601"/>
    </row>
    <row r="11" spans="1:12" ht="38.65" customHeight="1" x14ac:dyDescent="0.25">
      <c r="C11" s="678"/>
      <c r="D11" s="679"/>
      <c r="E11" s="679"/>
      <c r="F11" s="679"/>
      <c r="G11" s="671" t="s">
        <v>3781</v>
      </c>
      <c r="H11" s="672"/>
      <c r="I11" s="672"/>
      <c r="J11" s="152" t="s">
        <v>3782</v>
      </c>
      <c r="K11" s="153" t="s">
        <v>3783</v>
      </c>
      <c r="L11" s="28"/>
    </row>
    <row r="12" spans="1:12" x14ac:dyDescent="0.25">
      <c r="C12" s="662" t="s">
        <v>17</v>
      </c>
      <c r="D12" s="663"/>
      <c r="E12" s="663"/>
      <c r="F12" s="664"/>
      <c r="G12" s="653">
        <v>10000</v>
      </c>
      <c r="H12" s="654"/>
      <c r="I12" s="655"/>
      <c r="J12" s="431">
        <v>10000</v>
      </c>
      <c r="K12" s="431">
        <v>10000</v>
      </c>
      <c r="L12" s="611" t="str" cm="1">
        <f t="array" ref="L12">IF(G10=TRUE,
    IF(SUMPRODUCT(--(G12:J14&lt;&gt;"-"), --(G12:J14&lt;&gt;""))&gt;0,
        IF(SUM(G12:J14) &gt; TotalEnergyConsumption, "VALUE INCONSISTENCY", "OK"),
        "MISSING VALUE"),
"")</f>
        <v>VALUE INCONSISTENCY</v>
      </c>
    </row>
    <row r="13" spans="1:12" x14ac:dyDescent="0.25">
      <c r="C13" s="665" t="s">
        <v>4460</v>
      </c>
      <c r="D13" s="666"/>
      <c r="E13" s="666"/>
      <c r="F13" s="667"/>
      <c r="G13" s="653">
        <v>10000</v>
      </c>
      <c r="H13" s="654"/>
      <c r="I13" s="655"/>
      <c r="J13" s="431">
        <v>10000</v>
      </c>
      <c r="K13" s="431">
        <v>10000</v>
      </c>
      <c r="L13" s="611"/>
    </row>
    <row r="14" spans="1:12" ht="15.75" thickBot="1" x14ac:dyDescent="0.3">
      <c r="C14" s="693" t="s">
        <v>3776</v>
      </c>
      <c r="D14" s="694"/>
      <c r="E14" s="694"/>
      <c r="F14" s="695"/>
      <c r="G14" s="668">
        <v>10000</v>
      </c>
      <c r="H14" s="669"/>
      <c r="I14" s="670"/>
      <c r="J14" s="431">
        <v>10000</v>
      </c>
      <c r="K14" s="431">
        <v>10000</v>
      </c>
      <c r="L14" s="611"/>
    </row>
    <row r="15" spans="1:12" ht="15.75" thickBot="1" x14ac:dyDescent="0.3"/>
    <row r="16" spans="1:12" ht="28.5" customHeight="1" x14ac:dyDescent="0.25">
      <c r="C16" s="646" t="s">
        <v>4512</v>
      </c>
      <c r="D16" s="647"/>
      <c r="E16" s="647"/>
      <c r="F16" s="648"/>
      <c r="G16" s="656" t="s">
        <v>4511</v>
      </c>
      <c r="H16" s="657"/>
      <c r="I16" s="657"/>
      <c r="J16" s="657"/>
      <c r="K16" s="658"/>
    </row>
    <row r="17" spans="3:12" x14ac:dyDescent="0.25">
      <c r="C17" s="649">
        <v>30</v>
      </c>
      <c r="D17" s="650"/>
      <c r="E17" s="650"/>
      <c r="F17" s="651"/>
      <c r="G17" s="649" t="s">
        <v>4770</v>
      </c>
      <c r="H17" s="650"/>
      <c r="I17" s="650"/>
      <c r="J17" s="397" t="s">
        <v>4772</v>
      </c>
      <c r="K17" s="398" t="s">
        <v>4773</v>
      </c>
    </row>
    <row r="18" spans="3:12" ht="15.75" thickBot="1" x14ac:dyDescent="0.3">
      <c r="C18" s="363" t="s">
        <v>1</v>
      </c>
      <c r="D18" s="527" t="s">
        <v>4769</v>
      </c>
      <c r="E18" s="527"/>
      <c r="F18" s="652"/>
      <c r="G18" s="673" t="s">
        <v>4771</v>
      </c>
      <c r="H18" s="674"/>
      <c r="I18" s="674"/>
      <c r="J18" s="391" t="s">
        <v>4771</v>
      </c>
      <c r="K18" s="399" t="s">
        <v>4771</v>
      </c>
    </row>
    <row r="19" spans="3:12" ht="30" customHeight="1" x14ac:dyDescent="0.25">
      <c r="C19" s="696"/>
      <c r="D19" s="697"/>
      <c r="E19" s="697"/>
      <c r="F19" s="698"/>
      <c r="G19" s="612" t="s">
        <v>3995</v>
      </c>
      <c r="H19" s="612"/>
      <c r="I19" s="612"/>
      <c r="J19" s="237" t="b">
        <v>1</v>
      </c>
      <c r="K19" s="155"/>
    </row>
    <row r="20" spans="3:12" ht="30" x14ac:dyDescent="0.25">
      <c r="C20" s="156"/>
      <c r="D20" s="702" t="s">
        <v>18</v>
      </c>
      <c r="E20" s="702"/>
      <c r="F20" s="703"/>
      <c r="G20" s="787" t="s">
        <v>4461</v>
      </c>
      <c r="H20" s="702"/>
      <c r="I20" s="702"/>
      <c r="J20" s="11" t="s">
        <v>4462</v>
      </c>
      <c r="K20" s="68" t="s">
        <v>4487</v>
      </c>
    </row>
    <row r="21" spans="3:12" x14ac:dyDescent="0.25">
      <c r="C21" s="88" t="s">
        <v>3632</v>
      </c>
      <c r="D21" s="704" t="str">
        <f>IF('General Information'!$D$9="", "dd/mm/yyyy", TEXT('General Information'!$D$9, "DD/MM/YYYY")) &amp; " - " &amp; IF('General Information'!$D$13="", "dd/mm/yyyy", TEXT('General Information'!$D$13, "DD/MM/YYYY"))</f>
        <v>01/01/2024 - 31/12/2024</v>
      </c>
      <c r="E21" s="704"/>
      <c r="F21" s="705"/>
      <c r="G21" s="795">
        <v>2024</v>
      </c>
      <c r="H21" s="796"/>
      <c r="I21" s="796"/>
      <c r="J21" s="440">
        <v>2024</v>
      </c>
      <c r="K21" s="158"/>
      <c r="L21" s="28" t="str">
        <f>IF(AND(J19=TRUE,G21&lt;&gt;"",J21&lt;&gt;""),"OK",IF(AND(J19=TRUE,G21="",J21=""),"MISSING VALUE",IF(AND(J19=FALSE,G21="",J21=""),"",IF(AND(J19=TRUE,OR(G21="",J21="")),"MISSING VALUE",""))))</f>
        <v>OK</v>
      </c>
    </row>
    <row r="22" spans="3:12" x14ac:dyDescent="0.25">
      <c r="C22" s="9" t="s">
        <v>4463</v>
      </c>
      <c r="D22" s="653">
        <v>10000</v>
      </c>
      <c r="E22" s="654"/>
      <c r="F22" s="655"/>
      <c r="G22" s="653">
        <v>10000</v>
      </c>
      <c r="H22" s="654"/>
      <c r="I22" s="655"/>
      <c r="J22" s="431">
        <v>10000</v>
      </c>
      <c r="K22" s="159">
        <f>IF(AND(G22="", J22=""), "-", IFERROR(-(1 - (J22 / G22)), "-"))</f>
        <v>0</v>
      </c>
      <c r="L22" s="28"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25">
      <c r="C23" s="9" t="s">
        <v>4464</v>
      </c>
      <c r="D23" s="653">
        <v>10000</v>
      </c>
      <c r="E23" s="654"/>
      <c r="F23" s="655"/>
      <c r="G23" s="653">
        <v>10000</v>
      </c>
      <c r="H23" s="654"/>
      <c r="I23" s="655"/>
      <c r="J23" s="431">
        <v>10000</v>
      </c>
      <c r="K23" s="159">
        <f t="shared" ref="K23:K26" si="0">IF(AND(G23="", J23=""), "-", IFERROR(-(1 - (J23 / G23)), "-"))</f>
        <v>0</v>
      </c>
      <c r="L23" s="28"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25">
      <c r="C24" s="9" t="s">
        <v>4465</v>
      </c>
      <c r="D24" s="653">
        <v>10000</v>
      </c>
      <c r="E24" s="654"/>
      <c r="F24" s="655"/>
      <c r="G24" s="653">
        <v>10000</v>
      </c>
      <c r="H24" s="654"/>
      <c r="I24" s="655"/>
      <c r="J24" s="431">
        <v>10000</v>
      </c>
      <c r="K24" s="159">
        <f t="shared" si="0"/>
        <v>0</v>
      </c>
      <c r="L24" s="28" t="str">
        <f>IF(D24&lt;&gt;"", IF(AND(G24="", J24=""), "OK", IF(AND(G24&lt;&gt;"", J24=""), "MISSING VALUE", "OK")), "")</f>
        <v>OK</v>
      </c>
    </row>
    <row r="25" spans="3:12" x14ac:dyDescent="0.25">
      <c r="C25" s="19" t="s">
        <v>4466</v>
      </c>
      <c r="D25" s="710"/>
      <c r="E25" s="711"/>
      <c r="F25" s="712"/>
      <c r="G25" s="799">
        <v>10000</v>
      </c>
      <c r="H25" s="800"/>
      <c r="I25" s="800"/>
      <c r="J25" s="431">
        <v>10000</v>
      </c>
      <c r="K25" s="159">
        <f t="shared" si="0"/>
        <v>0</v>
      </c>
    </row>
    <row r="26" spans="3:12" ht="15.75" thickBot="1" x14ac:dyDescent="0.3">
      <c r="C26" s="10" t="s">
        <v>4467</v>
      </c>
      <c r="D26" s="710"/>
      <c r="E26" s="711"/>
      <c r="F26" s="712"/>
      <c r="G26" s="801">
        <v>10000</v>
      </c>
      <c r="H26" s="801"/>
      <c r="I26" s="802"/>
      <c r="J26" s="431">
        <v>10000</v>
      </c>
      <c r="K26" s="159">
        <f t="shared" si="0"/>
        <v>0</v>
      </c>
    </row>
    <row r="27" spans="3:12" x14ac:dyDescent="0.25">
      <c r="C27" s="713" t="s">
        <v>4774</v>
      </c>
      <c r="D27" s="714"/>
      <c r="E27" s="714"/>
      <c r="F27" s="714"/>
      <c r="G27" s="714">
        <v>54</v>
      </c>
      <c r="H27" s="714"/>
      <c r="I27" s="714"/>
      <c r="J27" s="714"/>
      <c r="K27" s="161"/>
    </row>
    <row r="28" spans="3:12" ht="15.75" thickBot="1" x14ac:dyDescent="0.3">
      <c r="C28" s="363" t="s">
        <v>1</v>
      </c>
      <c r="D28" s="527" t="s">
        <v>4775</v>
      </c>
      <c r="E28" s="527"/>
      <c r="F28" s="527"/>
      <c r="G28" s="803" t="s">
        <v>1</v>
      </c>
      <c r="H28" s="803"/>
      <c r="I28" s="803"/>
      <c r="J28" s="364" t="s">
        <v>1</v>
      </c>
      <c r="K28" s="162"/>
    </row>
    <row r="29" spans="3:12" ht="22.15" customHeight="1" x14ac:dyDescent="0.25">
      <c r="C29" s="699" t="s">
        <v>4660</v>
      </c>
      <c r="D29" s="700"/>
      <c r="E29" s="700"/>
      <c r="F29" s="701"/>
      <c r="G29" s="718" t="b">
        <v>1</v>
      </c>
      <c r="H29" s="719"/>
      <c r="I29" s="719"/>
      <c r="J29" s="719"/>
      <c r="K29" s="720"/>
    </row>
    <row r="30" spans="3:12" x14ac:dyDescent="0.25">
      <c r="C30" s="151" t="s">
        <v>4493</v>
      </c>
      <c r="D30" s="627"/>
      <c r="E30" s="627"/>
      <c r="F30" s="624"/>
      <c r="G30" s="786"/>
      <c r="H30" s="627"/>
      <c r="I30" s="627"/>
      <c r="J30" s="314"/>
      <c r="K30" s="163" t="str">
        <f>IF(AND(G30="", J30=""), "-", IFERROR(-(1 - (J30 / G30)), "-"))</f>
        <v>-</v>
      </c>
      <c r="L30" s="832" t="str" cm="1">
        <f t="array" ref="L30">IF(AND(G29=TRUE,D30:F44=""),"MISSING VALUE",IF(G29=FALSE,"","OK"))</f>
        <v>MISSING VALUE</v>
      </c>
    </row>
    <row r="31" spans="3:12" x14ac:dyDescent="0.25">
      <c r="C31" s="151" t="s">
        <v>4494</v>
      </c>
      <c r="D31" s="627"/>
      <c r="E31" s="627"/>
      <c r="F31" s="624"/>
      <c r="G31" s="786"/>
      <c r="H31" s="627"/>
      <c r="I31" s="627"/>
      <c r="J31" s="314"/>
      <c r="K31" s="163" t="str">
        <f t="shared" ref="K31:K47" si="1">IF(AND(G31="", J31=""), "-", IFERROR(-(1 - (J31 / G31)), "-"))</f>
        <v>-</v>
      </c>
      <c r="L31" s="832"/>
    </row>
    <row r="32" spans="3:12" x14ac:dyDescent="0.25">
      <c r="C32" s="151" t="s">
        <v>4522</v>
      </c>
      <c r="D32" s="627"/>
      <c r="E32" s="627"/>
      <c r="F32" s="624"/>
      <c r="G32" s="786"/>
      <c r="H32" s="627"/>
      <c r="I32" s="627"/>
      <c r="J32" s="314"/>
      <c r="K32" s="163" t="str">
        <f t="shared" si="1"/>
        <v>-</v>
      </c>
      <c r="L32" s="832"/>
    </row>
    <row r="33" spans="3:12" x14ac:dyDescent="0.25">
      <c r="C33" s="151" t="s">
        <v>4495</v>
      </c>
      <c r="D33" s="627"/>
      <c r="E33" s="627"/>
      <c r="F33" s="624"/>
      <c r="G33" s="786"/>
      <c r="H33" s="627"/>
      <c r="I33" s="627"/>
      <c r="J33" s="314"/>
      <c r="K33" s="163" t="str">
        <f t="shared" si="1"/>
        <v>-</v>
      </c>
      <c r="L33" s="832"/>
    </row>
    <row r="34" spans="3:12" x14ac:dyDescent="0.25">
      <c r="C34" s="151" t="s">
        <v>4496</v>
      </c>
      <c r="D34" s="627"/>
      <c r="E34" s="627"/>
      <c r="F34" s="624"/>
      <c r="G34" s="786"/>
      <c r="H34" s="627"/>
      <c r="I34" s="627"/>
      <c r="J34" s="314"/>
      <c r="K34" s="163" t="str">
        <f t="shared" si="1"/>
        <v>-</v>
      </c>
      <c r="L34" s="832"/>
    </row>
    <row r="35" spans="3:12" x14ac:dyDescent="0.25">
      <c r="C35" s="151" t="s">
        <v>4497</v>
      </c>
      <c r="D35" s="627"/>
      <c r="E35" s="627"/>
      <c r="F35" s="624"/>
      <c r="G35" s="786"/>
      <c r="H35" s="627"/>
      <c r="I35" s="627"/>
      <c r="J35" s="314"/>
      <c r="K35" s="163" t="str">
        <f t="shared" si="1"/>
        <v>-</v>
      </c>
      <c r="L35" s="832"/>
    </row>
    <row r="36" spans="3:12" x14ac:dyDescent="0.25">
      <c r="C36" s="151" t="s">
        <v>4498</v>
      </c>
      <c r="D36" s="627"/>
      <c r="E36" s="627"/>
      <c r="F36" s="624"/>
      <c r="G36" s="786"/>
      <c r="H36" s="627"/>
      <c r="I36" s="627"/>
      <c r="J36" s="314"/>
      <c r="K36" s="163" t="str">
        <f t="shared" si="1"/>
        <v>-</v>
      </c>
      <c r="L36" s="832"/>
    </row>
    <row r="37" spans="3:12" x14ac:dyDescent="0.25">
      <c r="C37" s="151" t="s">
        <v>4499</v>
      </c>
      <c r="D37" s="627"/>
      <c r="E37" s="627"/>
      <c r="F37" s="624"/>
      <c r="G37" s="786"/>
      <c r="H37" s="627"/>
      <c r="I37" s="627"/>
      <c r="J37" s="314"/>
      <c r="K37" s="163" t="str">
        <f t="shared" si="1"/>
        <v>-</v>
      </c>
      <c r="L37" s="832"/>
    </row>
    <row r="38" spans="3:12" x14ac:dyDescent="0.25">
      <c r="C38" s="151" t="s">
        <v>4500</v>
      </c>
      <c r="D38" s="627"/>
      <c r="E38" s="627"/>
      <c r="F38" s="624"/>
      <c r="G38" s="786"/>
      <c r="H38" s="627"/>
      <c r="I38" s="627"/>
      <c r="J38" s="314"/>
      <c r="K38" s="163" t="str">
        <f t="shared" si="1"/>
        <v>-</v>
      </c>
      <c r="L38" s="832"/>
    </row>
    <row r="39" spans="3:12" x14ac:dyDescent="0.25">
      <c r="C39" s="151" t="s">
        <v>4501</v>
      </c>
      <c r="D39" s="627"/>
      <c r="E39" s="627"/>
      <c r="F39" s="624"/>
      <c r="G39" s="786"/>
      <c r="H39" s="627"/>
      <c r="I39" s="627"/>
      <c r="J39" s="314"/>
      <c r="K39" s="163" t="str">
        <f t="shared" si="1"/>
        <v>-</v>
      </c>
      <c r="L39" s="832"/>
    </row>
    <row r="40" spans="3:12" x14ac:dyDescent="0.25">
      <c r="C40" s="151" t="s">
        <v>4502</v>
      </c>
      <c r="D40" s="627"/>
      <c r="E40" s="627"/>
      <c r="F40" s="624"/>
      <c r="G40" s="786"/>
      <c r="H40" s="627"/>
      <c r="I40" s="627"/>
      <c r="J40" s="314"/>
      <c r="K40" s="163" t="str">
        <f t="shared" si="1"/>
        <v>-</v>
      </c>
      <c r="L40" s="832"/>
    </row>
    <row r="41" spans="3:12" x14ac:dyDescent="0.25">
      <c r="C41" s="151" t="s">
        <v>4503</v>
      </c>
      <c r="D41" s="627"/>
      <c r="E41" s="627"/>
      <c r="F41" s="624"/>
      <c r="G41" s="786"/>
      <c r="H41" s="627"/>
      <c r="I41" s="627"/>
      <c r="J41" s="314"/>
      <c r="K41" s="163" t="str">
        <f t="shared" si="1"/>
        <v>-</v>
      </c>
      <c r="L41" s="832"/>
    </row>
    <row r="42" spans="3:12" x14ac:dyDescent="0.25">
      <c r="C42" s="151" t="s">
        <v>4504</v>
      </c>
      <c r="D42" s="627"/>
      <c r="E42" s="627"/>
      <c r="F42" s="624"/>
      <c r="G42" s="786"/>
      <c r="H42" s="627"/>
      <c r="I42" s="627"/>
      <c r="J42" s="314"/>
      <c r="K42" s="163" t="str">
        <f t="shared" si="1"/>
        <v>-</v>
      </c>
      <c r="L42" s="832"/>
    </row>
    <row r="43" spans="3:12" x14ac:dyDescent="0.25">
      <c r="C43" s="151" t="s">
        <v>4505</v>
      </c>
      <c r="D43" s="627"/>
      <c r="E43" s="627"/>
      <c r="F43" s="624"/>
      <c r="G43" s="786"/>
      <c r="H43" s="627"/>
      <c r="I43" s="627"/>
      <c r="J43" s="314"/>
      <c r="K43" s="163" t="str">
        <f t="shared" si="1"/>
        <v>-</v>
      </c>
      <c r="L43" s="832"/>
    </row>
    <row r="44" spans="3:12" x14ac:dyDescent="0.25">
      <c r="C44" s="151" t="s">
        <v>4506</v>
      </c>
      <c r="D44" s="627"/>
      <c r="E44" s="627"/>
      <c r="F44" s="624"/>
      <c r="G44" s="786"/>
      <c r="H44" s="627"/>
      <c r="I44" s="627"/>
      <c r="J44" s="314"/>
      <c r="K44" s="163" t="str">
        <f t="shared" si="1"/>
        <v>-</v>
      </c>
      <c r="L44" s="832"/>
    </row>
    <row r="45" spans="3:12" ht="15.75" thickBot="1" x14ac:dyDescent="0.3">
      <c r="C45" s="164" t="s">
        <v>4544</v>
      </c>
      <c r="D45" s="708">
        <v>10000</v>
      </c>
      <c r="E45" s="708"/>
      <c r="F45" s="709"/>
      <c r="G45" s="804">
        <v>10000</v>
      </c>
      <c r="H45" s="804"/>
      <c r="I45" s="805"/>
      <c r="J45" s="315">
        <v>10000</v>
      </c>
      <c r="K45" s="316">
        <f t="shared" si="1"/>
        <v>0</v>
      </c>
      <c r="L45" s="28"/>
    </row>
    <row r="46" spans="3:12" ht="15.75" thickBot="1" x14ac:dyDescent="0.3">
      <c r="C46" s="19" t="s">
        <v>4468</v>
      </c>
      <c r="D46" s="708">
        <v>10000</v>
      </c>
      <c r="E46" s="708"/>
      <c r="F46" s="709"/>
      <c r="G46" s="797">
        <v>10000</v>
      </c>
      <c r="H46" s="798"/>
      <c r="I46" s="798"/>
      <c r="J46" s="160">
        <v>10000</v>
      </c>
      <c r="K46" s="317">
        <f t="shared" si="1"/>
        <v>0</v>
      </c>
    </row>
    <row r="47" spans="3:12" ht="15.75" thickBot="1" x14ac:dyDescent="0.3">
      <c r="C47" s="165" t="s">
        <v>4539</v>
      </c>
      <c r="D47" s="708">
        <v>10000</v>
      </c>
      <c r="E47" s="708"/>
      <c r="F47" s="709"/>
      <c r="G47" s="768">
        <v>10000</v>
      </c>
      <c r="H47" s="769"/>
      <c r="I47" s="770"/>
      <c r="J47" s="160">
        <v>10000</v>
      </c>
      <c r="K47" s="316">
        <f t="shared" si="1"/>
        <v>0</v>
      </c>
    </row>
    <row r="48" spans="3:12" ht="15.75" thickBot="1" x14ac:dyDescent="0.3">
      <c r="C48" s="166"/>
      <c r="D48" s="166"/>
      <c r="E48" s="166"/>
      <c r="F48" s="166"/>
      <c r="G48" s="166"/>
      <c r="H48" s="166"/>
      <c r="I48" s="166"/>
      <c r="J48" s="166"/>
      <c r="K48" s="166"/>
    </row>
    <row r="49" spans="1:12" x14ac:dyDescent="0.25">
      <c r="C49" s="644" t="str">
        <f xml:space="preserve"> "C3 - Disclosure of list of main actions the entity seeks in order to achieve its targets " &amp; template_reporting_period_display &amp; " [If applicable]"</f>
        <v>C3 - Disclosure of list of main actions the entity seeks in order to achieve its targets from 01/01/2024 to 31/12/2024 [If applicable]</v>
      </c>
      <c r="D49" s="644"/>
      <c r="E49" s="644"/>
      <c r="F49" s="644"/>
      <c r="G49" s="644"/>
      <c r="H49" s="644"/>
      <c r="I49" s="644"/>
      <c r="J49" s="644"/>
      <c r="K49" s="794"/>
      <c r="L49" s="14"/>
    </row>
    <row r="50" spans="1:12" x14ac:dyDescent="0.25">
      <c r="C50" s="472" t="s">
        <v>4776</v>
      </c>
      <c r="D50" s="472"/>
      <c r="E50" s="472"/>
      <c r="F50" s="472"/>
      <c r="G50" s="472"/>
      <c r="H50" s="472"/>
      <c r="I50" s="472"/>
      <c r="J50" s="472"/>
      <c r="K50" s="725"/>
    </row>
    <row r="51" spans="1:12" x14ac:dyDescent="0.25">
      <c r="C51" s="635">
        <v>223</v>
      </c>
      <c r="D51" s="635"/>
      <c r="E51" s="635"/>
      <c r="F51" s="635"/>
      <c r="G51" s="635"/>
      <c r="H51" s="635"/>
      <c r="I51" s="635"/>
      <c r="J51" s="635"/>
      <c r="K51" s="635"/>
      <c r="L51" s="14"/>
    </row>
    <row r="52" spans="1:12" ht="15.75" thickBot="1" x14ac:dyDescent="0.3">
      <c r="C52" s="792" t="s">
        <v>4822</v>
      </c>
      <c r="D52" s="792"/>
      <c r="E52" s="792"/>
      <c r="F52" s="792"/>
      <c r="G52" s="792"/>
      <c r="H52" s="792"/>
      <c r="I52" s="792"/>
      <c r="J52" s="792"/>
      <c r="K52" s="793"/>
      <c r="L52" s="154" t="str">
        <f>IF(AND(J19=TRUE,C52&lt;&gt;""),"OK",IF(AND(J19=TRUE,C52=""),"MISSING VALUE",""))</f>
        <v>OK</v>
      </c>
    </row>
    <row r="54" spans="1:12" ht="15.75" thickBot="1" x14ac:dyDescent="0.3">
      <c r="C54" s="15"/>
      <c r="D54" s="15"/>
      <c r="E54" s="15"/>
      <c r="F54" s="15"/>
      <c r="G54" s="15"/>
      <c r="H54" s="15"/>
      <c r="I54" s="15"/>
      <c r="J54" s="15"/>
      <c r="K54" s="15"/>
    </row>
    <row r="55" spans="1:12" x14ac:dyDescent="0.25">
      <c r="C55" s="644" t="str">
        <f xml:space="preserve"> "C3 - Transition plan for undertakings operating in high climate impact sectors " &amp; template_reporting_period_display &amp; " [If applicable]"</f>
        <v>C3 - Transition plan for undertakings operating in high climate impact sectors from 01/01/2024 to 31/12/2024 [If applicable]</v>
      </c>
      <c r="D55" s="644"/>
      <c r="E55" s="644"/>
      <c r="F55" s="644"/>
      <c r="G55" s="644"/>
      <c r="H55" s="644"/>
      <c r="I55" s="644"/>
      <c r="J55" s="644"/>
      <c r="K55" s="645"/>
    </row>
    <row r="56" spans="1:12" ht="38.450000000000003" customHeight="1" x14ac:dyDescent="0.25">
      <c r="A56" s="391">
        <v>55</v>
      </c>
      <c r="B56" s="393" t="s">
        <v>4741</v>
      </c>
      <c r="C56" s="151" t="s">
        <v>3996</v>
      </c>
      <c r="D56" s="780"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781"/>
      <c r="F56" s="781"/>
      <c r="G56" s="781"/>
      <c r="H56" s="781"/>
      <c r="I56" s="781"/>
      <c r="J56" s="781"/>
      <c r="K56" s="782"/>
      <c r="L56" s="28"/>
    </row>
    <row r="57" spans="1:12" x14ac:dyDescent="0.25">
      <c r="A57" s="397">
        <v>55</v>
      </c>
      <c r="B57" s="393" t="s">
        <v>4741</v>
      </c>
      <c r="C57" s="151" t="s">
        <v>4488</v>
      </c>
      <c r="D57" s="790" t="s">
        <v>3774</v>
      </c>
      <c r="E57" s="790"/>
      <c r="F57" s="790"/>
      <c r="G57" s="790"/>
      <c r="H57" s="790"/>
      <c r="I57" s="790"/>
      <c r="J57" s="790"/>
      <c r="K57" s="791"/>
      <c r="L57" s="28" t="str">
        <f>IF(AND(OR(D57="A transition plan has already been adopted", D57="Adoption of a transition plan is planned in the future"), D56=TRUE),
   "OK",
   IF(AND(BasisForPreparation="Option B (Basic Module and Comprehensive Module)", D57="", D56=TRUE),
      "MISSING VALUE",
      "")
)</f>
        <v>OK</v>
      </c>
    </row>
    <row r="58" spans="1:12" ht="30" x14ac:dyDescent="0.25">
      <c r="A58" s="397">
        <v>55</v>
      </c>
      <c r="B58" s="393" t="s">
        <v>4741</v>
      </c>
      <c r="C58" s="167" t="s">
        <v>4009</v>
      </c>
      <c r="D58" s="501" t="s">
        <v>4822</v>
      </c>
      <c r="E58" s="501"/>
      <c r="F58" s="501"/>
      <c r="G58" s="501"/>
      <c r="H58" s="501"/>
      <c r="I58" s="501"/>
      <c r="J58" s="501"/>
      <c r="K58" s="502"/>
      <c r="L58" s="28" t="str">
        <f>IF(AND(D57="A transition plan has already been adopted",DescriptionOfATransitionPlanForClimateChangeMitigationIncludingAnExplanationOfHowItIsContributingToReduceGhgEmissions&lt;&gt;""),"OK","")</f>
        <v>OK</v>
      </c>
    </row>
    <row r="59" spans="1:12" ht="30.75" thickBot="1" x14ac:dyDescent="0.3">
      <c r="A59" s="397">
        <v>56</v>
      </c>
      <c r="B59" s="393" t="s">
        <v>4741</v>
      </c>
      <c r="C59" s="168" t="s">
        <v>4473</v>
      </c>
      <c r="D59" s="779">
        <v>45657</v>
      </c>
      <c r="E59" s="503"/>
      <c r="F59" s="503"/>
      <c r="G59" s="503"/>
      <c r="H59" s="503"/>
      <c r="I59" s="503"/>
      <c r="J59" s="503"/>
      <c r="K59" s="504"/>
      <c r="L59" s="28" t="str">
        <f>IF(AND(D57="Adoption of a transition plan is planned in the future",DateOfAdoptionOfTransitionPlanForUndertakingNotHavingAdoptedTransitionPlanYet&lt;&gt;""),"OK",IF(AND(D57="Adoption of a transition plan is planned in the future",DateOfAdoptionOfTransitionPlanForUndertakingNotHavingAdoptedTransitionPlanYet=""),"MISSING VALUE",""))</f>
        <v/>
      </c>
    </row>
    <row r="60" spans="1:12" ht="15.75" thickBot="1" x14ac:dyDescent="0.3"/>
    <row r="61" spans="1:12" ht="14.85" customHeight="1" x14ac:dyDescent="0.25">
      <c r="C61" s="559" t="str">
        <f xml:space="preserve"> "B3 - Greenhouse gas emission intensity per turnover (in tCO2e/" &amp; template_currency &amp; ") " &amp; template_reporting_period_display &amp; " [Always to be reported]"</f>
        <v>B3 - Greenhouse gas emission intensity per turnover (in tCO2e/EUR  ) from 01/01/2024 to 31/12/2024 [Always to be reported]</v>
      </c>
      <c r="D61" s="559"/>
      <c r="E61" s="559"/>
      <c r="F61" s="559"/>
      <c r="G61" s="559"/>
      <c r="H61" s="559"/>
      <c r="I61" s="559"/>
      <c r="J61" s="559"/>
      <c r="K61" s="643"/>
    </row>
    <row r="62" spans="1:12" ht="14.85" customHeight="1" x14ac:dyDescent="0.25">
      <c r="C62" s="641">
        <v>31</v>
      </c>
      <c r="D62" s="641"/>
      <c r="E62" s="641"/>
      <c r="F62" s="641"/>
      <c r="G62" s="641"/>
      <c r="H62" s="641"/>
      <c r="I62" s="641"/>
      <c r="J62" s="641"/>
      <c r="K62" s="642"/>
    </row>
    <row r="63" spans="1:12" x14ac:dyDescent="0.25">
      <c r="C63" s="548" t="s">
        <v>4478</v>
      </c>
      <c r="D63" s="549"/>
      <c r="E63" s="549"/>
      <c r="F63" s="549"/>
      <c r="G63" s="638">
        <v>1</v>
      </c>
      <c r="H63" s="639"/>
      <c r="I63" s="639"/>
      <c r="J63" s="639"/>
      <c r="K63" s="640"/>
    </row>
    <row r="64" spans="1:12" x14ac:dyDescent="0.25">
      <c r="C64" s="771" t="s">
        <v>4479</v>
      </c>
      <c r="D64" s="772"/>
      <c r="E64" s="772"/>
      <c r="F64" s="772"/>
      <c r="G64" s="638">
        <v>1</v>
      </c>
      <c r="H64" s="639"/>
      <c r="I64" s="639"/>
      <c r="J64" s="639"/>
      <c r="K64" s="640"/>
    </row>
    <row r="65" spans="3:12" x14ac:dyDescent="0.25">
      <c r="C65" s="548" t="s">
        <v>4480</v>
      </c>
      <c r="D65" s="549"/>
      <c r="E65" s="549"/>
      <c r="F65" s="706"/>
      <c r="G65" s="638">
        <v>1</v>
      </c>
      <c r="H65" s="639"/>
      <c r="I65" s="639"/>
      <c r="J65" s="639"/>
      <c r="K65" s="640"/>
    </row>
    <row r="66" spans="3:12" ht="15.75" thickBot="1" x14ac:dyDescent="0.3">
      <c r="C66" s="505" t="s">
        <v>4543</v>
      </c>
      <c r="D66" s="506"/>
      <c r="E66" s="506"/>
      <c r="F66" s="707"/>
      <c r="G66" s="806">
        <v>1</v>
      </c>
      <c r="H66" s="807"/>
      <c r="I66" s="807"/>
      <c r="J66" s="807"/>
      <c r="K66" s="808"/>
      <c r="L66" s="14"/>
    </row>
    <row r="67" spans="3:12" ht="15.75" thickBot="1" x14ac:dyDescent="0.3"/>
    <row r="68" spans="3:12" x14ac:dyDescent="0.25">
      <c r="C68" s="646" t="str">
        <f xml:space="preserve"> "B4 – Pollution of air, water and soil " &amp; template_reporting_period_display &amp; " [If applicable]"</f>
        <v>B4 – Pollution of air, water and soil from 01/01/2024 to 31/12/2024 [If applicable]</v>
      </c>
      <c r="D68" s="647"/>
      <c r="E68" s="647"/>
      <c r="F68" s="647"/>
      <c r="G68" s="647"/>
      <c r="H68" s="647"/>
      <c r="I68" s="647"/>
      <c r="J68" s="647"/>
      <c r="K68" s="648"/>
    </row>
    <row r="69" spans="3:12" x14ac:dyDescent="0.25">
      <c r="C69" s="649">
        <v>32</v>
      </c>
      <c r="D69" s="650"/>
      <c r="E69" s="650"/>
      <c r="F69" s="650"/>
      <c r="G69" s="650"/>
      <c r="H69" s="650"/>
      <c r="I69" s="650"/>
      <c r="J69" s="650"/>
      <c r="K69" s="651"/>
    </row>
    <row r="70" spans="3:12" x14ac:dyDescent="0.25">
      <c r="C70" s="673" t="s">
        <v>4777</v>
      </c>
      <c r="D70" s="674"/>
      <c r="E70" s="674"/>
      <c r="F70" s="674"/>
      <c r="G70" s="674"/>
      <c r="H70" s="674"/>
      <c r="I70" s="674"/>
      <c r="J70" s="674"/>
      <c r="K70" s="724"/>
    </row>
    <row r="71" spans="3:12" ht="30" customHeight="1" x14ac:dyDescent="0.25">
      <c r="C71" s="580" t="s">
        <v>3997</v>
      </c>
      <c r="D71" s="745"/>
      <c r="E71" s="745"/>
      <c r="F71" s="581"/>
      <c r="G71" s="783" t="b">
        <v>1</v>
      </c>
      <c r="H71" s="784"/>
      <c r="I71" s="784"/>
      <c r="J71" s="784"/>
      <c r="K71" s="785"/>
      <c r="L71" s="28"/>
    </row>
    <row r="72" spans="3:12" x14ac:dyDescent="0.25">
      <c r="C72" s="548" t="s">
        <v>3810</v>
      </c>
      <c r="D72" s="549"/>
      <c r="E72" s="549"/>
      <c r="F72" s="549"/>
      <c r="G72" s="788" t="b">
        <v>1</v>
      </c>
      <c r="H72" s="788"/>
      <c r="I72" s="788"/>
      <c r="J72" s="788"/>
      <c r="K72" s="789"/>
      <c r="L72" s="28" t="str" cm="1">
        <f t="array" ref="L72">IF(AND(G72=TRUE,D77:K116=""),"OK",IF(AND(OR(D77:K116&lt;&gt;""),G72=TRUE),"VALUE INCONSISTENCY",""))</f>
        <v>VALUE INCONSISTENCY</v>
      </c>
    </row>
    <row r="73" spans="3:12" x14ac:dyDescent="0.25">
      <c r="C73" s="548" t="s">
        <v>3809</v>
      </c>
      <c r="D73" s="549"/>
      <c r="E73" s="549"/>
      <c r="F73" s="549"/>
      <c r="G73" s="632" t="s">
        <v>4822</v>
      </c>
      <c r="H73" s="632"/>
      <c r="I73" s="632"/>
      <c r="J73" s="632"/>
      <c r="K73" s="809"/>
      <c r="L73" s="28" t="str">
        <f>IF(G72=TRUE,
   IF(G73="",
      "MISSING VALUE",
      IF(OR(LEFT(G73,7)="http://", LEFT(G73,8)="https://", LEFT(G73,4)="www."),
         "OK",
         "INVALID URL")),
   "")</f>
        <v>INVALID URL</v>
      </c>
    </row>
    <row r="74" spans="3:12" x14ac:dyDescent="0.25">
      <c r="C74" s="773" t="s">
        <v>3803</v>
      </c>
      <c r="D74" s="774"/>
      <c r="E74" s="774"/>
      <c r="F74" s="774"/>
      <c r="G74" s="774"/>
      <c r="H74" s="774"/>
      <c r="I74" s="774"/>
      <c r="J74" s="774"/>
      <c r="K74" s="775"/>
    </row>
    <row r="75" spans="3:12" x14ac:dyDescent="0.25">
      <c r="C75" s="776" t="s">
        <v>2782</v>
      </c>
      <c r="D75" s="777"/>
      <c r="E75" s="777"/>
      <c r="F75" s="777"/>
      <c r="G75" s="777"/>
      <c r="H75" s="777"/>
      <c r="I75" s="777"/>
      <c r="J75" s="777"/>
      <c r="K75" s="778"/>
      <c r="L75" s="29" t="str" cm="1">
        <f t="array" ref="L75">IF(AND(OR(D77:F116&lt;&gt;"",G77:I116&lt;&gt;"",J77:J116&lt;&gt;"",G159&lt;&gt;"",K77:K116&lt;&gt;""),C75&lt;&gt;"",G71=TRUE,G72=FALSE),"OK",
IF(AND(OR(D77:F116&lt;&gt;"",G77:I116&lt;&gt;"",J77:J116&lt;&gt;"",G159&lt;&gt;"",K77:K116&lt;&gt;""),C75&lt;&gt;"",G71=TRUE,G72=TRUE),"VALUE INCONSISTENCY",
IF(AND(OR(D77:D116="",G77:G116="",J77:J116="",K77:K116=""),C75&lt;&gt;"",G71=TRUE,G72=FALSE),"OK",
IF(AND(OR(D77:D116="",G77:G116="",J77:J116="",K77:K116=""),C75&lt;&gt;"",G71=TRUE,G72=TRUE),"VALUE INCONSISTENCY",
IF(AND(OR(D77:F116&lt;&gt;"",G77:I116&lt;&gt;"",J77:J116&lt;&gt;"",G159&lt;&gt;"",K77:K116&lt;&gt;""),C75="",G71=TRUE,G72=FALSE),"MISSING VALUE","")))))</f>
        <v>VALUE INCONSISTENCY</v>
      </c>
    </row>
    <row r="76" spans="3:12" x14ac:dyDescent="0.25">
      <c r="C76" s="169" t="s">
        <v>20</v>
      </c>
      <c r="D76" s="702" t="s">
        <v>4022</v>
      </c>
      <c r="E76" s="702"/>
      <c r="F76" s="702"/>
      <c r="G76" s="702" t="s">
        <v>3802</v>
      </c>
      <c r="H76" s="702"/>
      <c r="I76" s="702"/>
      <c r="J76" s="11" t="s">
        <v>3804</v>
      </c>
      <c r="K76" s="157" t="s">
        <v>3805</v>
      </c>
    </row>
    <row r="77" spans="3:12" x14ac:dyDescent="0.25">
      <c r="C77" s="9">
        <v>1</v>
      </c>
      <c r="D77" s="632" t="s">
        <v>2749</v>
      </c>
      <c r="E77" s="632"/>
      <c r="F77" s="632"/>
      <c r="G77" s="621">
        <v>10000</v>
      </c>
      <c r="H77" s="622"/>
      <c r="I77" s="623"/>
      <c r="J77" s="432">
        <v>10000</v>
      </c>
      <c r="K77" s="433">
        <v>10000</v>
      </c>
      <c r="L77" s="28" t="str">
        <f>IF(AND(G71=TRUE,G72=TRUE,OR(D77&lt;&gt;"",G77&lt;&gt;"",J77&lt;&gt;"",K77&lt;&gt;"")),
    "VALUE INCONSISTENCY",
IF(AND($G$71=TRUE, $G$72=FALSE, D77="", G77="", J77="", K77=""),
    "MISSING VALUE",
IF(AND($G$71=TRUE, $G$72=FALSE, D77&lt;&gt;"", G77="", J77="", K77=""),
    "MISSING VALUE",
IF(AND($G$71=TRUE, $G$72=FALSE, D77&lt;&gt;"", OR(G77&lt;&gt;"", J77&lt;&gt;"", K77&lt;&gt;"")),
    IF(COUNTIF($D$77:$D$116, D77)&gt;1, "VALUE INCONSISTENCY", "OK"),
""))))</f>
        <v>VALUE INCONSISTENCY</v>
      </c>
    </row>
    <row r="78" spans="3:12" x14ac:dyDescent="0.25">
      <c r="C78" s="9">
        <v>2</v>
      </c>
      <c r="D78" s="633"/>
      <c r="E78" s="633"/>
      <c r="F78" s="633"/>
      <c r="G78" s="624"/>
      <c r="H78" s="625"/>
      <c r="I78" s="626"/>
      <c r="J78" s="199"/>
      <c r="K78" s="200"/>
      <c r="L78" s="28" t="str">
        <f>IF(AND($G$71=TRUE,$G$72=TRUE,OR(D78&lt;&gt;"",G78&lt;&gt;"",J78&lt;&gt;"",K78&lt;&gt;"")),
    "VALUE INCONSISTENCY",
IF($G$71&lt;&gt;TRUE, "",
IF(AND(D78="", G78="", J78="", K78=""), "",
IF(AND(D78&lt;&gt;"", G78="", J78="", K78=""), "MISSING VALUE",
IF(AND(D78&lt;&gt;"", OR(G78&lt;&gt;"", J78&lt;&gt;"", K78&lt;&gt;"")),
    IF(COUNTIF($D$77:$D$116, D78)&gt;1, "VALUE INCONSISTENCY", "OK"),
"MISSING VALUE")))))</f>
        <v/>
      </c>
    </row>
    <row r="79" spans="3:12" ht="15.75" thickBot="1" x14ac:dyDescent="0.3">
      <c r="C79" s="10">
        <v>3</v>
      </c>
      <c r="D79" s="634"/>
      <c r="E79" s="634"/>
      <c r="F79" s="634"/>
      <c r="G79" s="628"/>
      <c r="H79" s="629"/>
      <c r="I79" s="630"/>
      <c r="J79" s="201"/>
      <c r="K79" s="202"/>
      <c r="L79" s="28" t="str">
        <f t="shared" ref="L79:L116" si="2">IF(AND($G$71=TRUE,$G$72=TRUE,OR(D79&lt;&gt;"",G79&lt;&gt;"",J79&lt;&gt;"",K79&lt;&gt;"")),
    "VALUE INCONSISTENCY",
IF($G$71&lt;&gt;TRUE, "",
IF(AND(D79="", G79="", J79="", K79=""), "",
IF(AND(D79&lt;&gt;"", G79="", J79="", K79=""), "MISSING VALUE",
IF(AND(D79&lt;&gt;"", OR(G79&lt;&gt;"", J79&lt;&gt;"", K79&lt;&gt;"")),
    IF(COUNTIF($D$77:$D$116, D79)&gt;1, "VALUE INCONSISTENCY", "OK"),
"MISSING VALUE")))))</f>
        <v/>
      </c>
    </row>
    <row r="80" spans="3:12" hidden="1" outlineLevel="1" x14ac:dyDescent="0.25">
      <c r="C80" s="19">
        <v>4</v>
      </c>
      <c r="D80" s="730"/>
      <c r="E80" s="730"/>
      <c r="F80" s="730"/>
      <c r="G80" s="631"/>
      <c r="H80" s="631"/>
      <c r="I80" s="631"/>
      <c r="J80" s="203"/>
      <c r="K80" s="204"/>
      <c r="L80" s="28" t="str">
        <f t="shared" si="2"/>
        <v/>
      </c>
    </row>
    <row r="81" spans="3:12" hidden="1" outlineLevel="1" x14ac:dyDescent="0.25">
      <c r="C81" s="9">
        <v>5</v>
      </c>
      <c r="D81" s="633"/>
      <c r="E81" s="633"/>
      <c r="F81" s="633"/>
      <c r="G81" s="627"/>
      <c r="H81" s="627"/>
      <c r="I81" s="627"/>
      <c r="J81" s="199"/>
      <c r="K81" s="200"/>
      <c r="L81" s="28" t="str">
        <f t="shared" si="2"/>
        <v/>
      </c>
    </row>
    <row r="82" spans="3:12" hidden="1" outlineLevel="1" x14ac:dyDescent="0.25">
      <c r="C82" s="9">
        <v>6</v>
      </c>
      <c r="D82" s="633"/>
      <c r="E82" s="633"/>
      <c r="F82" s="633"/>
      <c r="G82" s="627"/>
      <c r="H82" s="627"/>
      <c r="I82" s="627"/>
      <c r="J82" s="199"/>
      <c r="K82" s="200"/>
      <c r="L82" s="28" t="str">
        <f t="shared" si="2"/>
        <v/>
      </c>
    </row>
    <row r="83" spans="3:12" hidden="1" outlineLevel="1" x14ac:dyDescent="0.25">
      <c r="C83" s="9">
        <v>7</v>
      </c>
      <c r="D83" s="633"/>
      <c r="E83" s="633"/>
      <c r="F83" s="633"/>
      <c r="G83" s="627"/>
      <c r="H83" s="627"/>
      <c r="I83" s="627"/>
      <c r="J83" s="199"/>
      <c r="K83" s="200"/>
      <c r="L83" s="28" t="str">
        <f t="shared" si="2"/>
        <v/>
      </c>
    </row>
    <row r="84" spans="3:12" hidden="1" outlineLevel="1" x14ac:dyDescent="0.25">
      <c r="C84" s="9">
        <v>8</v>
      </c>
      <c r="D84" s="633"/>
      <c r="E84" s="633"/>
      <c r="F84" s="633"/>
      <c r="G84" s="627"/>
      <c r="H84" s="627"/>
      <c r="I84" s="627"/>
      <c r="J84" s="199"/>
      <c r="K84" s="200"/>
      <c r="L84" s="28" t="str">
        <f t="shared" si="2"/>
        <v/>
      </c>
    </row>
    <row r="85" spans="3:12" hidden="1" outlineLevel="1" x14ac:dyDescent="0.25">
      <c r="C85" s="9">
        <v>9</v>
      </c>
      <c r="D85" s="633"/>
      <c r="E85" s="633"/>
      <c r="F85" s="633"/>
      <c r="G85" s="627"/>
      <c r="H85" s="627"/>
      <c r="I85" s="627"/>
      <c r="J85" s="199"/>
      <c r="K85" s="200"/>
      <c r="L85" s="28" t="str">
        <f t="shared" si="2"/>
        <v/>
      </c>
    </row>
    <row r="86" spans="3:12" hidden="1" outlineLevel="1" x14ac:dyDescent="0.25">
      <c r="C86" s="9">
        <v>10</v>
      </c>
      <c r="D86" s="633"/>
      <c r="E86" s="633"/>
      <c r="F86" s="633"/>
      <c r="G86" s="627"/>
      <c r="H86" s="627"/>
      <c r="I86" s="627"/>
      <c r="J86" s="199"/>
      <c r="K86" s="200"/>
      <c r="L86" s="28" t="str">
        <f t="shared" si="2"/>
        <v/>
      </c>
    </row>
    <row r="87" spans="3:12" hidden="1" outlineLevel="1" x14ac:dyDescent="0.25">
      <c r="C87" s="9">
        <v>11</v>
      </c>
      <c r="D87" s="633"/>
      <c r="E87" s="633"/>
      <c r="F87" s="633"/>
      <c r="G87" s="627"/>
      <c r="H87" s="627"/>
      <c r="I87" s="627"/>
      <c r="J87" s="199"/>
      <c r="K87" s="200"/>
      <c r="L87" s="28" t="str">
        <f t="shared" si="2"/>
        <v/>
      </c>
    </row>
    <row r="88" spans="3:12" hidden="1" outlineLevel="1" x14ac:dyDescent="0.25">
      <c r="C88" s="9">
        <v>12</v>
      </c>
      <c r="D88" s="633"/>
      <c r="E88" s="633"/>
      <c r="F88" s="633"/>
      <c r="G88" s="627"/>
      <c r="H88" s="627"/>
      <c r="I88" s="627"/>
      <c r="J88" s="199"/>
      <c r="K88" s="200"/>
      <c r="L88" s="28" t="str">
        <f t="shared" si="2"/>
        <v/>
      </c>
    </row>
    <row r="89" spans="3:12" hidden="1" outlineLevel="1" x14ac:dyDescent="0.25">
      <c r="C89" s="9">
        <v>13</v>
      </c>
      <c r="D89" s="633"/>
      <c r="E89" s="633"/>
      <c r="F89" s="633"/>
      <c r="G89" s="627"/>
      <c r="H89" s="627"/>
      <c r="I89" s="627"/>
      <c r="J89" s="199"/>
      <c r="K89" s="200"/>
      <c r="L89" s="28" t="str">
        <f t="shared" si="2"/>
        <v/>
      </c>
    </row>
    <row r="90" spans="3:12" hidden="1" outlineLevel="1" x14ac:dyDescent="0.25">
      <c r="C90" s="9">
        <v>14</v>
      </c>
      <c r="D90" s="633"/>
      <c r="E90" s="633"/>
      <c r="F90" s="633"/>
      <c r="G90" s="627"/>
      <c r="H90" s="627"/>
      <c r="I90" s="627"/>
      <c r="J90" s="199"/>
      <c r="K90" s="200"/>
      <c r="L90" s="28" t="str">
        <f t="shared" si="2"/>
        <v/>
      </c>
    </row>
    <row r="91" spans="3:12" hidden="1" outlineLevel="1" x14ac:dyDescent="0.25">
      <c r="C91" s="9">
        <v>15</v>
      </c>
      <c r="D91" s="633"/>
      <c r="E91" s="633"/>
      <c r="F91" s="633"/>
      <c r="G91" s="627"/>
      <c r="H91" s="627"/>
      <c r="I91" s="627"/>
      <c r="J91" s="199"/>
      <c r="K91" s="200"/>
      <c r="L91" s="28" t="str">
        <f t="shared" si="2"/>
        <v/>
      </c>
    </row>
    <row r="92" spans="3:12" hidden="1" outlineLevel="1" x14ac:dyDescent="0.25">
      <c r="C92" s="9">
        <v>16</v>
      </c>
      <c r="D92" s="633"/>
      <c r="E92" s="633"/>
      <c r="F92" s="633"/>
      <c r="G92" s="627"/>
      <c r="H92" s="627"/>
      <c r="I92" s="627"/>
      <c r="J92" s="199"/>
      <c r="K92" s="200"/>
      <c r="L92" s="28" t="str">
        <f t="shared" si="2"/>
        <v/>
      </c>
    </row>
    <row r="93" spans="3:12" hidden="1" outlineLevel="1" x14ac:dyDescent="0.25">
      <c r="C93" s="9">
        <v>17</v>
      </c>
      <c r="D93" s="633"/>
      <c r="E93" s="633"/>
      <c r="F93" s="633"/>
      <c r="G93" s="627"/>
      <c r="H93" s="627"/>
      <c r="I93" s="627"/>
      <c r="J93" s="199"/>
      <c r="K93" s="200"/>
      <c r="L93" s="28" t="str">
        <f t="shared" si="2"/>
        <v/>
      </c>
    </row>
    <row r="94" spans="3:12" hidden="1" outlineLevel="1" x14ac:dyDescent="0.25">
      <c r="C94" s="9">
        <v>18</v>
      </c>
      <c r="D94" s="633"/>
      <c r="E94" s="633"/>
      <c r="F94" s="633"/>
      <c r="G94" s="627"/>
      <c r="H94" s="627"/>
      <c r="I94" s="627"/>
      <c r="J94" s="199"/>
      <c r="K94" s="200"/>
      <c r="L94" s="28" t="str">
        <f t="shared" si="2"/>
        <v/>
      </c>
    </row>
    <row r="95" spans="3:12" hidden="1" outlineLevel="1" x14ac:dyDescent="0.25">
      <c r="C95" s="9">
        <v>19</v>
      </c>
      <c r="D95" s="633"/>
      <c r="E95" s="633"/>
      <c r="F95" s="633"/>
      <c r="G95" s="627"/>
      <c r="H95" s="627"/>
      <c r="I95" s="627"/>
      <c r="J95" s="199"/>
      <c r="K95" s="200"/>
      <c r="L95" s="28" t="str">
        <f t="shared" si="2"/>
        <v/>
      </c>
    </row>
    <row r="96" spans="3:12" hidden="1" outlineLevel="1" x14ac:dyDescent="0.25">
      <c r="C96" s="9">
        <v>20</v>
      </c>
      <c r="D96" s="633"/>
      <c r="E96" s="633"/>
      <c r="F96" s="633"/>
      <c r="G96" s="627"/>
      <c r="H96" s="627"/>
      <c r="I96" s="627"/>
      <c r="J96" s="199"/>
      <c r="K96" s="200"/>
      <c r="L96" s="28" t="str">
        <f t="shared" si="2"/>
        <v/>
      </c>
    </row>
    <row r="97" spans="3:13" hidden="1" outlineLevel="1" x14ac:dyDescent="0.25">
      <c r="C97" s="9">
        <v>21</v>
      </c>
      <c r="D97" s="633"/>
      <c r="E97" s="633"/>
      <c r="F97" s="633"/>
      <c r="G97" s="627"/>
      <c r="H97" s="627"/>
      <c r="I97" s="627"/>
      <c r="J97" s="199"/>
      <c r="K97" s="200"/>
      <c r="L97" s="28" t="str">
        <f t="shared" si="2"/>
        <v/>
      </c>
    </row>
    <row r="98" spans="3:13" hidden="1" outlineLevel="1" x14ac:dyDescent="0.25">
      <c r="C98" s="9">
        <v>22</v>
      </c>
      <c r="D98" s="633"/>
      <c r="E98" s="633"/>
      <c r="F98" s="633"/>
      <c r="G98" s="627"/>
      <c r="H98" s="627"/>
      <c r="I98" s="627"/>
      <c r="J98" s="199"/>
      <c r="K98" s="200"/>
      <c r="L98" s="28" t="str">
        <f t="shared" si="2"/>
        <v/>
      </c>
    </row>
    <row r="99" spans="3:13" hidden="1" outlineLevel="1" x14ac:dyDescent="0.25">
      <c r="C99" s="9">
        <v>23</v>
      </c>
      <c r="D99" s="633"/>
      <c r="E99" s="633"/>
      <c r="F99" s="633"/>
      <c r="G99" s="627"/>
      <c r="H99" s="627"/>
      <c r="I99" s="627"/>
      <c r="J99" s="199"/>
      <c r="K99" s="200"/>
      <c r="L99" s="28" t="str">
        <f t="shared" si="2"/>
        <v/>
      </c>
    </row>
    <row r="100" spans="3:13" hidden="1" outlineLevel="1" x14ac:dyDescent="0.25">
      <c r="C100" s="9">
        <v>24</v>
      </c>
      <c r="D100" s="633"/>
      <c r="E100" s="633"/>
      <c r="F100" s="633"/>
      <c r="G100" s="627"/>
      <c r="H100" s="627"/>
      <c r="I100" s="627"/>
      <c r="J100" s="199"/>
      <c r="K100" s="200"/>
      <c r="L100" s="28" t="str">
        <f t="shared" si="2"/>
        <v/>
      </c>
    </row>
    <row r="101" spans="3:13" hidden="1" outlineLevel="1" x14ac:dyDescent="0.25">
      <c r="C101" s="9">
        <v>25</v>
      </c>
      <c r="D101" s="633"/>
      <c r="E101" s="633"/>
      <c r="F101" s="633"/>
      <c r="G101" s="627"/>
      <c r="H101" s="627"/>
      <c r="I101" s="627"/>
      <c r="J101" s="199"/>
      <c r="K101" s="200"/>
      <c r="L101" s="28" t="str">
        <f t="shared" si="2"/>
        <v/>
      </c>
    </row>
    <row r="102" spans="3:13" hidden="1" outlineLevel="1" x14ac:dyDescent="0.25">
      <c r="C102" s="9">
        <v>26</v>
      </c>
      <c r="D102" s="633"/>
      <c r="E102" s="633"/>
      <c r="F102" s="633"/>
      <c r="G102" s="627"/>
      <c r="H102" s="627"/>
      <c r="I102" s="627"/>
      <c r="J102" s="199"/>
      <c r="K102" s="200"/>
      <c r="L102" s="28" t="str">
        <f t="shared" si="2"/>
        <v/>
      </c>
    </row>
    <row r="103" spans="3:13" hidden="1" outlineLevel="1" x14ac:dyDescent="0.25">
      <c r="C103" s="9">
        <v>27</v>
      </c>
      <c r="D103" s="633"/>
      <c r="E103" s="633"/>
      <c r="F103" s="633"/>
      <c r="G103" s="627"/>
      <c r="H103" s="627"/>
      <c r="I103" s="627"/>
      <c r="J103" s="199"/>
      <c r="K103" s="200"/>
      <c r="L103" s="28" t="str">
        <f t="shared" si="2"/>
        <v/>
      </c>
    </row>
    <row r="104" spans="3:13" hidden="1" outlineLevel="1" x14ac:dyDescent="0.25">
      <c r="C104" s="9">
        <v>28</v>
      </c>
      <c r="D104" s="633"/>
      <c r="E104" s="633"/>
      <c r="F104" s="633"/>
      <c r="G104" s="627"/>
      <c r="H104" s="627"/>
      <c r="I104" s="627"/>
      <c r="J104" s="199"/>
      <c r="K104" s="200"/>
      <c r="L104" s="28" t="str">
        <f t="shared" si="2"/>
        <v/>
      </c>
    </row>
    <row r="105" spans="3:13" hidden="1" outlineLevel="1" x14ac:dyDescent="0.25">
      <c r="C105" s="9">
        <v>29</v>
      </c>
      <c r="D105" s="633"/>
      <c r="E105" s="633"/>
      <c r="F105" s="633"/>
      <c r="G105" s="627"/>
      <c r="H105" s="627"/>
      <c r="I105" s="627"/>
      <c r="J105" s="199"/>
      <c r="K105" s="200"/>
      <c r="L105" s="28" t="str">
        <f t="shared" si="2"/>
        <v/>
      </c>
      <c r="M105" s="170"/>
    </row>
    <row r="106" spans="3:13" hidden="1" outlineLevel="1" x14ac:dyDescent="0.25">
      <c r="C106" s="9">
        <v>30</v>
      </c>
      <c r="D106" s="633"/>
      <c r="E106" s="633"/>
      <c r="F106" s="633"/>
      <c r="G106" s="627"/>
      <c r="H106" s="627"/>
      <c r="I106" s="627"/>
      <c r="J106" s="199"/>
      <c r="K106" s="200"/>
      <c r="L106" s="28" t="str">
        <f t="shared" si="2"/>
        <v/>
      </c>
    </row>
    <row r="107" spans="3:13" hidden="1" outlineLevel="1" x14ac:dyDescent="0.25">
      <c r="C107" s="9">
        <v>31</v>
      </c>
      <c r="D107" s="633"/>
      <c r="E107" s="633"/>
      <c r="F107" s="633"/>
      <c r="G107" s="627"/>
      <c r="H107" s="627"/>
      <c r="I107" s="627"/>
      <c r="J107" s="199"/>
      <c r="K107" s="200"/>
      <c r="L107" s="28" t="str">
        <f t="shared" si="2"/>
        <v/>
      </c>
    </row>
    <row r="108" spans="3:13" hidden="1" outlineLevel="1" x14ac:dyDescent="0.25">
      <c r="C108" s="9">
        <v>32</v>
      </c>
      <c r="D108" s="633"/>
      <c r="E108" s="633"/>
      <c r="F108" s="633"/>
      <c r="G108" s="627"/>
      <c r="H108" s="627"/>
      <c r="I108" s="627"/>
      <c r="J108" s="199"/>
      <c r="K108" s="200"/>
      <c r="L108" s="28" t="str">
        <f t="shared" si="2"/>
        <v/>
      </c>
    </row>
    <row r="109" spans="3:13" hidden="1" outlineLevel="1" x14ac:dyDescent="0.25">
      <c r="C109" s="9">
        <v>33</v>
      </c>
      <c r="D109" s="633"/>
      <c r="E109" s="633"/>
      <c r="F109" s="633"/>
      <c r="G109" s="627"/>
      <c r="H109" s="627"/>
      <c r="I109" s="627"/>
      <c r="J109" s="199"/>
      <c r="K109" s="200"/>
      <c r="L109" s="28" t="str">
        <f t="shared" si="2"/>
        <v/>
      </c>
    </row>
    <row r="110" spans="3:13" hidden="1" outlineLevel="1" x14ac:dyDescent="0.25">
      <c r="C110" s="9">
        <v>34</v>
      </c>
      <c r="D110" s="633"/>
      <c r="E110" s="633"/>
      <c r="F110" s="633"/>
      <c r="G110" s="627"/>
      <c r="H110" s="627"/>
      <c r="I110" s="627"/>
      <c r="J110" s="199"/>
      <c r="K110" s="200"/>
      <c r="L110" s="28" t="str">
        <f t="shared" si="2"/>
        <v/>
      </c>
    </row>
    <row r="111" spans="3:13" hidden="1" outlineLevel="1" x14ac:dyDescent="0.25">
      <c r="C111" s="9">
        <v>35</v>
      </c>
      <c r="D111" s="633"/>
      <c r="E111" s="633"/>
      <c r="F111" s="633"/>
      <c r="G111" s="627"/>
      <c r="H111" s="627"/>
      <c r="I111" s="627"/>
      <c r="J111" s="199"/>
      <c r="K111" s="200"/>
      <c r="L111" s="28" t="str">
        <f t="shared" si="2"/>
        <v/>
      </c>
    </row>
    <row r="112" spans="3:13" hidden="1" outlineLevel="1" x14ac:dyDescent="0.25">
      <c r="C112" s="9">
        <v>36</v>
      </c>
      <c r="D112" s="633"/>
      <c r="E112" s="633"/>
      <c r="F112" s="633"/>
      <c r="G112" s="627"/>
      <c r="H112" s="627"/>
      <c r="I112" s="627"/>
      <c r="J112" s="199"/>
      <c r="K112" s="200"/>
      <c r="L112" s="28" t="str">
        <f t="shared" si="2"/>
        <v/>
      </c>
    </row>
    <row r="113" spans="3:17" hidden="1" outlineLevel="1" x14ac:dyDescent="0.25">
      <c r="C113" s="9">
        <v>37</v>
      </c>
      <c r="D113" s="633"/>
      <c r="E113" s="633"/>
      <c r="F113" s="633"/>
      <c r="G113" s="627"/>
      <c r="H113" s="627"/>
      <c r="I113" s="627"/>
      <c r="J113" s="199"/>
      <c r="K113" s="200"/>
      <c r="L113" s="28" t="str">
        <f t="shared" si="2"/>
        <v/>
      </c>
    </row>
    <row r="114" spans="3:17" hidden="1" outlineLevel="1" x14ac:dyDescent="0.25">
      <c r="C114" s="9">
        <v>38</v>
      </c>
      <c r="D114" s="633"/>
      <c r="E114" s="633"/>
      <c r="F114" s="633"/>
      <c r="G114" s="627"/>
      <c r="H114" s="627"/>
      <c r="I114" s="627"/>
      <c r="J114" s="199"/>
      <c r="K114" s="200"/>
      <c r="L114" s="28" t="str">
        <f t="shared" si="2"/>
        <v/>
      </c>
    </row>
    <row r="115" spans="3:17" hidden="1" outlineLevel="1" x14ac:dyDescent="0.25">
      <c r="C115" s="9">
        <v>39</v>
      </c>
      <c r="D115" s="633"/>
      <c r="E115" s="633"/>
      <c r="F115" s="633"/>
      <c r="G115" s="627"/>
      <c r="H115" s="627"/>
      <c r="I115" s="627"/>
      <c r="J115" s="199"/>
      <c r="K115" s="200"/>
      <c r="L115" s="28" t="str">
        <f t="shared" si="2"/>
        <v/>
      </c>
    </row>
    <row r="116" spans="3:17" ht="15.75" hidden="1" outlineLevel="1" thickBot="1" x14ac:dyDescent="0.3">
      <c r="C116" s="9">
        <v>40</v>
      </c>
      <c r="D116" s="633"/>
      <c r="E116" s="633"/>
      <c r="F116" s="633"/>
      <c r="G116" s="826"/>
      <c r="H116" s="826"/>
      <c r="I116" s="826"/>
      <c r="J116" s="201"/>
      <c r="K116" s="205"/>
      <c r="L116" s="28" t="str">
        <f t="shared" si="2"/>
        <v/>
      </c>
    </row>
    <row r="117" spans="3:17" ht="15.75" collapsed="1" thickBot="1" x14ac:dyDescent="0.3">
      <c r="C117" s="171"/>
      <c r="D117" s="171"/>
      <c r="E117" s="20"/>
      <c r="F117" s="20"/>
      <c r="G117" s="20"/>
      <c r="H117" s="20"/>
      <c r="I117" s="20"/>
      <c r="J117" s="20"/>
      <c r="K117" s="20"/>
    </row>
    <row r="118" spans="3:17" x14ac:dyDescent="0.25">
      <c r="C118" s="758" t="str">
        <f>"B5 - Sites in biodiversity sensitive areas " &amp; template_reporting_period_display &amp; " [If applicable]"</f>
        <v>B5 - Sites in biodiversity sensitive areas from 01/01/2024 to 31/12/2024 [If applicable]</v>
      </c>
      <c r="D118" s="758"/>
      <c r="E118" s="758"/>
      <c r="F118" s="758"/>
      <c r="G118" s="758"/>
      <c r="H118" s="758"/>
      <c r="I118" s="758"/>
      <c r="J118" s="758"/>
      <c r="K118" s="759"/>
    </row>
    <row r="119" spans="3:17" x14ac:dyDescent="0.25">
      <c r="C119" s="472">
        <v>33</v>
      </c>
      <c r="D119" s="472"/>
      <c r="E119" s="472"/>
      <c r="F119" s="472"/>
      <c r="G119" s="472"/>
      <c r="H119" s="472"/>
      <c r="I119" s="472"/>
      <c r="J119" s="472"/>
      <c r="K119" s="725"/>
    </row>
    <row r="120" spans="3:17" x14ac:dyDescent="0.25">
      <c r="C120" s="585" t="s">
        <v>4778</v>
      </c>
      <c r="D120" s="585"/>
      <c r="E120" s="585"/>
      <c r="F120" s="585"/>
      <c r="G120" s="585"/>
      <c r="H120" s="585"/>
      <c r="I120" s="585"/>
      <c r="J120" s="585"/>
      <c r="K120" s="726"/>
    </row>
    <row r="121" spans="3:17" x14ac:dyDescent="0.25">
      <c r="C121" s="613" t="s">
        <v>3998</v>
      </c>
      <c r="D121" s="614"/>
      <c r="E121" s="614"/>
      <c r="F121" s="614"/>
      <c r="G121" s="829" t="b">
        <v>1</v>
      </c>
      <c r="H121" s="830"/>
      <c r="I121" s="830"/>
      <c r="J121" s="830"/>
      <c r="K121" s="831"/>
    </row>
    <row r="122" spans="3:17" x14ac:dyDescent="0.25">
      <c r="C122" s="835" t="s">
        <v>3800</v>
      </c>
      <c r="D122" s="836"/>
      <c r="E122" s="836"/>
      <c r="F122" s="836"/>
      <c r="G122" s="836"/>
      <c r="H122" s="836"/>
      <c r="I122" s="836"/>
      <c r="J122" s="836"/>
      <c r="K122" s="837"/>
    </row>
    <row r="123" spans="3:17" ht="15.75" thickBot="1" x14ac:dyDescent="0.3">
      <c r="C123" s="776" t="s">
        <v>4508</v>
      </c>
      <c r="D123" s="777"/>
      <c r="E123" s="777"/>
      <c r="F123" s="777"/>
      <c r="G123" s="777"/>
      <c r="H123" s="777"/>
      <c r="I123" s="777"/>
      <c r="J123" s="777"/>
      <c r="K123" s="778"/>
      <c r="L123" s="29" t="str">
        <f>IF(AND(G121=TRUE,C123=""),"MISSING VALUE",IF(AND(G121=TRUE,C123&lt;&gt;""),"OK",""))</f>
        <v>OK</v>
      </c>
    </row>
    <row r="124" spans="3:17" ht="57.6" customHeight="1" x14ac:dyDescent="0.25">
      <c r="C124" s="172" t="s">
        <v>4482</v>
      </c>
      <c r="D124" s="760" t="s">
        <v>4486</v>
      </c>
      <c r="E124" s="761"/>
      <c r="F124" s="762"/>
      <c r="G124" s="760" t="s">
        <v>3798</v>
      </c>
      <c r="H124" s="761"/>
      <c r="I124" s="762"/>
      <c r="J124" s="343" t="s">
        <v>3633</v>
      </c>
      <c r="K124" s="344" t="s">
        <v>3634</v>
      </c>
    </row>
    <row r="125" spans="3:17" x14ac:dyDescent="0.25">
      <c r="C125" s="318">
        <v>1</v>
      </c>
      <c r="D125" s="727" t="str">
        <f>IF(C125 = "", "",
IF(AND(COUNTIF('General Information'!C108:C132, C125),
        INDEX('General Information'!D108:D132, MATCH(C125, 'General Information'!C108:C132, 0)) = ""),
   "VALUE INCONSISTENCY",
IFERROR(VLOOKUP(C125, ListOfSitesTable, 5, FALSE),"") &amp; " " &amp;
IFERROR(VLOOKUP(C125, ListOfSitesTable, 4, FALSE),"") &amp; " " &amp;
IFERROR(VLOOKUP(C125, ListOfSitesTable, 2, FALSE),"")))</f>
        <v>Andorra a a</v>
      </c>
      <c r="E125" s="728"/>
      <c r="F125" s="729"/>
      <c r="G125" s="763">
        <v>10000</v>
      </c>
      <c r="H125" s="764"/>
      <c r="I125" s="764"/>
      <c r="J125" s="434" t="b">
        <v>1</v>
      </c>
      <c r="K125" s="435" t="b">
        <v>1</v>
      </c>
      <c r="L125" s="29" t="str">
        <f t="shared" ref="L125:L150" si="3">IF($G$121=FALSE, "",
    IF(AND($G$121=TRUE, TRIM(D125)&lt;&gt;"", TRIM(G125)&lt;&gt;"", OR(J125=TRUE, K125=TRUE)), "OK",
        IF(AND($G$121=TRUE, TRIM(D125)&lt;&gt;"", TRIM(G125)&lt;&gt;"", J125=FALSE, K125=FALSE), "MISSING VALUE",
            IF(AND($G$121=TRUE, TRIM(D125)&lt;&gt;"", TRIM(G125)="", J125=FALSE, K125=FALSE), "MISSING VALUE",
                IF(AND($G$121=TRUE, TRIM(D125)&lt;&gt;"", TRIM(G125)="", OR(J125=TRUE, K125=TRUE)), "MISSING VALUE",
                    IF(AND($G$121=TRUE, TRIM(D125)="", TRIM(G125)&lt;&gt;"", J125=FALSE, K125=FALSE), "MISSING VALUE",
                        IF(AND($G$121=TRUE, TRIM(D125)="", TRIM(G125)="", OR(J125=TRUE, K125=TRUE)), "MISSING VALUE",
                            IF(AND($G$121=TRUE, TRIM(D125)="", TRIM(G125)&lt;&gt;"", OR(J125=TRUE, K125=TRUE)), "MISSING VALUE",
                                ""
                            )
                        )
                    )
                )
            )
        )
    )
)</f>
        <v>OK</v>
      </c>
    </row>
    <row r="126" spans="3:17" x14ac:dyDescent="0.25">
      <c r="C126" s="319"/>
      <c r="D126" s="618" t="str">
        <f>IF(C126 = "", "",
IF(COUNTIF($C$125:C125, C126), "VALUE INCONSISTENCY",
IF(AND(COUNTIF('General Information'!$C$108:$C$132, C126),
       INDEX('General Information'!$D$108:$D$132, MATCH(C126, 'General Information'!$C$108:$C$132, 0)) = ""),
   "VALUE INCONSISTENCY",
IFERROR(VLOOKUP(C126, ListOfSitesTable, 5, FALSE), "") &amp; " " &amp;
IFERROR(VLOOKUP(C126, ListOfSitesTable, 4, FALSE), "") &amp; " " &amp;
IFERROR(VLOOKUP(C126, ListOfSitesTable, 2, FALSE), ""))))</f>
        <v/>
      </c>
      <c r="E126" s="619"/>
      <c r="F126" s="620"/>
      <c r="G126" s="755"/>
      <c r="H126" s="756"/>
      <c r="I126" s="756"/>
      <c r="J126" s="348" t="b">
        <v>0</v>
      </c>
      <c r="K126" s="346" t="b">
        <v>0</v>
      </c>
      <c r="L126" s="29" t="str">
        <f>IF($G$121=FALSE, "",
    IF(AND($G$121=TRUE, TRIM(D126)&lt;&gt;"", TRIM(G126)&lt;&gt;"", OR(J126=TRUE, K126=TRUE)), "OK",
        IF(AND($G$121=TRUE, TRIM(D126)&lt;&gt;"", TRIM(G126)&lt;&gt;"", J126=FALSE, K126=FALSE), "MISSING VALUE",
            IF(AND($G$121=TRUE, TRIM(D126)&lt;&gt;"", TRIM(G126)="", J126=FALSE, K126=FALSE), "MISSING VALUE",
                IF(AND($G$121=TRUE, TRIM(D126)&lt;&gt;"", TRIM(G126)="", OR(J126=TRUE, K126=TRUE)), "MISSING VALUE",
                    IF(AND($G$121=TRUE, TRIM(D126)="", TRIM(G126)&lt;&gt;"", J126=FALSE, K126=FALSE), "MISSING VALUE",
                        IF(AND($G$121=TRUE, TRIM(D126)="", TRIM(G126)="", OR(J126=TRUE, K126=TRUE)), "MISSING VALUE",
                            IF(AND($G$121=TRUE, TRIM(D126)="", TRIM(G126)&lt;&gt;"", OR(J126=TRUE, K126=TRUE)), "MISSING VALUE",
                                ""
                            )
                        )
                    )
                )
            )
        )
    )
)</f>
        <v/>
      </c>
    </row>
    <row r="127" spans="3:17" ht="15.75" thickBot="1" x14ac:dyDescent="0.3">
      <c r="C127" s="320"/>
      <c r="D127" s="687" t="str">
        <f>IF(C127 = "", "",
IF(COUNTIF($C$125:C126, C127), "VALUE INCONSISTENCY",
IF(AND(COUNTIF('General Information'!$C$108:$C$132, C127),
       INDEX('General Information'!$D$108:$D$132, MATCH(C127, 'General Information'!$C$108:$C$132, 0)) = ""),
   "VALUE INCONSISTENCY",
IFERROR(VLOOKUP(C127, ListOfSitesTable, 5, FALSE), "") &amp; " " &amp;
IFERROR(VLOOKUP(C127, ListOfSitesTable, 4, FALSE), "") &amp; " " &amp;
IFERROR(VLOOKUP(C127, ListOfSitesTable, 2, FALSE), ""))))</f>
        <v/>
      </c>
      <c r="E127" s="688"/>
      <c r="F127" s="689"/>
      <c r="G127" s="691"/>
      <c r="H127" s="691"/>
      <c r="I127" s="691"/>
      <c r="J127" s="349" t="b">
        <v>0</v>
      </c>
      <c r="K127" s="347" t="b">
        <v>0</v>
      </c>
      <c r="L127" s="29" t="str">
        <f t="shared" si="3"/>
        <v/>
      </c>
    </row>
    <row r="128" spans="3:17" hidden="1" outlineLevel="1" x14ac:dyDescent="0.25">
      <c r="C128" s="319"/>
      <c r="D128" s="615" t="str">
        <f>IF(C128 = "", "",
IF(COUNTIF($C$125:C127, C128), "VALUE INCONSISTENCY",
IF(AND(COUNTIF('General Information'!$C$108:$C$132, C128),
       INDEX('General Information'!$D$108:$D$132, MATCH(C128, 'General Information'!$C$108:$C$132, 0)) = ""),
   "VALUE INCONSISTENCY",
IFERROR(VLOOKUP(C128, ListOfSitesTable, 5, FALSE), "") &amp; " " &amp;
IFERROR(VLOOKUP(C128, ListOfSitesTable, 4, FALSE), "") &amp; " " &amp;
IFERROR(VLOOKUP(C128, ListOfSitesTable, 2, FALSE), ""))))</f>
        <v/>
      </c>
      <c r="E128" s="616"/>
      <c r="F128" s="617"/>
      <c r="G128" s="765"/>
      <c r="H128" s="766"/>
      <c r="I128" s="767"/>
      <c r="J128" s="350" t="b">
        <v>0</v>
      </c>
      <c r="K128" s="345" t="b">
        <v>0</v>
      </c>
      <c r="L128" s="29" t="str">
        <f t="shared" si="3"/>
        <v/>
      </c>
      <c r="M128" s="16"/>
      <c r="N128" s="16"/>
      <c r="O128" s="16"/>
      <c r="P128" s="16"/>
      <c r="Q128" s="16"/>
    </row>
    <row r="129" spans="3:17" hidden="1" outlineLevel="1" x14ac:dyDescent="0.25">
      <c r="C129" s="319"/>
      <c r="D129" s="618" t="str">
        <f>IF(C129 = "", "",
IF(COUNTIF($C$125:C128,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19"/>
      <c r="F129" s="620"/>
      <c r="G129" s="755"/>
      <c r="H129" s="756"/>
      <c r="I129" s="757"/>
      <c r="J129" s="351" t="b">
        <v>0</v>
      </c>
      <c r="K129" s="346" t="b">
        <v>0</v>
      </c>
      <c r="L129" s="29" t="str">
        <f t="shared" si="3"/>
        <v/>
      </c>
      <c r="M129" s="16"/>
      <c r="N129" s="16"/>
      <c r="O129" s="16"/>
      <c r="P129" s="16"/>
      <c r="Q129" s="16"/>
    </row>
    <row r="130" spans="3:17" hidden="1" outlineLevel="1" x14ac:dyDescent="0.25">
      <c r="C130" s="319"/>
      <c r="D130" s="618" t="str">
        <f>IF(C130 = "", "",
IF(COUNTIF($C$125:C129,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619"/>
      <c r="F130" s="620"/>
      <c r="G130" s="755"/>
      <c r="H130" s="756"/>
      <c r="I130" s="757"/>
      <c r="J130" s="351" t="b">
        <v>0</v>
      </c>
      <c r="K130" s="346" t="b">
        <v>0</v>
      </c>
      <c r="L130" s="29" t="str">
        <f t="shared" si="3"/>
        <v/>
      </c>
      <c r="M130" s="16"/>
      <c r="N130" s="16"/>
      <c r="O130" s="16"/>
      <c r="P130" s="16"/>
      <c r="Q130" s="16"/>
    </row>
    <row r="131" spans="3:17" hidden="1" outlineLevel="1" x14ac:dyDescent="0.25">
      <c r="C131" s="319"/>
      <c r="D131" s="618" t="str">
        <f>IF(C131 = "", "",
IF(COUNTIF($C$125:C130,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19"/>
      <c r="F131" s="620"/>
      <c r="G131" s="755"/>
      <c r="H131" s="756"/>
      <c r="I131" s="757"/>
      <c r="J131" s="351" t="b">
        <v>0</v>
      </c>
      <c r="K131" s="346" t="b">
        <v>0</v>
      </c>
      <c r="L131" s="29" t="str">
        <f t="shared" si="3"/>
        <v/>
      </c>
      <c r="M131" s="16"/>
      <c r="N131" s="16"/>
      <c r="O131" s="16"/>
      <c r="P131" s="16"/>
      <c r="Q131" s="16"/>
    </row>
    <row r="132" spans="3:17" hidden="1" outlineLevel="1" x14ac:dyDescent="0.25">
      <c r="C132" s="319"/>
      <c r="D132" s="618" t="str">
        <f>IF(C132 = "", "",
IF(COUNTIF($C$125:C131,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19"/>
      <c r="F132" s="620"/>
      <c r="G132" s="755"/>
      <c r="H132" s="756"/>
      <c r="I132" s="757"/>
      <c r="J132" s="351" t="b">
        <v>0</v>
      </c>
      <c r="K132" s="346" t="b">
        <v>0</v>
      </c>
      <c r="L132" s="29" t="str">
        <f t="shared" si="3"/>
        <v/>
      </c>
      <c r="M132" s="16"/>
      <c r="N132" s="16"/>
      <c r="O132" s="16"/>
      <c r="P132" s="16"/>
      <c r="Q132" s="16"/>
    </row>
    <row r="133" spans="3:17" hidden="1" outlineLevel="1" x14ac:dyDescent="0.25">
      <c r="C133" s="319"/>
      <c r="D133" s="618" t="str">
        <f>IF(C133 = "", "",
IF(COUNTIF($C$125:C132,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19"/>
      <c r="F133" s="620"/>
      <c r="G133" s="755"/>
      <c r="H133" s="756"/>
      <c r="I133" s="757"/>
      <c r="J133" s="351" t="b">
        <v>0</v>
      </c>
      <c r="K133" s="346" t="b">
        <v>0</v>
      </c>
      <c r="L133" s="29" t="str">
        <f t="shared" si="3"/>
        <v/>
      </c>
      <c r="M133" s="16"/>
      <c r="N133" s="16"/>
      <c r="O133" s="16"/>
      <c r="P133" s="16"/>
      <c r="Q133" s="16"/>
    </row>
    <row r="134" spans="3:17" hidden="1" outlineLevel="1" x14ac:dyDescent="0.25">
      <c r="C134" s="319"/>
      <c r="D134" s="618" t="str">
        <f>IF(C134 = "", "",
IF(COUNTIF($C$125:C133,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19"/>
      <c r="F134" s="620"/>
      <c r="G134" s="755"/>
      <c r="H134" s="756"/>
      <c r="I134" s="757"/>
      <c r="J134" s="351" t="b">
        <v>0</v>
      </c>
      <c r="K134" s="346" t="b">
        <v>0</v>
      </c>
      <c r="L134" s="29" t="str">
        <f t="shared" si="3"/>
        <v/>
      </c>
      <c r="M134" s="16"/>
      <c r="N134" s="16"/>
      <c r="O134" s="16"/>
      <c r="P134" s="16"/>
      <c r="Q134" s="16"/>
    </row>
    <row r="135" spans="3:17" hidden="1" outlineLevel="1" x14ac:dyDescent="0.25">
      <c r="C135" s="319"/>
      <c r="D135" s="618" t="str">
        <f>IF(C135 = "", "",
IF(COUNTIF($C$125:C134,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19"/>
      <c r="F135" s="620"/>
      <c r="G135" s="755"/>
      <c r="H135" s="756"/>
      <c r="I135" s="757"/>
      <c r="J135" s="351" t="b">
        <v>0</v>
      </c>
      <c r="K135" s="346" t="b">
        <v>0</v>
      </c>
      <c r="L135" s="29" t="str">
        <f t="shared" si="3"/>
        <v/>
      </c>
      <c r="M135" s="16"/>
      <c r="N135" s="16"/>
      <c r="O135" s="16"/>
      <c r="P135" s="16"/>
      <c r="Q135" s="16"/>
    </row>
    <row r="136" spans="3:17" hidden="1" outlineLevel="1" x14ac:dyDescent="0.25">
      <c r="C136" s="319"/>
      <c r="D136" s="618" t="str">
        <f>IF(C136 = "", "",
IF(COUNTIF($C$125:C135,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19"/>
      <c r="F136" s="620"/>
      <c r="G136" s="755"/>
      <c r="H136" s="756"/>
      <c r="I136" s="757"/>
      <c r="J136" s="351" t="b">
        <v>0</v>
      </c>
      <c r="K136" s="346" t="b">
        <v>0</v>
      </c>
      <c r="L136" s="29" t="str">
        <f t="shared" si="3"/>
        <v/>
      </c>
      <c r="M136" s="16"/>
      <c r="N136" s="16"/>
      <c r="O136" s="16"/>
      <c r="P136" s="16"/>
      <c r="Q136" s="16"/>
    </row>
    <row r="137" spans="3:17" hidden="1" outlineLevel="1" x14ac:dyDescent="0.25">
      <c r="C137" s="319"/>
      <c r="D137" s="618" t="str">
        <f>IF(C137 = "", "",
IF(COUNTIF($C$125:C136,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19"/>
      <c r="F137" s="620"/>
      <c r="G137" s="755"/>
      <c r="H137" s="756"/>
      <c r="I137" s="757"/>
      <c r="J137" s="351" t="b">
        <v>0</v>
      </c>
      <c r="K137" s="346" t="b">
        <v>0</v>
      </c>
      <c r="L137" s="29" t="str">
        <f t="shared" si="3"/>
        <v/>
      </c>
      <c r="M137" s="16"/>
      <c r="N137" s="16"/>
      <c r="O137" s="16"/>
      <c r="P137" s="16"/>
      <c r="Q137" s="16"/>
    </row>
    <row r="138" spans="3:17" hidden="1" outlineLevel="1" x14ac:dyDescent="0.25">
      <c r="C138" s="319"/>
      <c r="D138" s="618" t="str">
        <f>IF(C138 = "", "",
IF(COUNTIF($C$125:C137,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19"/>
      <c r="F138" s="620"/>
      <c r="G138" s="755"/>
      <c r="H138" s="756"/>
      <c r="I138" s="757"/>
      <c r="J138" s="351" t="b">
        <v>0</v>
      </c>
      <c r="K138" s="346" t="b">
        <v>0</v>
      </c>
      <c r="L138" s="29" t="str">
        <f t="shared" si="3"/>
        <v/>
      </c>
      <c r="M138" s="16"/>
      <c r="N138" s="16"/>
      <c r="O138" s="16"/>
      <c r="P138" s="16"/>
      <c r="Q138" s="16"/>
    </row>
    <row r="139" spans="3:17" hidden="1" outlineLevel="1" x14ac:dyDescent="0.25">
      <c r="C139" s="319"/>
      <c r="D139" s="618" t="str">
        <f>IF(C139 = "", "",
IF(COUNTIF($C$125:C138,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19"/>
      <c r="F139" s="620"/>
      <c r="G139" s="755"/>
      <c r="H139" s="756"/>
      <c r="I139" s="757"/>
      <c r="J139" s="351" t="b">
        <v>0</v>
      </c>
      <c r="K139" s="346" t="b">
        <v>0</v>
      </c>
      <c r="L139" s="29" t="str">
        <f t="shared" si="3"/>
        <v/>
      </c>
      <c r="M139" s="16"/>
      <c r="N139" s="16"/>
      <c r="O139" s="16"/>
      <c r="P139" s="16"/>
      <c r="Q139" s="16"/>
    </row>
    <row r="140" spans="3:17" hidden="1" outlineLevel="1" x14ac:dyDescent="0.25">
      <c r="C140" s="319"/>
      <c r="D140" s="618" t="str">
        <f>IF(C140 = "", "",
IF(COUNTIF($C$125:C139,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19"/>
      <c r="F140" s="620"/>
      <c r="G140" s="755"/>
      <c r="H140" s="756"/>
      <c r="I140" s="757"/>
      <c r="J140" s="351" t="b">
        <v>0</v>
      </c>
      <c r="K140" s="346" t="b">
        <v>0</v>
      </c>
      <c r="L140" s="29" t="str">
        <f t="shared" si="3"/>
        <v/>
      </c>
      <c r="M140" s="16"/>
      <c r="N140" s="16"/>
      <c r="O140" s="16"/>
      <c r="P140" s="16"/>
      <c r="Q140" s="16"/>
    </row>
    <row r="141" spans="3:17" hidden="1" outlineLevel="1" x14ac:dyDescent="0.25">
      <c r="C141" s="319"/>
      <c r="D141" s="618" t="str">
        <f>IF(C141 = "", "",
IF(COUNTIF($C$125:C140,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19"/>
      <c r="F141" s="620"/>
      <c r="G141" s="755"/>
      <c r="H141" s="756"/>
      <c r="I141" s="757"/>
      <c r="J141" s="351" t="b">
        <v>0</v>
      </c>
      <c r="K141" s="346" t="b">
        <v>0</v>
      </c>
      <c r="L141" s="29" t="str">
        <f t="shared" si="3"/>
        <v/>
      </c>
      <c r="M141" s="16"/>
      <c r="N141" s="16"/>
      <c r="O141" s="16"/>
      <c r="P141" s="16"/>
      <c r="Q141" s="16"/>
    </row>
    <row r="142" spans="3:17" hidden="1" outlineLevel="1" x14ac:dyDescent="0.25">
      <c r="C142" s="319"/>
      <c r="D142" s="618" t="str">
        <f>IF(C142 = "", "",
IF(COUNTIF($C$125:C141,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19"/>
      <c r="F142" s="620"/>
      <c r="G142" s="755"/>
      <c r="H142" s="756"/>
      <c r="I142" s="757"/>
      <c r="J142" s="351" t="b">
        <v>0</v>
      </c>
      <c r="K142" s="346" t="b">
        <v>0</v>
      </c>
      <c r="L142" s="29" t="str">
        <f t="shared" si="3"/>
        <v/>
      </c>
      <c r="M142" s="16"/>
      <c r="N142" s="16"/>
      <c r="O142" s="16"/>
      <c r="P142" s="16"/>
      <c r="Q142" s="16"/>
    </row>
    <row r="143" spans="3:17" hidden="1" outlineLevel="1" x14ac:dyDescent="0.25">
      <c r="C143" s="319"/>
      <c r="D143" s="618" t="str">
        <f>IF(C143 = "", "",
IF(COUNTIF($C$125:C142,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19"/>
      <c r="F143" s="620"/>
      <c r="G143" s="755"/>
      <c r="H143" s="756"/>
      <c r="I143" s="757"/>
      <c r="J143" s="351" t="b">
        <v>0</v>
      </c>
      <c r="K143" s="346" t="b">
        <v>0</v>
      </c>
      <c r="L143" s="29" t="str">
        <f t="shared" si="3"/>
        <v/>
      </c>
      <c r="M143" s="16"/>
      <c r="N143" s="16"/>
      <c r="O143" s="16"/>
      <c r="P143" s="16"/>
      <c r="Q143" s="16"/>
    </row>
    <row r="144" spans="3:17" hidden="1" outlineLevel="1" x14ac:dyDescent="0.25">
      <c r="C144" s="319"/>
      <c r="D144" s="618" t="str">
        <f>IF(C144 = "", "",
IF(COUNTIF($C$125:C143,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19"/>
      <c r="F144" s="620"/>
      <c r="G144" s="755"/>
      <c r="H144" s="756"/>
      <c r="I144" s="757"/>
      <c r="J144" s="351" t="b">
        <v>0</v>
      </c>
      <c r="K144" s="346" t="b">
        <v>0</v>
      </c>
      <c r="L144" s="29" t="str">
        <f t="shared" si="3"/>
        <v/>
      </c>
      <c r="M144" s="16"/>
      <c r="N144" s="16"/>
      <c r="O144" s="16"/>
      <c r="P144" s="16"/>
      <c r="Q144" s="16"/>
    </row>
    <row r="145" spans="3:17" hidden="1" outlineLevel="1" x14ac:dyDescent="0.25">
      <c r="C145" s="319"/>
      <c r="D145" s="618" t="str">
        <f>IF(C145 = "", "",
IF(COUNTIF($C$125:C144,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19"/>
      <c r="F145" s="620"/>
      <c r="G145" s="755"/>
      <c r="H145" s="756"/>
      <c r="I145" s="757"/>
      <c r="J145" s="351" t="b">
        <v>0</v>
      </c>
      <c r="K145" s="346" t="b">
        <v>0</v>
      </c>
      <c r="L145" s="29" t="str">
        <f t="shared" si="3"/>
        <v/>
      </c>
      <c r="M145" s="16"/>
      <c r="N145" s="16"/>
      <c r="O145" s="16"/>
      <c r="P145" s="16"/>
      <c r="Q145" s="16"/>
    </row>
    <row r="146" spans="3:17" hidden="1" outlineLevel="1" x14ac:dyDescent="0.25">
      <c r="C146" s="319"/>
      <c r="D146" s="618" t="str">
        <f>IF(C146 = "", "",
IF(COUNTIF($C$125:C145,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19"/>
      <c r="F146" s="620"/>
      <c r="G146" s="755"/>
      <c r="H146" s="756"/>
      <c r="I146" s="757"/>
      <c r="J146" s="351" t="b">
        <v>0</v>
      </c>
      <c r="K146" s="346" t="b">
        <v>0</v>
      </c>
      <c r="L146" s="29" t="str">
        <f t="shared" si="3"/>
        <v/>
      </c>
      <c r="M146" s="16"/>
      <c r="N146" s="16"/>
      <c r="O146" s="16"/>
      <c r="P146" s="16"/>
      <c r="Q146" s="16"/>
    </row>
    <row r="147" spans="3:17" hidden="1" outlineLevel="1" x14ac:dyDescent="0.25">
      <c r="C147" s="319"/>
      <c r="D147" s="618" t="str">
        <f>IF(C147 = "", "",
IF(COUNTIF($C$125:C146,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19"/>
      <c r="F147" s="620"/>
      <c r="G147" s="755"/>
      <c r="H147" s="756"/>
      <c r="I147" s="757"/>
      <c r="J147" s="351" t="b">
        <v>0</v>
      </c>
      <c r="K147" s="346" t="b">
        <v>0</v>
      </c>
      <c r="L147" s="29" t="str">
        <f t="shared" si="3"/>
        <v/>
      </c>
      <c r="M147" s="16"/>
      <c r="N147" s="16"/>
      <c r="O147" s="16"/>
      <c r="P147" s="16"/>
      <c r="Q147" s="16"/>
    </row>
    <row r="148" spans="3:17" hidden="1" outlineLevel="1" x14ac:dyDescent="0.25">
      <c r="C148" s="319"/>
      <c r="D148" s="618" t="str">
        <f>IF(C148 = "", "",
IF(COUNTIF($C$125:C147,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19"/>
      <c r="F148" s="620"/>
      <c r="G148" s="755"/>
      <c r="H148" s="756"/>
      <c r="I148" s="757"/>
      <c r="J148" s="351" t="b">
        <v>0</v>
      </c>
      <c r="K148" s="346" t="b">
        <v>0</v>
      </c>
      <c r="L148" s="29" t="str">
        <f t="shared" si="3"/>
        <v/>
      </c>
      <c r="M148" s="16"/>
      <c r="N148" s="16"/>
      <c r="O148" s="16"/>
      <c r="P148" s="16"/>
      <c r="Q148" s="16"/>
    </row>
    <row r="149" spans="3:17" hidden="1" outlineLevel="1" x14ac:dyDescent="0.25">
      <c r="C149" s="319"/>
      <c r="D149" s="618" t="str">
        <f>IF(C149 = "", "",
IF(COUNTIF($C$125:C148,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19"/>
      <c r="F149" s="620"/>
      <c r="G149" s="849"/>
      <c r="H149" s="756"/>
      <c r="I149" s="757"/>
      <c r="J149" s="351" t="b">
        <v>0</v>
      </c>
      <c r="K149" s="346" t="b">
        <v>0</v>
      </c>
      <c r="L149" s="29" t="str">
        <f t="shared" si="3"/>
        <v/>
      </c>
      <c r="M149" s="16"/>
      <c r="N149" s="16"/>
      <c r="O149" s="16"/>
      <c r="P149" s="16"/>
      <c r="Q149" s="16"/>
    </row>
    <row r="150" spans="3:17" ht="15.75" hidden="1" outlineLevel="1" thickBot="1" x14ac:dyDescent="0.3">
      <c r="C150" s="321"/>
      <c r="D150" s="618" t="str">
        <f>IF(C150 = "", "",
IF(COUNTIF($C$125:C149,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19"/>
      <c r="F150" s="620"/>
      <c r="G150" s="690"/>
      <c r="H150" s="691"/>
      <c r="I150" s="692"/>
      <c r="J150" s="352" t="b">
        <v>0</v>
      </c>
      <c r="K150" s="347" t="b">
        <v>0</v>
      </c>
      <c r="L150" s="29" t="str">
        <f t="shared" si="3"/>
        <v/>
      </c>
      <c r="M150" s="16"/>
      <c r="N150" s="16"/>
      <c r="O150" s="16"/>
      <c r="P150" s="16"/>
      <c r="Q150" s="16"/>
    </row>
    <row r="151" spans="3:17" ht="15.75" collapsed="1" thickBot="1" x14ac:dyDescent="0.3">
      <c r="D151" s="20"/>
      <c r="E151" s="20"/>
      <c r="F151" s="20"/>
      <c r="H151" s="20"/>
      <c r="I151" s="20"/>
    </row>
    <row r="152" spans="3:17" x14ac:dyDescent="0.25">
      <c r="C152" s="516" t="str">
        <f>"B5 - Biodiversity - Land-use  " &amp; template_reporting_period_display &amp; "  [May (optional)]"</f>
        <v>B5 - Biodiversity - Land-use  from 01/01/2024 to 31/12/2024  [May (optional)]</v>
      </c>
      <c r="D152" s="517"/>
      <c r="E152" s="517"/>
      <c r="F152" s="518"/>
    </row>
    <row r="153" spans="3:17" x14ac:dyDescent="0.25">
      <c r="C153" s="472">
        <v>34</v>
      </c>
      <c r="D153" s="473"/>
      <c r="E153" s="473"/>
      <c r="F153" s="474"/>
    </row>
    <row r="154" spans="3:17" x14ac:dyDescent="0.25">
      <c r="C154" s="585" t="s">
        <v>4779</v>
      </c>
      <c r="D154" s="586"/>
      <c r="E154" s="586"/>
      <c r="F154" s="587"/>
    </row>
    <row r="155" spans="3:17" ht="16.899999999999999" customHeight="1" x14ac:dyDescent="0.25">
      <c r="C155" s="749" t="s">
        <v>3800</v>
      </c>
      <c r="D155" s="750"/>
      <c r="E155" s="750"/>
      <c r="F155" s="751"/>
    </row>
    <row r="156" spans="3:17" x14ac:dyDescent="0.25">
      <c r="C156" s="752" t="s">
        <v>4508</v>
      </c>
      <c r="D156" s="753"/>
      <c r="E156" s="753"/>
      <c r="F156" s="754"/>
      <c r="G156" s="28" t="str">
        <f>IF(C156&lt;&gt;"","OK",IF(AND(OR(D158&lt;&gt;"",D159&lt;&gt;"",D160&lt;&gt;"",D161&lt;&gt;""),C156=""),"MISSING VALUE",""))</f>
        <v>OK</v>
      </c>
      <c r="H156" s="174"/>
      <c r="K156" s="28"/>
    </row>
    <row r="157" spans="3:17" x14ac:dyDescent="0.25">
      <c r="C157" s="175" t="s">
        <v>22</v>
      </c>
      <c r="D157" s="750" t="s">
        <v>4458</v>
      </c>
      <c r="E157" s="750"/>
      <c r="F157" s="751"/>
      <c r="G157" s="28"/>
      <c r="H157" s="174"/>
      <c r="K157" s="28"/>
    </row>
    <row r="158" spans="3:17" x14ac:dyDescent="0.25">
      <c r="C158" s="176" t="s">
        <v>23</v>
      </c>
      <c r="D158" s="845">
        <v>10000</v>
      </c>
      <c r="E158" s="845"/>
      <c r="F158" s="846"/>
      <c r="G158" s="611" t="str">
        <f>IF(AND(G156="OK",COUNTIF(D158:F161,"&lt;&gt;")&gt;0),
"OK",
IF(AND(G156="OK",COUNTA(D158:F161)=0),
"MISSING VALUE",IF(AND(G156="MISSING VALUE",COUNTIF(D158:F161,"&lt;&gt;")&gt;0),"VALUE INCONSISTENCY",
""
)
))</f>
        <v>OK</v>
      </c>
      <c r="H158" s="177"/>
      <c r="K158" s="28"/>
    </row>
    <row r="159" spans="3:17" x14ac:dyDescent="0.25">
      <c r="C159" s="178" t="s">
        <v>24</v>
      </c>
      <c r="D159" s="763">
        <v>10000</v>
      </c>
      <c r="E159" s="764"/>
      <c r="F159" s="841"/>
      <c r="G159" s="611"/>
      <c r="H159" s="177"/>
      <c r="K159" s="28"/>
    </row>
    <row r="160" spans="3:17" x14ac:dyDescent="0.25">
      <c r="C160" s="178" t="s">
        <v>25</v>
      </c>
      <c r="D160" s="763">
        <v>10000</v>
      </c>
      <c r="E160" s="764"/>
      <c r="F160" s="841"/>
      <c r="G160" s="611"/>
      <c r="H160" s="177"/>
      <c r="K160" s="28"/>
    </row>
    <row r="161" spans="3:12" ht="15.75" thickBot="1" x14ac:dyDescent="0.3">
      <c r="C161" s="165" t="s">
        <v>26</v>
      </c>
      <c r="D161" s="842">
        <v>10000</v>
      </c>
      <c r="E161" s="843"/>
      <c r="F161" s="844"/>
      <c r="G161" s="611"/>
      <c r="H161" s="177"/>
      <c r="K161" s="28"/>
    </row>
    <row r="162" spans="3:12" ht="15.75" thickBot="1" x14ac:dyDescent="0.3"/>
    <row r="163" spans="3:12" x14ac:dyDescent="0.25">
      <c r="C163" s="516" t="str">
        <f xml:space="preserve"> "B6 - Water Withdrawal " &amp; template_reporting_period_display &amp; " [Always to be reported]"</f>
        <v>B6 - Water Withdrawal from 01/01/2024 to 31/12/2024 [Always to be reported]</v>
      </c>
      <c r="D163" s="680"/>
      <c r="E163" s="26"/>
      <c r="F163" s="26"/>
      <c r="G163" s="28"/>
      <c r="H163" s="28"/>
      <c r="I163" s="28"/>
      <c r="K163" s="28"/>
    </row>
    <row r="164" spans="3:12" x14ac:dyDescent="0.25">
      <c r="C164" s="472">
        <v>35</v>
      </c>
      <c r="D164" s="725"/>
      <c r="E164" s="179"/>
      <c r="F164" s="179"/>
      <c r="G164" s="28"/>
      <c r="H164" s="28"/>
      <c r="I164" s="28"/>
    </row>
    <row r="165" spans="3:12" x14ac:dyDescent="0.25">
      <c r="C165" s="585" t="s">
        <v>4780</v>
      </c>
      <c r="D165" s="726"/>
      <c r="E165" s="180"/>
      <c r="F165" s="180"/>
      <c r="G165" s="28"/>
      <c r="H165" s="28"/>
      <c r="I165" s="28"/>
      <c r="K165" s="66"/>
      <c r="L165" s="66"/>
    </row>
    <row r="166" spans="3:12" x14ac:dyDescent="0.25">
      <c r="C166" s="149" t="s">
        <v>4576</v>
      </c>
      <c r="D166" s="436">
        <v>10000</v>
      </c>
      <c r="E166" s="682" t="str">
        <f>IF(AND(OR('General Information'!E32="Option A (Basic Module only)", 'General Information'!E32="Option B (Basic Module and Comprehensive Module)"),TotalAmountOfWaterWithdrawnFromAllSites=""),"MISSING VALUE",IF('General Information'!E32="","","OK"))</f>
        <v>OK</v>
      </c>
      <c r="F166" s="683"/>
      <c r="G166" s="28"/>
      <c r="H166" s="28"/>
      <c r="I166" s="28"/>
    </row>
    <row r="167" spans="3:12" ht="30.75" thickBot="1" x14ac:dyDescent="0.3">
      <c r="C167" s="181" t="s">
        <v>4577</v>
      </c>
      <c r="D167" s="436">
        <v>10000</v>
      </c>
      <c r="E167" s="721" t="str">
        <f>IF(AND(OR('General Information'!E32="Option A (Basic Module only)", 'General Information'!E32="Option B (Basic Module and Comprehensive Module)"),AmountOfWaterWithdrawnAtSitesLocatedInAreasOfHighWaterStress=""),"MISSING VALUE",IF('General Information'!E32="","","OK"))</f>
        <v>OK</v>
      </c>
      <c r="F167" s="681"/>
      <c r="G167" s="28"/>
      <c r="H167" s="28"/>
      <c r="I167" s="28"/>
    </row>
    <row r="168" spans="3:12" ht="15.75" thickBot="1" x14ac:dyDescent="0.3">
      <c r="K168" s="51"/>
    </row>
    <row r="169" spans="3:12" x14ac:dyDescent="0.25">
      <c r="C169" s="516" t="str">
        <f xml:space="preserve"> "B6 - Water Consumption " &amp; template_reporting_period_display &amp; " [If applicable]"</f>
        <v>B6 - Water Consumption from 01/01/2024 to 31/12/2024 [If applicable]</v>
      </c>
      <c r="D169" s="680"/>
      <c r="E169" s="26"/>
      <c r="F169" s="26"/>
    </row>
    <row r="170" spans="3:12" x14ac:dyDescent="0.25">
      <c r="C170" s="649">
        <v>36</v>
      </c>
      <c r="D170" s="651"/>
      <c r="E170" s="179"/>
      <c r="F170" s="179"/>
    </row>
    <row r="171" spans="3:12" x14ac:dyDescent="0.25">
      <c r="C171" s="585" t="s">
        <v>4781</v>
      </c>
      <c r="D171" s="587"/>
      <c r="E171" s="180"/>
      <c r="F171" s="180"/>
    </row>
    <row r="172" spans="3:12" ht="50.65" customHeight="1" x14ac:dyDescent="0.25">
      <c r="C172" s="183" t="s">
        <v>3999</v>
      </c>
      <c r="D172" s="206" t="b">
        <v>1</v>
      </c>
      <c r="E172" s="182"/>
      <c r="F172" s="182"/>
      <c r="G172" s="28"/>
      <c r="H172" s="28"/>
      <c r="I172" s="28"/>
    </row>
    <row r="173" spans="3:12" ht="15.75" thickBot="1" x14ac:dyDescent="0.3">
      <c r="C173" s="181" t="s">
        <v>4459</v>
      </c>
      <c r="D173" s="436">
        <v>10000</v>
      </c>
      <c r="E173" s="681" t="str">
        <f>IF(AND(D172=TRUE,D173=""),"MISSING VALUE",IF(AND(D172=TRUE,D173&lt;&gt;""),"OK",""))</f>
        <v>OK</v>
      </c>
      <c r="F173" s="681"/>
      <c r="G173" s="28"/>
      <c r="H173" s="28"/>
      <c r="I173" s="28"/>
    </row>
    <row r="174" spans="3:12" ht="21" customHeight="1" thickBot="1" x14ac:dyDescent="0.3">
      <c r="C174" s="184" t="s">
        <v>4575</v>
      </c>
      <c r="D174" s="436">
        <v>10000</v>
      </c>
      <c r="E174" s="185"/>
      <c r="F174" s="185"/>
    </row>
    <row r="175" spans="3:12" ht="15.75" thickBot="1" x14ac:dyDescent="0.3"/>
    <row r="176" spans="3:12" x14ac:dyDescent="0.25">
      <c r="C176" s="646" t="str">
        <f xml:space="preserve"> "B7 - Description of circular economy principles " &amp; template_reporting_period_display &amp; " [Always to be reported]"</f>
        <v>B7 - Description of circular economy principles from 01/01/2024 to 31/12/2024 [Always to be reported]</v>
      </c>
      <c r="D176" s="647"/>
      <c r="E176" s="722"/>
      <c r="F176" s="722"/>
      <c r="G176" s="648"/>
      <c r="H176" s="28"/>
      <c r="I176" s="28"/>
    </row>
    <row r="177" spans="3:13" x14ac:dyDescent="0.25">
      <c r="C177" s="649">
        <v>37</v>
      </c>
      <c r="D177" s="650"/>
      <c r="E177" s="723"/>
      <c r="F177" s="723"/>
      <c r="G177" s="651"/>
      <c r="H177" s="186"/>
      <c r="I177" s="186"/>
    </row>
    <row r="178" spans="3:13" x14ac:dyDescent="0.25">
      <c r="C178" s="673">
        <v>159</v>
      </c>
      <c r="D178" s="674"/>
      <c r="E178" s="529"/>
      <c r="F178" s="529"/>
      <c r="G178" s="724"/>
      <c r="H178" s="187"/>
      <c r="I178" s="187"/>
    </row>
    <row r="179" spans="3:13" x14ac:dyDescent="0.25">
      <c r="C179" s="147" t="s">
        <v>4470</v>
      </c>
      <c r="D179" s="684" t="s">
        <v>3622</v>
      </c>
      <c r="E179" s="685"/>
      <c r="F179" s="685"/>
      <c r="G179" s="686"/>
      <c r="H179" s="838" t="str">
        <f>IF(AND(OR('General Information'!E32="Option A (Basic Module only)", 'General Information'!E32="Option B (Basic Module and Comprehensive Module)"),UndertakingAppliesCircularEconomyPrinciples=""),"MISSING VALUE",IF('General Information'!E32="","","OK"))</f>
        <v>OK</v>
      </c>
      <c r="I179" s="570"/>
      <c r="J179" s="28"/>
    </row>
    <row r="180" spans="3:13" ht="15.75" thickBot="1" x14ac:dyDescent="0.3">
      <c r="C180" s="168" t="s">
        <v>3638</v>
      </c>
      <c r="D180" s="503" t="s">
        <v>4822</v>
      </c>
      <c r="E180" s="513"/>
      <c r="F180" s="513"/>
      <c r="G180" s="504"/>
      <c r="H180" s="838" t="str">
        <f>IF(AND(D179="YES",D180=""),"MISSING VALUE",IF(AND(D179="YES",D180&lt;&gt;""),"OK",IF(AND(D179="NO",D180&lt;&gt;""),"VALUE INCONSISTENCY","")))</f>
        <v>OK</v>
      </c>
      <c r="I180" s="570"/>
      <c r="J180" s="28"/>
    </row>
    <row r="181" spans="3:13" ht="15.75" thickBot="1" x14ac:dyDescent="0.3"/>
    <row r="182" spans="3:13" x14ac:dyDescent="0.25">
      <c r="C182" s="646" t="str">
        <f>"B7 - Waste generated " &amp; template_reporting_period_display &amp; " [Always to be reported]"</f>
        <v>B7 - Waste generated from 01/01/2024 to 31/12/2024 [Always to be reported]</v>
      </c>
      <c r="D182" s="647"/>
      <c r="E182" s="647"/>
      <c r="F182" s="647"/>
      <c r="G182" s="647"/>
      <c r="H182" s="647"/>
      <c r="I182" s="647"/>
      <c r="J182" s="647"/>
      <c r="K182" s="647"/>
      <c r="L182" s="648"/>
    </row>
    <row r="183" spans="3:13" x14ac:dyDescent="0.25">
      <c r="C183" s="649" t="s">
        <v>4742</v>
      </c>
      <c r="D183" s="650"/>
      <c r="E183" s="650"/>
      <c r="F183" s="650"/>
      <c r="G183" s="650"/>
      <c r="H183" s="650"/>
      <c r="I183" s="650"/>
      <c r="J183" s="650"/>
      <c r="K183" s="650"/>
      <c r="L183" s="651"/>
    </row>
    <row r="184" spans="3:13" x14ac:dyDescent="0.25">
      <c r="C184" s="673" t="s">
        <v>4782</v>
      </c>
      <c r="D184" s="674"/>
      <c r="E184" s="674"/>
      <c r="F184" s="674"/>
      <c r="G184" s="674"/>
      <c r="H184" s="674"/>
      <c r="I184" s="674"/>
      <c r="J184" s="674"/>
      <c r="K184" s="674"/>
      <c r="L184" s="724"/>
    </row>
    <row r="185" spans="3:13" ht="49.15" customHeight="1" x14ac:dyDescent="0.25">
      <c r="C185" s="188" t="s">
        <v>20</v>
      </c>
      <c r="D185" s="819" t="s">
        <v>2781</v>
      </c>
      <c r="E185" s="819"/>
      <c r="F185" s="819"/>
      <c r="G185" s="821" t="s">
        <v>2777</v>
      </c>
      <c r="H185" s="821"/>
      <c r="I185" s="821"/>
      <c r="J185" s="189" t="s">
        <v>4481</v>
      </c>
      <c r="K185" s="190" t="s">
        <v>3807</v>
      </c>
      <c r="L185" s="191" t="s">
        <v>3808</v>
      </c>
    </row>
    <row r="186" spans="3:13" x14ac:dyDescent="0.25">
      <c r="C186" s="192">
        <v>1</v>
      </c>
      <c r="D186" s="731" t="s">
        <v>3620</v>
      </c>
      <c r="E186" s="731"/>
      <c r="F186" s="731"/>
      <c r="G186" s="796" t="s">
        <v>2782</v>
      </c>
      <c r="H186" s="796"/>
      <c r="I186" s="796"/>
      <c r="J186" s="437">
        <v>10000</v>
      </c>
      <c r="K186" s="438">
        <v>10000</v>
      </c>
      <c r="L186" s="439">
        <v>10000</v>
      </c>
      <c r="M186" s="28" t="str">
        <f>IF(OR('General Information'!E32 = "Option A (Basic Module only)", 'General Information'!E32 = "Option B (Basic Module and Comprehensive Module)"),
    IF(COUNTIF(enum_ListWasteCategories, D186) &gt; 0, "ERROR",
        IF(OR(D186 = "", G186 = "", J186 = "", K186 = ""), "MISSING VALUE",
            IF(COUNTIF(D186:D200, D186) &gt; 1, "VALUE INCONSISTENCY", "OK")
        )
    ),
    ""
)</f>
        <v>OK</v>
      </c>
    </row>
    <row r="187" spans="3:13" x14ac:dyDescent="0.25">
      <c r="C187" s="192">
        <v>2</v>
      </c>
      <c r="D187" s="731"/>
      <c r="E187" s="731"/>
      <c r="F187" s="731"/>
      <c r="G187" s="816"/>
      <c r="H187" s="816"/>
      <c r="I187" s="816"/>
      <c r="J187" s="437"/>
      <c r="K187" s="438"/>
      <c r="L187" s="439"/>
      <c r="M187" s="28" t="str">
        <f t="shared" ref="M187:M200" si="4">IF(COUNTIF(enum_ListWasteCategories,D187)&gt;0,"ERROR",
IF(AND(D187&lt;&gt;"",G187&lt;&gt;"",J187&lt;&gt;"",K187&lt;&gt;""),
IF(COUNTIF($D$186:$D$200,D187)&gt;1,"VALUE INCONSISTENCY","OK"),
IF(AND(D187&lt;&gt;"",G187&lt;&gt;"",J187&lt;&gt;"",K187=""),"MISSING VALUE",
IF(AND(D187&lt;&gt;"",G187&lt;&gt;"",J187="",K187&lt;&gt;""),"MISSING VALUE",
IF(AND(D187&lt;&gt;"",G187="",J187&lt;&gt;"",K187&lt;&gt;""),"MISSING VALUE",
IF(AND(D187="",G187&lt;&gt;"",J187&lt;&gt;"",K187&lt;&gt;""),"MISSING VALUE",
IF(AND(D187&lt;&gt;"",G187&lt;&gt;"",J187="",K187=""),"MISSING VALUE",
IF(AND(D187&lt;&gt;"",G187="",J187&lt;&gt;"",K187=""),"MISSING VALUE",
IF(AND(D187&lt;&gt;"",G187="",J187="",K187&lt;&gt;""),"MISSING VALUE",
IF(AND(D187="",G187="",J187&lt;&gt;"",K187&lt;&gt;""),"MISSING VALUE",
IF(AND(D187="",G187&lt;&gt;"",J187="",K187&lt;&gt;""),"MISSING VALUE",
IF(AND(D187="",G187&lt;&gt;"",J187&lt;&gt;"",K187=""),"MISSING VALUE",
IF(AND(D187="",G187="",J187="",K187&lt;&gt;""),"MISSING VALUE",
IF(AND(D187="",G187="",J187&lt;&gt;"",K187=""),"MISSING VALUE",
IF(AND(D187="",G187&lt;&gt;"",J187="",K187=""),"MISSING VALUE",
IF(AND(D187&lt;&gt;"",G187="",J187="",K187=""),"MISSING VALUE",
""))))))))))))))))</f>
        <v/>
      </c>
    </row>
    <row r="188" spans="3:13" ht="15.75" thickBot="1" x14ac:dyDescent="0.3">
      <c r="C188" s="173">
        <v>3</v>
      </c>
      <c r="D188" s="817"/>
      <c r="E188" s="817"/>
      <c r="F188" s="817"/>
      <c r="G188" s="818"/>
      <c r="H188" s="818"/>
      <c r="I188" s="818"/>
      <c r="J188" s="208"/>
      <c r="K188" s="208"/>
      <c r="L188" s="72" t="str">
        <f t="shared" ref="L188:L200" si="5">IF(AND(D188="",J188="",K188=""),"-",SUM(J188:K188))</f>
        <v>-</v>
      </c>
      <c r="M188" s="28" t="str">
        <f t="shared" si="4"/>
        <v/>
      </c>
    </row>
    <row r="189" spans="3:13" outlineLevel="1" x14ac:dyDescent="0.25">
      <c r="C189" s="27">
        <v>4</v>
      </c>
      <c r="D189" s="820"/>
      <c r="E189" s="820"/>
      <c r="F189" s="820"/>
      <c r="G189" s="828"/>
      <c r="H189" s="828"/>
      <c r="I189" s="828"/>
      <c r="J189" s="286"/>
      <c r="K189" s="286"/>
      <c r="L189" s="194" t="str">
        <f t="shared" si="5"/>
        <v>-</v>
      </c>
      <c r="M189" s="28" t="str">
        <f t="shared" si="4"/>
        <v/>
      </c>
    </row>
    <row r="190" spans="3:13" outlineLevel="1" x14ac:dyDescent="0.25">
      <c r="C190" s="192">
        <v>5</v>
      </c>
      <c r="D190" s="731"/>
      <c r="E190" s="731"/>
      <c r="F190" s="731"/>
      <c r="G190" s="816"/>
      <c r="H190" s="816"/>
      <c r="I190" s="816"/>
      <c r="J190" s="285"/>
      <c r="K190" s="285"/>
      <c r="L190" s="193" t="str">
        <f t="shared" si="5"/>
        <v>-</v>
      </c>
      <c r="M190" s="28" t="str">
        <f t="shared" si="4"/>
        <v/>
      </c>
    </row>
    <row r="191" spans="3:13" outlineLevel="1" x14ac:dyDescent="0.25">
      <c r="C191" s="192">
        <v>6</v>
      </c>
      <c r="D191" s="850"/>
      <c r="E191" s="851"/>
      <c r="F191" s="852"/>
      <c r="G191" s="816"/>
      <c r="H191" s="816"/>
      <c r="I191" s="816"/>
      <c r="J191" s="285"/>
      <c r="K191" s="285"/>
      <c r="L191" s="193" t="str">
        <f>IF(AND(D191="",J191="",K191=""),"-",SUM(J191:K191))</f>
        <v>-</v>
      </c>
      <c r="M191" s="28" t="str">
        <f t="shared" si="4"/>
        <v/>
      </c>
    </row>
    <row r="192" spans="3:13" outlineLevel="1" x14ac:dyDescent="0.25">
      <c r="C192" s="192">
        <v>7</v>
      </c>
      <c r="D192" s="731"/>
      <c r="E192" s="731"/>
      <c r="F192" s="731"/>
      <c r="G192" s="816"/>
      <c r="H192" s="816"/>
      <c r="I192" s="816"/>
      <c r="J192" s="285"/>
      <c r="K192" s="285"/>
      <c r="L192" s="193" t="str">
        <f>IF(AND(D192="",J192="",K192=""),"-",SUM(J192:K192))</f>
        <v>-</v>
      </c>
      <c r="M192" s="28" t="str">
        <f t="shared" si="4"/>
        <v/>
      </c>
    </row>
    <row r="193" spans="3:13" outlineLevel="1" x14ac:dyDescent="0.25">
      <c r="C193" s="192">
        <v>8</v>
      </c>
      <c r="D193" s="731"/>
      <c r="E193" s="731"/>
      <c r="F193" s="731"/>
      <c r="G193" s="816"/>
      <c r="H193" s="816"/>
      <c r="I193" s="816"/>
      <c r="J193" s="285"/>
      <c r="K193" s="285"/>
      <c r="L193" s="193" t="str">
        <f t="shared" si="5"/>
        <v>-</v>
      </c>
      <c r="M193" s="28" t="str">
        <f t="shared" si="4"/>
        <v/>
      </c>
    </row>
    <row r="194" spans="3:13" outlineLevel="1" x14ac:dyDescent="0.25">
      <c r="C194" s="192">
        <v>9</v>
      </c>
      <c r="D194" s="731"/>
      <c r="E194" s="731"/>
      <c r="F194" s="731"/>
      <c r="G194" s="816"/>
      <c r="H194" s="816"/>
      <c r="I194" s="816"/>
      <c r="J194" s="285"/>
      <c r="K194" s="285"/>
      <c r="L194" s="193" t="str">
        <f t="shared" si="5"/>
        <v>-</v>
      </c>
      <c r="M194" s="28" t="str">
        <f t="shared" si="4"/>
        <v/>
      </c>
    </row>
    <row r="195" spans="3:13" outlineLevel="1" x14ac:dyDescent="0.25">
      <c r="C195" s="192">
        <v>10</v>
      </c>
      <c r="D195" s="731"/>
      <c r="E195" s="731"/>
      <c r="F195" s="731"/>
      <c r="G195" s="816"/>
      <c r="H195" s="816"/>
      <c r="I195" s="816"/>
      <c r="J195" s="285"/>
      <c r="K195" s="285"/>
      <c r="L195" s="193" t="str">
        <f t="shared" si="5"/>
        <v>-</v>
      </c>
      <c r="M195" s="28" t="str">
        <f t="shared" si="4"/>
        <v/>
      </c>
    </row>
    <row r="196" spans="3:13" outlineLevel="1" x14ac:dyDescent="0.25">
      <c r="C196" s="192">
        <v>11</v>
      </c>
      <c r="D196" s="731"/>
      <c r="E196" s="731"/>
      <c r="F196" s="731"/>
      <c r="G196" s="816"/>
      <c r="H196" s="816"/>
      <c r="I196" s="816"/>
      <c r="J196" s="285"/>
      <c r="K196" s="285"/>
      <c r="L196" s="193" t="str">
        <f t="shared" si="5"/>
        <v>-</v>
      </c>
      <c r="M196" s="28" t="str">
        <f t="shared" si="4"/>
        <v/>
      </c>
    </row>
    <row r="197" spans="3:13" outlineLevel="1" x14ac:dyDescent="0.25">
      <c r="C197" s="192">
        <v>12</v>
      </c>
      <c r="D197" s="731"/>
      <c r="E197" s="731"/>
      <c r="F197" s="731"/>
      <c r="G197" s="816"/>
      <c r="H197" s="816"/>
      <c r="I197" s="816"/>
      <c r="J197" s="285"/>
      <c r="K197" s="285"/>
      <c r="L197" s="193" t="str">
        <f t="shared" si="5"/>
        <v>-</v>
      </c>
      <c r="M197" s="28" t="str">
        <f t="shared" si="4"/>
        <v/>
      </c>
    </row>
    <row r="198" spans="3:13" outlineLevel="1" x14ac:dyDescent="0.25">
      <c r="C198" s="192">
        <v>13</v>
      </c>
      <c r="D198" s="731"/>
      <c r="E198" s="731"/>
      <c r="F198" s="731"/>
      <c r="G198" s="816"/>
      <c r="H198" s="816"/>
      <c r="I198" s="816"/>
      <c r="J198" s="285"/>
      <c r="K198" s="285"/>
      <c r="L198" s="193" t="str">
        <f t="shared" si="5"/>
        <v>-</v>
      </c>
      <c r="M198" s="28" t="str">
        <f t="shared" si="4"/>
        <v/>
      </c>
    </row>
    <row r="199" spans="3:13" outlineLevel="1" x14ac:dyDescent="0.25">
      <c r="C199" s="192">
        <v>14</v>
      </c>
      <c r="D199" s="731"/>
      <c r="E199" s="731"/>
      <c r="F199" s="731"/>
      <c r="G199" s="816"/>
      <c r="H199" s="816"/>
      <c r="I199" s="816"/>
      <c r="J199" s="285"/>
      <c r="K199" s="285"/>
      <c r="L199" s="193" t="str">
        <f t="shared" si="5"/>
        <v>-</v>
      </c>
      <c r="M199" s="28" t="str">
        <f t="shared" si="4"/>
        <v/>
      </c>
    </row>
    <row r="200" spans="3:13" ht="15.75" outlineLevel="1" thickBot="1" x14ac:dyDescent="0.3">
      <c r="C200" s="88">
        <v>15</v>
      </c>
      <c r="D200" s="815"/>
      <c r="E200" s="815"/>
      <c r="F200" s="815"/>
      <c r="G200" s="818"/>
      <c r="H200" s="818"/>
      <c r="I200" s="818"/>
      <c r="J200" s="283"/>
      <c r="K200" s="283"/>
      <c r="L200" s="72" t="str">
        <f t="shared" si="5"/>
        <v>-</v>
      </c>
      <c r="M200" s="28" t="str">
        <f t="shared" si="4"/>
        <v/>
      </c>
    </row>
    <row r="201" spans="3:13" x14ac:dyDescent="0.25">
      <c r="C201" s="812" t="s">
        <v>4578</v>
      </c>
      <c r="D201" s="839" t="s">
        <v>4579</v>
      </c>
      <c r="E201" s="839"/>
      <c r="F201" s="840"/>
      <c r="G201" s="847" t="s">
        <v>2778</v>
      </c>
      <c r="H201" s="847"/>
      <c r="I201" s="848"/>
      <c r="J201" s="810">
        <v>10000</v>
      </c>
      <c r="K201" s="810"/>
      <c r="L201" s="811"/>
      <c r="M201" s="28" t="str" cm="1">
        <f t="array" ref="M201">IF(G201="",
    IF(SUMPRODUCT(--((G186:G200="metric tonnes (t)")+(G186:G200="kilograms (kg)")))&gt;0,
        "MISSING VALUE",
        ""
    ),
    IF(SUMPRODUCT(--((G186:G200="metric tonnes (t)")+(G186:G200="kilograms (kg)")))&gt;0,
        "OK",
        ""
    )
)</f>
        <v>OK</v>
      </c>
    </row>
    <row r="202" spans="3:13" x14ac:dyDescent="0.25">
      <c r="C202" s="813"/>
      <c r="D202" s="824" t="s">
        <v>4580</v>
      </c>
      <c r="E202" s="824"/>
      <c r="F202" s="825"/>
      <c r="G202" s="853" t="str">
        <f>IF($G$201="", "-", $G$201)</f>
        <v>kilograms (kg)</v>
      </c>
      <c r="H202" s="853"/>
      <c r="I202" s="854"/>
      <c r="J202" s="810">
        <v>10000</v>
      </c>
      <c r="K202" s="810"/>
      <c r="L202" s="811"/>
    </row>
    <row r="203" spans="3:13" ht="15.75" thickBot="1" x14ac:dyDescent="0.3">
      <c r="C203" s="813"/>
      <c r="D203" s="833" t="s">
        <v>4581</v>
      </c>
      <c r="E203" s="833"/>
      <c r="F203" s="834"/>
      <c r="G203" s="853" t="str">
        <f>IF($G$201="", "-", $G$201)</f>
        <v>kilograms (kg)</v>
      </c>
      <c r="H203" s="855"/>
      <c r="I203" s="856"/>
      <c r="J203" s="810">
        <v>10000</v>
      </c>
      <c r="K203" s="810"/>
      <c r="L203" s="811"/>
    </row>
    <row r="204" spans="3:13" x14ac:dyDescent="0.25">
      <c r="C204" s="813"/>
      <c r="D204" s="822" t="s">
        <v>4582</v>
      </c>
      <c r="E204" s="822"/>
      <c r="F204" s="823"/>
      <c r="G204" s="827" t="s">
        <v>2783</v>
      </c>
      <c r="H204" s="827"/>
      <c r="I204" s="827"/>
      <c r="J204" s="810">
        <v>10000</v>
      </c>
      <c r="K204" s="810"/>
      <c r="L204" s="811"/>
    </row>
    <row r="205" spans="3:13" x14ac:dyDescent="0.25">
      <c r="C205" s="813"/>
      <c r="D205" s="824" t="s">
        <v>4583</v>
      </c>
      <c r="E205" s="824"/>
      <c r="F205" s="825"/>
      <c r="G205" s="853" t="s">
        <v>2783</v>
      </c>
      <c r="H205" s="853"/>
      <c r="I205" s="853"/>
      <c r="J205" s="810">
        <v>10000</v>
      </c>
      <c r="K205" s="810"/>
      <c r="L205" s="811"/>
    </row>
    <row r="206" spans="3:13" ht="15.75" thickBot="1" x14ac:dyDescent="0.3">
      <c r="C206" s="814"/>
      <c r="D206" s="833" t="s">
        <v>4584</v>
      </c>
      <c r="E206" s="833"/>
      <c r="F206" s="834"/>
      <c r="G206" s="855" t="s">
        <v>2783</v>
      </c>
      <c r="H206" s="855"/>
      <c r="I206" s="855"/>
      <c r="J206" s="810">
        <v>10000</v>
      </c>
      <c r="K206" s="810"/>
      <c r="L206" s="811"/>
    </row>
    <row r="207" spans="3:13" ht="15.75" thickBot="1" x14ac:dyDescent="0.3"/>
    <row r="208" spans="3:13" x14ac:dyDescent="0.25">
      <c r="C208" s="646" t="str">
        <f xml:space="preserve"> "B7 – Annual mass-flow of relevant materials used " &amp; template_reporting_period_display &amp; " [If applicable]"</f>
        <v>B7 – Annual mass-flow of relevant materials used from 01/01/2024 to 31/12/2024 [If applicable]</v>
      </c>
      <c r="D208" s="647"/>
      <c r="E208" s="647"/>
      <c r="F208" s="647"/>
      <c r="G208" s="647"/>
      <c r="H208" s="647"/>
      <c r="I208" s="647"/>
      <c r="J208" s="648"/>
    </row>
    <row r="209" spans="3:12" x14ac:dyDescent="0.25">
      <c r="C209" s="649" t="s">
        <v>4783</v>
      </c>
      <c r="D209" s="650"/>
      <c r="E209" s="650"/>
      <c r="F209" s="650"/>
      <c r="G209" s="650"/>
      <c r="H209" s="650"/>
      <c r="I209" s="650"/>
      <c r="J209" s="651"/>
    </row>
    <row r="210" spans="3:12" x14ac:dyDescent="0.25">
      <c r="C210" s="673" t="s">
        <v>4784</v>
      </c>
      <c r="D210" s="674"/>
      <c r="E210" s="674"/>
      <c r="F210" s="674"/>
      <c r="G210" s="674"/>
      <c r="H210" s="674"/>
      <c r="I210" s="674"/>
      <c r="J210" s="724"/>
      <c r="K210" s="17"/>
      <c r="L210" s="17"/>
    </row>
    <row r="211" spans="3:12" ht="30" customHeight="1" x14ac:dyDescent="0.25">
      <c r="C211" s="580" t="s">
        <v>4000</v>
      </c>
      <c r="D211" s="860"/>
      <c r="E211" s="860"/>
      <c r="F211" s="861"/>
      <c r="G211" s="582" t="b">
        <v>1</v>
      </c>
      <c r="H211" s="583"/>
      <c r="I211" s="583"/>
      <c r="J211" s="584"/>
    </row>
    <row r="212" spans="3:12" ht="43.5" customHeight="1" x14ac:dyDescent="0.25">
      <c r="C212" s="196" t="s">
        <v>20</v>
      </c>
      <c r="D212" s="734" t="s">
        <v>2780</v>
      </c>
      <c r="E212" s="734"/>
      <c r="F212" s="734"/>
      <c r="G212" s="734" t="s">
        <v>4642</v>
      </c>
      <c r="H212" s="734"/>
      <c r="I212" s="734"/>
      <c r="J212" s="157" t="s">
        <v>2777</v>
      </c>
    </row>
    <row r="213" spans="3:12" outlineLevel="1" x14ac:dyDescent="0.25">
      <c r="C213" s="9">
        <v>1</v>
      </c>
      <c r="D213" s="632" t="s">
        <v>4822</v>
      </c>
      <c r="E213" s="632"/>
      <c r="F213" s="632"/>
      <c r="G213" s="732">
        <v>10000</v>
      </c>
      <c r="H213" s="732"/>
      <c r="I213" s="732"/>
      <c r="J213" s="441" t="s">
        <v>2778</v>
      </c>
      <c r="K213" s="29" t="str">
        <f>IF(AND(G211=TRUE,D213&lt;&gt;"",G213&lt;&gt;"",J213&lt;&gt;""),"OK",IF(AND(G211=TRUE,OR(D213="",G213="",J213="")),"MISSING VALUE",""))</f>
        <v>OK</v>
      </c>
    </row>
    <row r="214" spans="3:12" outlineLevel="1" x14ac:dyDescent="0.25">
      <c r="C214" s="9"/>
      <c r="D214" s="739"/>
      <c r="E214" s="739"/>
      <c r="F214" s="739"/>
      <c r="G214" s="627"/>
      <c r="H214" s="627"/>
      <c r="I214" s="627"/>
      <c r="J214" s="198"/>
      <c r="K214" s="29" t="str">
        <f>IF(AND(D214&lt;&gt;"",G214&lt;&gt;"",J214&lt;&gt;""),"OK",IF(AND(D214&lt;&gt;"",G214&lt;&gt;"",J214=""),"MISSING VALUE",IF(AND(D214&lt;&gt;"",G214="",J214=""),"MISSING VALUE",IF(AND(D214&lt;&gt;"",G214="",J214=""),"MISSING VALUE",IF(AND(D214="",G214="",J214=""),"","MISSING VALUE")))))</f>
        <v/>
      </c>
    </row>
    <row r="215" spans="3:12" outlineLevel="1" x14ac:dyDescent="0.25">
      <c r="C215" s="9"/>
      <c r="D215" s="739"/>
      <c r="E215" s="739"/>
      <c r="F215" s="739"/>
      <c r="G215" s="627"/>
      <c r="H215" s="627"/>
      <c r="I215" s="627"/>
      <c r="J215" s="198"/>
      <c r="K215" s="29" t="str">
        <f t="shared" ref="K215:K227" si="6">IF(AND(D215&lt;&gt;"",G215&lt;&gt;"",J215&lt;&gt;""),"OK",IF(AND(D215&lt;&gt;"",G215&lt;&gt;"",J215=""),"MISSING VALUE",IF(AND(D215&lt;&gt;"",G215="",J215=""),"MISSING VALUE",IF(AND(D215&lt;&gt;"",G215="",J215=""),"MISSING VALUE",IF(AND(D215="",G215="",J215=""),"","MISSING VALUE")))))</f>
        <v/>
      </c>
    </row>
    <row r="216" spans="3:12" outlineLevel="1" x14ac:dyDescent="0.25">
      <c r="C216" s="9"/>
      <c r="D216" s="739"/>
      <c r="E216" s="739"/>
      <c r="F216" s="739"/>
      <c r="G216" s="627"/>
      <c r="H216" s="627"/>
      <c r="I216" s="627"/>
      <c r="J216" s="198"/>
      <c r="K216" s="29" t="str">
        <f t="shared" si="6"/>
        <v/>
      </c>
    </row>
    <row r="217" spans="3:12" outlineLevel="1" x14ac:dyDescent="0.25">
      <c r="C217" s="9"/>
      <c r="D217" s="739"/>
      <c r="E217" s="739"/>
      <c r="F217" s="739"/>
      <c r="G217" s="627"/>
      <c r="H217" s="627"/>
      <c r="I217" s="627"/>
      <c r="J217" s="198"/>
      <c r="K217" s="29" t="str">
        <f t="shared" si="6"/>
        <v/>
      </c>
    </row>
    <row r="218" spans="3:12" outlineLevel="1" x14ac:dyDescent="0.25">
      <c r="C218" s="9"/>
      <c r="D218" s="633"/>
      <c r="E218" s="633"/>
      <c r="F218" s="633"/>
      <c r="G218" s="627"/>
      <c r="H218" s="627"/>
      <c r="I218" s="627"/>
      <c r="J218" s="198"/>
      <c r="K218" s="29" t="str">
        <f t="shared" si="6"/>
        <v/>
      </c>
    </row>
    <row r="219" spans="3:12" outlineLevel="1" x14ac:dyDescent="0.25">
      <c r="C219" s="9"/>
      <c r="D219" s="633"/>
      <c r="E219" s="633"/>
      <c r="F219" s="633"/>
      <c r="G219" s="627"/>
      <c r="H219" s="627"/>
      <c r="I219" s="627"/>
      <c r="J219" s="198"/>
      <c r="K219" s="29" t="str">
        <f t="shared" si="6"/>
        <v/>
      </c>
    </row>
    <row r="220" spans="3:12" outlineLevel="1" x14ac:dyDescent="0.25">
      <c r="C220" s="9"/>
      <c r="D220" s="633"/>
      <c r="E220" s="633"/>
      <c r="F220" s="633"/>
      <c r="G220" s="627"/>
      <c r="H220" s="627"/>
      <c r="I220" s="627"/>
      <c r="J220" s="198"/>
      <c r="K220" s="29" t="str">
        <f t="shared" si="6"/>
        <v/>
      </c>
    </row>
    <row r="221" spans="3:12" outlineLevel="1" x14ac:dyDescent="0.25">
      <c r="C221" s="9"/>
      <c r="D221" s="633"/>
      <c r="E221" s="633"/>
      <c r="F221" s="633"/>
      <c r="G221" s="627"/>
      <c r="H221" s="627"/>
      <c r="I221" s="627"/>
      <c r="J221" s="198"/>
      <c r="K221" s="29" t="str">
        <f t="shared" si="6"/>
        <v/>
      </c>
    </row>
    <row r="222" spans="3:12" outlineLevel="1" x14ac:dyDescent="0.25">
      <c r="C222" s="9"/>
      <c r="D222" s="633"/>
      <c r="E222" s="633"/>
      <c r="F222" s="633"/>
      <c r="G222" s="627"/>
      <c r="H222" s="627"/>
      <c r="I222" s="627"/>
      <c r="J222" s="198"/>
      <c r="K222" s="29" t="str">
        <f t="shared" si="6"/>
        <v/>
      </c>
    </row>
    <row r="223" spans="3:12" outlineLevel="1" x14ac:dyDescent="0.25">
      <c r="C223" s="9"/>
      <c r="D223" s="715"/>
      <c r="E223" s="716"/>
      <c r="F223" s="717"/>
      <c r="G223" s="624"/>
      <c r="H223" s="625"/>
      <c r="I223" s="626"/>
      <c r="J223" s="198"/>
      <c r="K223" s="29" t="str">
        <f t="shared" si="6"/>
        <v/>
      </c>
    </row>
    <row r="224" spans="3:12" outlineLevel="1" x14ac:dyDescent="0.25">
      <c r="C224" s="9"/>
      <c r="D224" s="715"/>
      <c r="E224" s="716"/>
      <c r="F224" s="717"/>
      <c r="G224" s="624"/>
      <c r="H224" s="625"/>
      <c r="I224" s="626"/>
      <c r="J224" s="198"/>
      <c r="K224" s="29" t="str">
        <f t="shared" si="6"/>
        <v/>
      </c>
    </row>
    <row r="225" spans="1:13" outlineLevel="1" x14ac:dyDescent="0.25">
      <c r="C225" s="9"/>
      <c r="D225" s="715"/>
      <c r="E225" s="716"/>
      <c r="F225" s="717"/>
      <c r="G225" s="857"/>
      <c r="H225" s="858"/>
      <c r="I225" s="859"/>
      <c r="J225" s="198"/>
      <c r="K225" s="29" t="str">
        <f t="shared" si="6"/>
        <v/>
      </c>
    </row>
    <row r="226" spans="1:13" outlineLevel="1" x14ac:dyDescent="0.25">
      <c r="C226" s="9"/>
      <c r="D226" s="715"/>
      <c r="E226" s="716"/>
      <c r="F226" s="717"/>
      <c r="G226" s="624"/>
      <c r="H226" s="625"/>
      <c r="I226" s="626"/>
      <c r="J226" s="198"/>
      <c r="K226" s="29" t="str">
        <f t="shared" si="6"/>
        <v/>
      </c>
    </row>
    <row r="227" spans="1:13" outlineLevel="1" x14ac:dyDescent="0.25">
      <c r="C227" s="9"/>
      <c r="D227" s="715"/>
      <c r="E227" s="716"/>
      <c r="F227" s="717"/>
      <c r="G227" s="624"/>
      <c r="H227" s="625"/>
      <c r="I227" s="626"/>
      <c r="J227" s="198"/>
      <c r="K227" s="29" t="str">
        <f t="shared" si="6"/>
        <v/>
      </c>
    </row>
    <row r="228" spans="1:13" x14ac:dyDescent="0.25">
      <c r="C228" s="737" t="s">
        <v>2784</v>
      </c>
      <c r="D228" s="738"/>
      <c r="E228" s="738"/>
      <c r="F228" s="738"/>
      <c r="G228" s="733">
        <f>IF(AND(G213="",G214="",J213="",J214="",G215="",J215=""),"-",(SUMIF($J$213:$J$222,"kilograms (kg)",$G$213:$G$222))+((SUMIF($J$213:$J$222,"metric tonnes (t)",$G$213:$G$222))*1000))</f>
        <v>10000</v>
      </c>
      <c r="H228" s="733"/>
      <c r="I228" s="733"/>
      <c r="J228" s="197" t="s">
        <v>2778</v>
      </c>
    </row>
    <row r="229" spans="1:13" ht="15.75" thickBot="1" x14ac:dyDescent="0.3">
      <c r="C229" s="735" t="s">
        <v>3639</v>
      </c>
      <c r="D229" s="736"/>
      <c r="E229" s="736"/>
      <c r="F229" s="736"/>
      <c r="G229" s="732">
        <v>10000</v>
      </c>
      <c r="H229" s="732"/>
      <c r="I229" s="732"/>
      <c r="J229" s="195" t="s">
        <v>2783</v>
      </c>
      <c r="K229" s="29"/>
    </row>
    <row r="230" spans="1:13" ht="15.75" thickBot="1" x14ac:dyDescent="0.3">
      <c r="D230" s="18"/>
      <c r="E230" s="18"/>
      <c r="F230" s="18"/>
      <c r="G230" s="18"/>
      <c r="H230" s="18"/>
      <c r="I230" s="18"/>
      <c r="J230" s="18"/>
    </row>
    <row r="231" spans="1:13" x14ac:dyDescent="0.25">
      <c r="C231" s="740" t="str">
        <f xml:space="preserve"> "C4 – Climate risks " &amp; template_reporting_period_display &amp; " [If applicable]"</f>
        <v>C4 – Climate risks from 01/01/2024 to 31/12/2024 [If applicable]</v>
      </c>
      <c r="D231" s="741"/>
      <c r="E231" s="741"/>
      <c r="F231" s="741"/>
      <c r="G231" s="741"/>
      <c r="H231" s="741"/>
      <c r="I231" s="741"/>
      <c r="J231" s="741"/>
      <c r="K231" s="742"/>
    </row>
    <row r="232" spans="1:13" ht="39.6" customHeight="1" x14ac:dyDescent="0.25">
      <c r="C232" s="580" t="s">
        <v>4001</v>
      </c>
      <c r="D232" s="745"/>
      <c r="E232" s="746" t="b">
        <v>1</v>
      </c>
      <c r="F232" s="747"/>
      <c r="G232" s="747"/>
      <c r="H232" s="747"/>
      <c r="I232" s="747"/>
      <c r="J232" s="747"/>
      <c r="K232" s="748"/>
    </row>
    <row r="233" spans="1:13" x14ac:dyDescent="0.25">
      <c r="A233" s="391" t="s">
        <v>4785</v>
      </c>
      <c r="B233" s="391" t="s">
        <v>4789</v>
      </c>
      <c r="C233" s="548" t="s">
        <v>4492</v>
      </c>
      <c r="D233" s="548"/>
      <c r="E233" s="605" t="s">
        <v>4822</v>
      </c>
      <c r="F233" s="606"/>
      <c r="G233" s="606"/>
      <c r="H233" s="606"/>
      <c r="I233" s="606"/>
      <c r="J233" s="606"/>
      <c r="K233" s="607"/>
      <c r="L233" s="28" t="str">
        <f>IF(AND($E$232=TRUE,E233&lt;&gt;""),"OK",IF(AND($E$232=TRUE,G233=""),"MISSING VALUE",""))</f>
        <v>OK</v>
      </c>
    </row>
    <row r="234" spans="1:13" x14ac:dyDescent="0.25">
      <c r="A234" s="391" t="s">
        <v>4786</v>
      </c>
      <c r="B234" s="391" t="s">
        <v>4789</v>
      </c>
      <c r="C234" s="548" t="s">
        <v>29</v>
      </c>
      <c r="D234" s="548"/>
      <c r="E234" s="605" t="s">
        <v>4822</v>
      </c>
      <c r="F234" s="606"/>
      <c r="G234" s="606"/>
      <c r="H234" s="606"/>
      <c r="I234" s="606"/>
      <c r="J234" s="606"/>
      <c r="K234" s="607"/>
      <c r="L234" s="28" t="str">
        <f t="shared" ref="L234:L235" si="7">IF(AND($E$232=TRUE,E234&lt;&gt;""),"OK",IF(AND($E$232=TRUE,G234=""),"MISSING VALUE",""))</f>
        <v>OK</v>
      </c>
    </row>
    <row r="235" spans="1:13" x14ac:dyDescent="0.25">
      <c r="A235" s="391" t="s">
        <v>4787</v>
      </c>
      <c r="B235" s="391" t="s">
        <v>4789</v>
      </c>
      <c r="C235" s="548" t="s">
        <v>30</v>
      </c>
      <c r="D235" s="548"/>
      <c r="E235" s="605" t="s">
        <v>4822</v>
      </c>
      <c r="F235" s="606"/>
      <c r="G235" s="606"/>
      <c r="H235" s="606"/>
      <c r="I235" s="606"/>
      <c r="J235" s="606"/>
      <c r="K235" s="607"/>
      <c r="L235" s="28" t="str">
        <f t="shared" si="7"/>
        <v>OK</v>
      </c>
    </row>
    <row r="236" spans="1:13" x14ac:dyDescent="0.25">
      <c r="A236" s="391" t="s">
        <v>4788</v>
      </c>
      <c r="B236" s="391" t="s">
        <v>4789</v>
      </c>
      <c r="C236" s="548" t="s">
        <v>4585</v>
      </c>
      <c r="D236" s="548"/>
      <c r="E236" s="685" t="s">
        <v>3622</v>
      </c>
      <c r="F236" s="743"/>
      <c r="G236" s="743"/>
      <c r="H236" s="743"/>
      <c r="I236" s="743"/>
      <c r="J236" s="743"/>
      <c r="K236" s="744"/>
      <c r="L236" s="28" t="str">
        <f>IF(AND($E$232=TRUE,E236&lt;&gt;""),"OK",IF(AND($E$232=TRUE,G236=""),"MISSING VALUE",""))</f>
        <v>OK</v>
      </c>
    </row>
    <row r="237" spans="1:13" ht="15.75" thickBot="1" x14ac:dyDescent="0.3">
      <c r="A237" s="391">
        <v>58</v>
      </c>
      <c r="B237" s="391" t="s">
        <v>4789</v>
      </c>
      <c r="C237" s="505" t="s">
        <v>4008</v>
      </c>
      <c r="D237" s="505"/>
      <c r="E237" s="608" t="s">
        <v>4822</v>
      </c>
      <c r="F237" s="609"/>
      <c r="G237" s="609"/>
      <c r="H237" s="609"/>
      <c r="I237" s="609"/>
      <c r="J237" s="609"/>
      <c r="K237" s="610"/>
      <c r="L237" s="28" t="str">
        <f>IF(AND($E$232=TRUE,E237&lt;&gt;""),"OK","")</f>
        <v>OK</v>
      </c>
    </row>
    <row r="238" spans="1:13" ht="15.75" thickBot="1" x14ac:dyDescent="0.3"/>
    <row r="239" spans="1:13" x14ac:dyDescent="0.25">
      <c r="C239" s="495" t="str">
        <f xml:space="preserve"> "Disclosure of any other environmental and/or entity specific enviromental disclosures " &amp; template_reporting_period_display &amp; " [May (optional)] "</f>
        <v xml:space="preserve">Disclosure of any other environmental and/or entity specific enviromental disclosures from 01/01/2024 to 31/12/2024 [May (optional)] </v>
      </c>
      <c r="D239" s="496"/>
      <c r="E239" s="496"/>
      <c r="F239" s="496"/>
      <c r="G239" s="496"/>
      <c r="H239" s="496"/>
      <c r="I239" s="496"/>
      <c r="J239" s="496"/>
      <c r="K239" s="496"/>
      <c r="L239" s="497"/>
    </row>
    <row r="240" spans="1:13" x14ac:dyDescent="0.25">
      <c r="C240" s="472">
        <v>10</v>
      </c>
      <c r="D240" s="473"/>
      <c r="E240" s="473"/>
      <c r="F240" s="473"/>
      <c r="G240" s="473"/>
      <c r="H240" s="473"/>
      <c r="I240" s="473"/>
      <c r="J240" s="473"/>
      <c r="K240" s="473"/>
      <c r="L240" s="474"/>
      <c r="M240" s="14"/>
    </row>
    <row r="241" spans="3:13" ht="15.75" thickBot="1" x14ac:dyDescent="0.3">
      <c r="C241" s="489" t="s">
        <v>4822</v>
      </c>
      <c r="D241" s="490"/>
      <c r="E241" s="490"/>
      <c r="F241" s="490"/>
      <c r="G241" s="490"/>
      <c r="H241" s="490"/>
      <c r="I241" s="490"/>
      <c r="J241" s="490"/>
      <c r="K241" s="490"/>
      <c r="L241" s="490"/>
      <c r="M241" s="154" t="str">
        <f>IF(C241&lt;&gt;"", "OK", "")</f>
        <v>OK</v>
      </c>
    </row>
  </sheetData>
  <sheetProtection formatColumns="0" formatRows="0" insertRows="0"/>
  <mergeCells count="395">
    <mergeCell ref="D227:F227"/>
    <mergeCell ref="G224:I224"/>
    <mergeCell ref="G226:I226"/>
    <mergeCell ref="G227:I227"/>
    <mergeCell ref="G225:I225"/>
    <mergeCell ref="J206:L206"/>
    <mergeCell ref="J205:L205"/>
    <mergeCell ref="G205:I205"/>
    <mergeCell ref="G206:I206"/>
    <mergeCell ref="D223:F223"/>
    <mergeCell ref="G223:I223"/>
    <mergeCell ref="D224:F224"/>
    <mergeCell ref="C210:J210"/>
    <mergeCell ref="C208:J208"/>
    <mergeCell ref="C209:J209"/>
    <mergeCell ref="C211:F211"/>
    <mergeCell ref="G211:J211"/>
    <mergeCell ref="D206:F206"/>
    <mergeCell ref="D212:F212"/>
    <mergeCell ref="D213:F213"/>
    <mergeCell ref="D214:F214"/>
    <mergeCell ref="D215:F215"/>
    <mergeCell ref="D217:F217"/>
    <mergeCell ref="D225:F225"/>
    <mergeCell ref="G202:I202"/>
    <mergeCell ref="G203:I203"/>
    <mergeCell ref="G106:I106"/>
    <mergeCell ref="G114:I114"/>
    <mergeCell ref="G147:I147"/>
    <mergeCell ref="G148:I148"/>
    <mergeCell ref="G96:I96"/>
    <mergeCell ref="G139:I139"/>
    <mergeCell ref="G134:I134"/>
    <mergeCell ref="G135:I135"/>
    <mergeCell ref="G136:I136"/>
    <mergeCell ref="G137:I137"/>
    <mergeCell ref="G138:I138"/>
    <mergeCell ref="G140:I140"/>
    <mergeCell ref="G141:I141"/>
    <mergeCell ref="G142:I142"/>
    <mergeCell ref="G143:I143"/>
    <mergeCell ref="G191:I191"/>
    <mergeCell ref="G192:I192"/>
    <mergeCell ref="G193:I193"/>
    <mergeCell ref="G101:I101"/>
    <mergeCell ref="G158:G161"/>
    <mergeCell ref="D201:F201"/>
    <mergeCell ref="G97:I97"/>
    <mergeCell ref="D93:F93"/>
    <mergeCell ref="D132:F132"/>
    <mergeCell ref="D159:F159"/>
    <mergeCell ref="D160:F160"/>
    <mergeCell ref="D161:F161"/>
    <mergeCell ref="D145:F145"/>
    <mergeCell ref="D146:F146"/>
    <mergeCell ref="D157:F157"/>
    <mergeCell ref="D136:F136"/>
    <mergeCell ref="D137:F137"/>
    <mergeCell ref="D138:F138"/>
    <mergeCell ref="D139:F139"/>
    <mergeCell ref="D158:F158"/>
    <mergeCell ref="C154:F154"/>
    <mergeCell ref="G201:I201"/>
    <mergeCell ref="G149:I149"/>
    <mergeCell ref="D193:F193"/>
    <mergeCell ref="D191:F191"/>
    <mergeCell ref="D198:F198"/>
    <mergeCell ref="H180:I180"/>
    <mergeCell ref="D141:F141"/>
    <mergeCell ref="D142:F142"/>
    <mergeCell ref="G39:I39"/>
    <mergeCell ref="G40:I40"/>
    <mergeCell ref="G41:I41"/>
    <mergeCell ref="G42:I42"/>
    <mergeCell ref="G43:I43"/>
    <mergeCell ref="G44:I44"/>
    <mergeCell ref="L30:L44"/>
    <mergeCell ref="D202:F202"/>
    <mergeCell ref="D203:F203"/>
    <mergeCell ref="C71:F71"/>
    <mergeCell ref="G113:I113"/>
    <mergeCell ref="G102:I102"/>
    <mergeCell ref="G129:I129"/>
    <mergeCell ref="C123:K123"/>
    <mergeCell ref="C119:K119"/>
    <mergeCell ref="C122:K122"/>
    <mergeCell ref="H179:I179"/>
    <mergeCell ref="C183:L183"/>
    <mergeCell ref="C184:L184"/>
    <mergeCell ref="G198:I198"/>
    <mergeCell ref="G199:I199"/>
    <mergeCell ref="D195:F195"/>
    <mergeCell ref="D196:F196"/>
    <mergeCell ref="D199:F199"/>
    <mergeCell ref="D204:F204"/>
    <mergeCell ref="D205:F205"/>
    <mergeCell ref="D192:F192"/>
    <mergeCell ref="D190:F190"/>
    <mergeCell ref="G187:I187"/>
    <mergeCell ref="G98:I98"/>
    <mergeCell ref="G99:I99"/>
    <mergeCell ref="G100:I100"/>
    <mergeCell ref="D124:F124"/>
    <mergeCell ref="G116:I116"/>
    <mergeCell ref="G107:I107"/>
    <mergeCell ref="G108:I108"/>
    <mergeCell ref="G109:I109"/>
    <mergeCell ref="G110:I110"/>
    <mergeCell ref="G111:I111"/>
    <mergeCell ref="G103:I103"/>
    <mergeCell ref="G104:I104"/>
    <mergeCell ref="G204:I204"/>
    <mergeCell ref="G188:I188"/>
    <mergeCell ref="G189:I189"/>
    <mergeCell ref="G190:I190"/>
    <mergeCell ref="C121:F121"/>
    <mergeCell ref="G121:K121"/>
    <mergeCell ref="G112:I112"/>
    <mergeCell ref="J201:L201"/>
    <mergeCell ref="J202:L202"/>
    <mergeCell ref="J203:L203"/>
    <mergeCell ref="J204:L204"/>
    <mergeCell ref="C201:C206"/>
    <mergeCell ref="C7:K7"/>
    <mergeCell ref="C8:K8"/>
    <mergeCell ref="C9:K9"/>
    <mergeCell ref="D200:F200"/>
    <mergeCell ref="G194:I194"/>
    <mergeCell ref="G195:I195"/>
    <mergeCell ref="G196:I196"/>
    <mergeCell ref="G197:I197"/>
    <mergeCell ref="D147:F147"/>
    <mergeCell ref="D148:F148"/>
    <mergeCell ref="D149:F149"/>
    <mergeCell ref="D187:F187"/>
    <mergeCell ref="D188:F188"/>
    <mergeCell ref="G200:I200"/>
    <mergeCell ref="D185:F185"/>
    <mergeCell ref="D186:F186"/>
    <mergeCell ref="D189:F189"/>
    <mergeCell ref="G185:I185"/>
    <mergeCell ref="G186:I186"/>
    <mergeCell ref="G21:I21"/>
    <mergeCell ref="G22:I22"/>
    <mergeCell ref="G46:I46"/>
    <mergeCell ref="G94:I94"/>
    <mergeCell ref="G95:I95"/>
    <mergeCell ref="G82:I82"/>
    <mergeCell ref="G83:I83"/>
    <mergeCell ref="G84:I84"/>
    <mergeCell ref="G85:I85"/>
    <mergeCell ref="G86:I86"/>
    <mergeCell ref="G25:I25"/>
    <mergeCell ref="G26:I26"/>
    <mergeCell ref="G27:J27"/>
    <mergeCell ref="G23:I23"/>
    <mergeCell ref="G28:I28"/>
    <mergeCell ref="G45:I45"/>
    <mergeCell ref="G66:K66"/>
    <mergeCell ref="G73:K73"/>
    <mergeCell ref="G35:I35"/>
    <mergeCell ref="G36:I36"/>
    <mergeCell ref="G37:I37"/>
    <mergeCell ref="G38:I38"/>
    <mergeCell ref="G30:I30"/>
    <mergeCell ref="G31:I31"/>
    <mergeCell ref="G32:I32"/>
    <mergeCell ref="G33:I33"/>
    <mergeCell ref="G34:I34"/>
    <mergeCell ref="G24:I24"/>
    <mergeCell ref="D91:F91"/>
    <mergeCell ref="D92:F92"/>
    <mergeCell ref="G20:I20"/>
    <mergeCell ref="G87:I87"/>
    <mergeCell ref="G88:I88"/>
    <mergeCell ref="G89:I89"/>
    <mergeCell ref="G90:I90"/>
    <mergeCell ref="G91:I91"/>
    <mergeCell ref="G72:K72"/>
    <mergeCell ref="D76:F76"/>
    <mergeCell ref="G76:I76"/>
    <mergeCell ref="D46:F46"/>
    <mergeCell ref="D57:K57"/>
    <mergeCell ref="D58:K58"/>
    <mergeCell ref="C52:K52"/>
    <mergeCell ref="C50:K50"/>
    <mergeCell ref="C49:K49"/>
    <mergeCell ref="C68:K68"/>
    <mergeCell ref="G65:K65"/>
    <mergeCell ref="C73:F73"/>
    <mergeCell ref="D144:F144"/>
    <mergeCell ref="C69:K69"/>
    <mergeCell ref="C70:K70"/>
    <mergeCell ref="D47:F47"/>
    <mergeCell ref="G47:I47"/>
    <mergeCell ref="C64:F64"/>
    <mergeCell ref="G64:K64"/>
    <mergeCell ref="C74:K74"/>
    <mergeCell ref="C75:K75"/>
    <mergeCell ref="C72:F72"/>
    <mergeCell ref="D59:K59"/>
    <mergeCell ref="C63:F63"/>
    <mergeCell ref="D99:F99"/>
    <mergeCell ref="D100:F100"/>
    <mergeCell ref="D101:F101"/>
    <mergeCell ref="D102:F102"/>
    <mergeCell ref="D130:F130"/>
    <mergeCell ref="D131:F131"/>
    <mergeCell ref="D84:F84"/>
    <mergeCell ref="D56:K56"/>
    <mergeCell ref="G71:K71"/>
    <mergeCell ref="D97:F97"/>
    <mergeCell ref="C155:F155"/>
    <mergeCell ref="C156:F156"/>
    <mergeCell ref="G144:I144"/>
    <mergeCell ref="G145:I145"/>
    <mergeCell ref="G146:I146"/>
    <mergeCell ref="D133:F133"/>
    <mergeCell ref="D134:F134"/>
    <mergeCell ref="D107:F107"/>
    <mergeCell ref="D116:F116"/>
    <mergeCell ref="C118:K118"/>
    <mergeCell ref="C120:K120"/>
    <mergeCell ref="G124:I124"/>
    <mergeCell ref="G125:I125"/>
    <mergeCell ref="G126:I126"/>
    <mergeCell ref="G127:I127"/>
    <mergeCell ref="G128:I128"/>
    <mergeCell ref="G130:I130"/>
    <mergeCell ref="G131:I131"/>
    <mergeCell ref="G132:I132"/>
    <mergeCell ref="G133:I133"/>
    <mergeCell ref="G115:I115"/>
    <mergeCell ref="C152:F152"/>
    <mergeCell ref="D140:F140"/>
    <mergeCell ref="D143:F143"/>
    <mergeCell ref="C241:L241"/>
    <mergeCell ref="C231:K231"/>
    <mergeCell ref="C239:L239"/>
    <mergeCell ref="E233:K233"/>
    <mergeCell ref="E234:K234"/>
    <mergeCell ref="E236:K236"/>
    <mergeCell ref="E235:K235"/>
    <mergeCell ref="E237:K237"/>
    <mergeCell ref="C236:D236"/>
    <mergeCell ref="C237:D237"/>
    <mergeCell ref="C233:D233"/>
    <mergeCell ref="C234:D234"/>
    <mergeCell ref="C235:D235"/>
    <mergeCell ref="C232:D232"/>
    <mergeCell ref="E232:K232"/>
    <mergeCell ref="D194:F194"/>
    <mergeCell ref="D197:F197"/>
    <mergeCell ref="C240:L240"/>
    <mergeCell ref="G229:I229"/>
    <mergeCell ref="G228:I228"/>
    <mergeCell ref="G212:I212"/>
    <mergeCell ref="C229:F229"/>
    <mergeCell ref="D222:F222"/>
    <mergeCell ref="D221:F221"/>
    <mergeCell ref="D220:F220"/>
    <mergeCell ref="D219:F219"/>
    <mergeCell ref="D218:F218"/>
    <mergeCell ref="C228:F228"/>
    <mergeCell ref="G213:I213"/>
    <mergeCell ref="G214:I214"/>
    <mergeCell ref="G215:I215"/>
    <mergeCell ref="G216:I216"/>
    <mergeCell ref="G217:I217"/>
    <mergeCell ref="G218:I218"/>
    <mergeCell ref="G219:I219"/>
    <mergeCell ref="G220:I220"/>
    <mergeCell ref="G221:I221"/>
    <mergeCell ref="G222:I222"/>
    <mergeCell ref="D216:F216"/>
    <mergeCell ref="D226:F226"/>
    <mergeCell ref="G29:K29"/>
    <mergeCell ref="E167:F167"/>
    <mergeCell ref="C176:G176"/>
    <mergeCell ref="C177:G177"/>
    <mergeCell ref="C178:G178"/>
    <mergeCell ref="C164:D164"/>
    <mergeCell ref="C165:D165"/>
    <mergeCell ref="C170:D170"/>
    <mergeCell ref="D88:F88"/>
    <mergeCell ref="D89:F89"/>
    <mergeCell ref="D125:F125"/>
    <mergeCell ref="D126:F126"/>
    <mergeCell ref="D103:F103"/>
    <mergeCell ref="D104:F104"/>
    <mergeCell ref="D105:F105"/>
    <mergeCell ref="D106:F106"/>
    <mergeCell ref="D90:F90"/>
    <mergeCell ref="D98:F98"/>
    <mergeCell ref="D95:F95"/>
    <mergeCell ref="D80:F80"/>
    <mergeCell ref="D81:F81"/>
    <mergeCell ref="D82:F82"/>
    <mergeCell ref="D83:F83"/>
    <mergeCell ref="C14:F14"/>
    <mergeCell ref="C19:F19"/>
    <mergeCell ref="C29:F29"/>
    <mergeCell ref="D20:F20"/>
    <mergeCell ref="D21:F21"/>
    <mergeCell ref="C65:F65"/>
    <mergeCell ref="C66:F66"/>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3:D163"/>
    <mergeCell ref="C169:D169"/>
    <mergeCell ref="C171:D171"/>
    <mergeCell ref="E173:F173"/>
    <mergeCell ref="C182:L182"/>
    <mergeCell ref="E166:F166"/>
    <mergeCell ref="D85:F85"/>
    <mergeCell ref="D86:F86"/>
    <mergeCell ref="D87:F87"/>
    <mergeCell ref="D96:F96"/>
    <mergeCell ref="D115:F115"/>
    <mergeCell ref="D114:F114"/>
    <mergeCell ref="D113:F113"/>
    <mergeCell ref="D112:F112"/>
    <mergeCell ref="D111:F111"/>
    <mergeCell ref="D179:G179"/>
    <mergeCell ref="D180:G180"/>
    <mergeCell ref="D110:F110"/>
    <mergeCell ref="D109:F109"/>
    <mergeCell ref="D108:F108"/>
    <mergeCell ref="D127:F127"/>
    <mergeCell ref="G150:I150"/>
    <mergeCell ref="D150:F150"/>
    <mergeCell ref="C153:F153"/>
    <mergeCell ref="C2:K2"/>
    <mergeCell ref="C4:K4"/>
    <mergeCell ref="C3:K3"/>
    <mergeCell ref="G63:K63"/>
    <mergeCell ref="C51:K51"/>
    <mergeCell ref="C62:K62"/>
    <mergeCell ref="C61:K61"/>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28:F128"/>
    <mergeCell ref="D129:F129"/>
    <mergeCell ref="D135:F135"/>
    <mergeCell ref="G77:I77"/>
    <mergeCell ref="G78:I78"/>
    <mergeCell ref="G105:I105"/>
    <mergeCell ref="G79:I79"/>
    <mergeCell ref="G80:I80"/>
    <mergeCell ref="G81:I81"/>
    <mergeCell ref="G92:I92"/>
    <mergeCell ref="G93:I93"/>
    <mergeCell ref="D77:F77"/>
    <mergeCell ref="D78:F78"/>
    <mergeCell ref="D79:F79"/>
    <mergeCell ref="D94:F94"/>
    <mergeCell ref="D30:F30"/>
    <mergeCell ref="D31:F31"/>
    <mergeCell ref="D32:F32"/>
    <mergeCell ref="D33:F33"/>
    <mergeCell ref="D34:F34"/>
  </mergeCells>
  <phoneticPr fontId="3" type="noConversion"/>
  <conditionalFormatting sqref="C52:K52">
    <cfRule type="expression" dxfId="294" priority="173">
      <formula>$J$19=TRUE</formula>
    </cfRule>
  </conditionalFormatting>
  <conditionalFormatting sqref="C75:K75">
    <cfRule type="expression" dxfId="293" priority="170">
      <formula>$G$71=TRUE</formula>
    </cfRule>
    <cfRule type="expression" dxfId="292" priority="158">
      <formula>$G$72=TRUE</formula>
    </cfRule>
    <cfRule type="expression" dxfId="291" priority="180">
      <formula>$G$72=TRUE</formula>
    </cfRule>
  </conditionalFormatting>
  <conditionalFormatting sqref="C123:K123 G150">
    <cfRule type="expression" dxfId="290" priority="168">
      <formula>$G$121=TRUE</formula>
    </cfRule>
  </conditionalFormatting>
  <conditionalFormatting sqref="D25:F26">
    <cfRule type="expression" dxfId="289" priority="3">
      <formula>$G$10=TRUE</formula>
    </cfRule>
  </conditionalFormatting>
  <conditionalFormatting sqref="D30:F44">
    <cfRule type="expression" dxfId="288" priority="43">
      <formula>$G$29=TRUE</formula>
    </cfRule>
  </conditionalFormatting>
  <conditionalFormatting sqref="D45:F47">
    <cfRule type="expression" dxfId="287" priority="41">
      <formula>$G$29=FALSE</formula>
    </cfRule>
  </conditionalFormatting>
  <conditionalFormatting sqref="D77:F116">
    <cfRule type="expression" dxfId="286" priority="31">
      <formula>$G$71=TRUE</formula>
    </cfRule>
    <cfRule type="expression" dxfId="285" priority="32">
      <formula>$G$72=TRUE</formula>
    </cfRule>
  </conditionalFormatting>
  <conditionalFormatting sqref="D125:F125">
    <cfRule type="expression" dxfId="284" priority="37">
      <formula>$D$125="VALUE INCONSISTENCY"</formula>
    </cfRule>
  </conditionalFormatting>
  <conditionalFormatting sqref="D126:F150">
    <cfRule type="expression" dxfId="283" priority="92">
      <formula>$D126="VALUE INCONSISTENCY"</formula>
    </cfRule>
  </conditionalFormatting>
  <conditionalFormatting sqref="D180:G180">
    <cfRule type="expression" dxfId="282" priority="202">
      <formula>$D$179="YES"</formula>
    </cfRule>
  </conditionalFormatting>
  <conditionalFormatting sqref="D22:I24">
    <cfRule type="expression" dxfId="281" priority="8">
      <formula>$G$10=TRUE</formula>
    </cfRule>
  </conditionalFormatting>
  <conditionalFormatting sqref="D77:I77 G78:I79 D78:F116">
    <cfRule type="expression" dxfId="280" priority="29">
      <formula>$G$72=TRUE</formula>
    </cfRule>
  </conditionalFormatting>
  <conditionalFormatting sqref="D213:J222 D223:D227">
    <cfRule type="expression" dxfId="279" priority="20">
      <formula>$G$211=TRUE</formula>
    </cfRule>
  </conditionalFormatting>
  <conditionalFormatting sqref="D58:K58">
    <cfRule type="expression" dxfId="278" priority="194">
      <formula>AND($D$56=TRUE,$D$57="A transition plan has already been adopted")</formula>
    </cfRule>
  </conditionalFormatting>
  <conditionalFormatting sqref="D59:K59">
    <cfRule type="expression" dxfId="277" priority="193">
      <formula>AND($D$56=TRUE,$D$57="Adoption of a transition plan is planned in the future")</formula>
    </cfRule>
  </conditionalFormatting>
  <conditionalFormatting sqref="E166:E167">
    <cfRule type="expression" dxfId="276" priority="233">
      <formula>$E166="MISSING VALUE"</formula>
    </cfRule>
    <cfRule type="expression" dxfId="275" priority="232">
      <formula>$E166="OK"</formula>
    </cfRule>
  </conditionalFormatting>
  <conditionalFormatting sqref="E173">
    <cfRule type="expression" dxfId="274" priority="208">
      <formula>$E$173="MISSING VALUE"</formula>
    </cfRule>
    <cfRule type="expression" dxfId="273" priority="209">
      <formula>$E$173="OK"</formula>
    </cfRule>
  </conditionalFormatting>
  <conditionalFormatting sqref="E233:K237">
    <cfRule type="expression" dxfId="272" priority="161">
      <formula>$E$232=TRUE</formula>
    </cfRule>
  </conditionalFormatting>
  <conditionalFormatting sqref="G73">
    <cfRule type="expression" dxfId="271" priority="185">
      <formula>$G$72=TRUE</formula>
    </cfRule>
  </conditionalFormatting>
  <conditionalFormatting sqref="G156:G158">
    <cfRule type="expression" dxfId="270" priority="155">
      <formula>$G156="MISSING VALUE"</formula>
    </cfRule>
    <cfRule type="expression" dxfId="269" priority="35">
      <formula>$G156="VALUE INCONSISTENCY"</formula>
    </cfRule>
    <cfRule type="expression" dxfId="268" priority="156">
      <formula>$G156="OK"</formula>
    </cfRule>
  </conditionalFormatting>
  <conditionalFormatting sqref="G223:G224 J223:J225 G226:J226 G227 J227">
    <cfRule type="expression" dxfId="267" priority="163">
      <formula>$G$211=TRUE</formula>
    </cfRule>
  </conditionalFormatting>
  <conditionalFormatting sqref="G14:I14">
    <cfRule type="expression" dxfId="266" priority="46">
      <formula>$G$10=FALSE</formula>
    </cfRule>
  </conditionalFormatting>
  <conditionalFormatting sqref="G45:I45">
    <cfRule type="expression" dxfId="265" priority="7">
      <formula>$G$29=FALSE</formula>
    </cfRule>
  </conditionalFormatting>
  <conditionalFormatting sqref="G77:I79">
    <cfRule type="expression" dxfId="264" priority="28">
      <formula>$G$71=TRUE</formula>
    </cfRule>
  </conditionalFormatting>
  <conditionalFormatting sqref="G225:I225">
    <cfRule type="expression" dxfId="263" priority="38">
      <formula>$G$211=TRUE</formula>
    </cfRule>
  </conditionalFormatting>
  <conditionalFormatting sqref="G229:I229">
    <cfRule type="expression" dxfId="262" priority="5">
      <formula>$G$211=TRUE</formula>
    </cfRule>
  </conditionalFormatting>
  <conditionalFormatting sqref="G12:J13">
    <cfRule type="expression" dxfId="261" priority="177">
      <formula>$G$10=TRUE</formula>
    </cfRule>
  </conditionalFormatting>
  <conditionalFormatting sqref="G21:J21 J22:J26">
    <cfRule type="expression" dxfId="260" priority="176">
      <formula>$J$19=TRUE</formula>
    </cfRule>
  </conditionalFormatting>
  <conditionalFormatting sqref="G30:J44">
    <cfRule type="expression" dxfId="259" priority="42">
      <formula>AND($G$29=TRUE,$J$19=TRUE)</formula>
    </cfRule>
  </conditionalFormatting>
  <conditionalFormatting sqref="G77:J79">
    <cfRule type="expression" dxfId="258" priority="26">
      <formula>$G$72=TRUE</formula>
    </cfRule>
  </conditionalFormatting>
  <conditionalFormatting sqref="G10:K10">
    <cfRule type="expression" dxfId="257" priority="178">
      <formula>$D$102="YES"</formula>
    </cfRule>
  </conditionalFormatting>
  <conditionalFormatting sqref="G63:K66">
    <cfRule type="expression" dxfId="256" priority="1">
      <formula>$G$29=FALSE</formula>
    </cfRule>
  </conditionalFormatting>
  <conditionalFormatting sqref="G72:K72">
    <cfRule type="expression" dxfId="255" priority="171">
      <formula>$G$71=TRUE</formula>
    </cfRule>
  </conditionalFormatting>
  <conditionalFormatting sqref="G80:K116">
    <cfRule type="expression" dxfId="254" priority="184">
      <formula>$G$72=TRUE</formula>
    </cfRule>
    <cfRule type="expression" dxfId="253" priority="172">
      <formula>$G$71=TRUE</formula>
    </cfRule>
    <cfRule type="expression" dxfId="252" priority="169">
      <formula>$G$72=TRUE</formula>
    </cfRule>
  </conditionalFormatting>
  <conditionalFormatting sqref="G125:K125 G126:I149 J126:K150">
    <cfRule type="expression" dxfId="251" priority="167">
      <formula>$G$121=TRUE</formula>
    </cfRule>
  </conditionalFormatting>
  <conditionalFormatting sqref="H179">
    <cfRule type="expression" dxfId="250" priority="204">
      <formula>$H$179="MISSING VALUE"</formula>
    </cfRule>
    <cfRule type="expression" dxfId="249" priority="203">
      <formula>$H$179="OK"</formula>
    </cfRule>
  </conditionalFormatting>
  <conditionalFormatting sqref="H180">
    <cfRule type="expression" dxfId="248" priority="201">
      <formula>$H$180="OK"</formula>
    </cfRule>
    <cfRule type="expression" dxfId="247" priority="200">
      <formula>$H$180="MISSING VALUE"</formula>
    </cfRule>
  </conditionalFormatting>
  <conditionalFormatting sqref="J14">
    <cfRule type="expression" dxfId="246" priority="17">
      <formula>$G$10=TRUE</formula>
    </cfRule>
  </conditionalFormatting>
  <conditionalFormatting sqref="J45 G46:J47">
    <cfRule type="expression" dxfId="245" priority="40">
      <formula>OR($J$19=FALSE,$G$29=FALSE)</formula>
    </cfRule>
  </conditionalFormatting>
  <conditionalFormatting sqref="J77:J79">
    <cfRule type="expression" dxfId="244" priority="25">
      <formula>$G$71=TRUE</formula>
    </cfRule>
  </conditionalFormatting>
  <conditionalFormatting sqref="J77:K79">
    <cfRule type="expression" dxfId="243" priority="23">
      <formula>$G$72=TRUE</formula>
    </cfRule>
  </conditionalFormatting>
  <conditionalFormatting sqref="K12:K14">
    <cfRule type="expression" dxfId="242" priority="14">
      <formula>$G$10=TRUE</formula>
    </cfRule>
  </conditionalFormatting>
  <conditionalFormatting sqref="K30:K47">
    <cfRule type="expression" dxfId="241" priority="39">
      <formula>OR($J$19=FALSE,$G$29=FALSE)</formula>
    </cfRule>
  </conditionalFormatting>
  <conditionalFormatting sqref="K77:K79">
    <cfRule type="expression" dxfId="240" priority="21">
      <formula>$G$72=TRUE</formula>
    </cfRule>
    <cfRule type="expression" dxfId="239" priority="22">
      <formula>$G$71=TRUE</formula>
    </cfRule>
  </conditionalFormatting>
  <conditionalFormatting sqref="K156:K157">
    <cfRule type="expression" dxfId="238" priority="243">
      <formula>$K$156="OK"</formula>
    </cfRule>
    <cfRule type="expression" dxfId="237" priority="249">
      <formula>$K$156="MISSING VALUE"</formula>
    </cfRule>
  </conditionalFormatting>
  <conditionalFormatting sqref="K158:K161 K163 K229">
    <cfRule type="expression" dxfId="236" priority="234">
      <formula>$K158="MISSING VALUE"</formula>
    </cfRule>
    <cfRule type="expression" dxfId="235" priority="235">
      <formula>$K158="OK"</formula>
    </cfRule>
  </conditionalFormatting>
  <conditionalFormatting sqref="K213:K227">
    <cfRule type="expression" dxfId="234" priority="247">
      <formula>$K213="MISSING VALUE"</formula>
    </cfRule>
    <cfRule type="expression" dxfId="233" priority="248">
      <formula>$K213="OK"</formula>
    </cfRule>
  </conditionalFormatting>
  <conditionalFormatting sqref="L5">
    <cfRule type="expression" dxfId="232" priority="207">
      <formula>$L$5="MISSING VALUE"</formula>
    </cfRule>
    <cfRule type="expression" dxfId="231" priority="205">
      <formula>$L$5= "OK"</formula>
    </cfRule>
  </conditionalFormatting>
  <conditionalFormatting sqref="L12">
    <cfRule type="expression" dxfId="230" priority="160">
      <formula>$L$12="MISSING VALUE"</formula>
    </cfRule>
    <cfRule type="expression" dxfId="229" priority="36">
      <formula>$L$12="VALUE INCONSISTENCY"</formula>
    </cfRule>
    <cfRule type="expression" dxfId="228" priority="230">
      <formula>$L12="OK"</formula>
    </cfRule>
  </conditionalFormatting>
  <conditionalFormatting sqref="L21">
    <cfRule type="expression" dxfId="227" priority="213">
      <formula>$L$21="OK"</formula>
    </cfRule>
    <cfRule type="expression" dxfId="226" priority="212">
      <formula>$L$21="MISSING VALUE"</formula>
    </cfRule>
  </conditionalFormatting>
  <conditionalFormatting sqref="L22">
    <cfRule type="expression" dxfId="225" priority="223">
      <formula>$L$22="OK"</formula>
    </cfRule>
  </conditionalFormatting>
  <conditionalFormatting sqref="L22:L24">
    <cfRule type="expression" dxfId="224" priority="217">
      <formula>$L22="MISSING VALUE"</formula>
    </cfRule>
  </conditionalFormatting>
  <conditionalFormatting sqref="L23:L24">
    <cfRule type="expression" dxfId="223" priority="218">
      <formula>$L23="OK"</formula>
    </cfRule>
  </conditionalFormatting>
  <conditionalFormatting sqref="L30:L44">
    <cfRule type="expression" dxfId="222" priority="44">
      <formula>$L$30="OK"</formula>
    </cfRule>
    <cfRule type="expression" dxfId="221" priority="45">
      <formula>$L$30="MISSING VALUE"</formula>
    </cfRule>
  </conditionalFormatting>
  <conditionalFormatting sqref="L45">
    <cfRule type="expression" dxfId="220" priority="396">
      <formula>$L$45="OK"</formula>
    </cfRule>
    <cfRule type="expression" dxfId="219" priority="395">
      <formula>$L$45="MISSING VALUE"</formula>
    </cfRule>
  </conditionalFormatting>
  <conditionalFormatting sqref="L52">
    <cfRule type="expression" dxfId="218" priority="246">
      <formula>$L$52="OK"</formula>
    </cfRule>
    <cfRule type="expression" dxfId="217" priority="159">
      <formula>$L$52="MISSING VALUE"</formula>
    </cfRule>
  </conditionalFormatting>
  <conditionalFormatting sqref="L56:L59">
    <cfRule type="expression" dxfId="216" priority="191">
      <formula>$L56="MISSING VALUE"</formula>
    </cfRule>
    <cfRule type="expression" dxfId="215" priority="192">
      <formula>$L56="OK"</formula>
    </cfRule>
    <cfRule type="expression" dxfId="214" priority="188">
      <formula>$L56="ERROR"</formula>
    </cfRule>
  </conditionalFormatting>
  <conditionalFormatting sqref="L59">
    <cfRule type="expression" dxfId="213" priority="244">
      <formula>$L$59="OK"</formula>
    </cfRule>
  </conditionalFormatting>
  <conditionalFormatting sqref="L71:L72">
    <cfRule type="expression" dxfId="212" priority="182">
      <formula>$L71="VALUE INCONSISTENCY"</formula>
    </cfRule>
  </conditionalFormatting>
  <conditionalFormatting sqref="L71:L73">
    <cfRule type="expression" dxfId="211" priority="183">
      <formula>$L71="OK"</formula>
    </cfRule>
  </conditionalFormatting>
  <conditionalFormatting sqref="L73">
    <cfRule type="expression" dxfId="210" priority="19">
      <formula>$L$73="INVALID URL"</formula>
    </cfRule>
    <cfRule type="expression" dxfId="209" priority="181">
      <formula>$L$73="MISSING VALUE"</formula>
    </cfRule>
  </conditionalFormatting>
  <conditionalFormatting sqref="L75">
    <cfRule type="expression" dxfId="208" priority="189">
      <formula>$L$75="OK"</formula>
    </cfRule>
    <cfRule type="expression" dxfId="207" priority="190">
      <formula>$L$75="MISSING VALUE"</formula>
    </cfRule>
    <cfRule type="expression" dxfId="206" priority="18">
      <formula>$L$75="VALUE INCONSISTENCY"</formula>
    </cfRule>
  </conditionalFormatting>
  <conditionalFormatting sqref="L77:L116">
    <cfRule type="expression" dxfId="205" priority="34">
      <formula>$L77="VALUE INCONSISTENCY"</formula>
    </cfRule>
    <cfRule type="expression" dxfId="204" priority="187">
      <formula>$L77="OK"</formula>
    </cfRule>
    <cfRule type="expression" dxfId="203" priority="186">
      <formula>$L77="MISSING VALUE"</formula>
    </cfRule>
  </conditionalFormatting>
  <conditionalFormatting sqref="L123">
    <cfRule type="expression" dxfId="202" priority="198">
      <formula>$L$123="MISSING VALUE"</formula>
    </cfRule>
    <cfRule type="expression" dxfId="201" priority="197">
      <formula>$L$123="OK"</formula>
    </cfRule>
  </conditionalFormatting>
  <conditionalFormatting sqref="L125">
    <cfRule type="expression" dxfId="200" priority="96">
      <formula>$D$125="VALUE INCONSISTENCY"</formula>
    </cfRule>
  </conditionalFormatting>
  <conditionalFormatting sqref="L125:L150">
    <cfRule type="expression" dxfId="199" priority="251">
      <formula>$L125="OK"</formula>
    </cfRule>
    <cfRule type="expression" dxfId="198" priority="250">
      <formula>$L125="MISSING VALUE"</formula>
    </cfRule>
    <cfRule type="expression" dxfId="197" priority="199">
      <formula>$L125="VALUE INCONSISTENCY"</formula>
    </cfRule>
  </conditionalFormatting>
  <conditionalFormatting sqref="L126">
    <cfRule type="expression" dxfId="196" priority="95">
      <formula>$D$126="VALUE INCONSISTENCY"</formula>
    </cfRule>
  </conditionalFormatting>
  <conditionalFormatting sqref="L127">
    <cfRule type="expression" dxfId="195" priority="94">
      <formula>$D$127="VALUE INCONSISTENCY"</formula>
    </cfRule>
  </conditionalFormatting>
  <conditionalFormatting sqref="L128">
    <cfRule type="expression" dxfId="194" priority="97">
      <formula>$D$128="VALUE INCONSISTENCY"</formula>
    </cfRule>
  </conditionalFormatting>
  <conditionalFormatting sqref="L129">
    <cfRule type="expression" dxfId="193" priority="93">
      <formula>$D$129="VALUE INCONSISTENCY"</formula>
    </cfRule>
  </conditionalFormatting>
  <conditionalFormatting sqref="L130">
    <cfRule type="expression" dxfId="192" priority="68">
      <formula>$D$130="VALUE INCONSISTENCY"</formula>
    </cfRule>
  </conditionalFormatting>
  <conditionalFormatting sqref="L131">
    <cfRule type="expression" dxfId="191" priority="67">
      <formula>$D$131="VALUE INCONSISTENCY"</formula>
    </cfRule>
  </conditionalFormatting>
  <conditionalFormatting sqref="L132">
    <cfRule type="expression" dxfId="190" priority="66">
      <formula>$D$132="VALUE INCONSISTENCY"</formula>
    </cfRule>
  </conditionalFormatting>
  <conditionalFormatting sqref="L133">
    <cfRule type="expression" dxfId="189" priority="65">
      <formula>$D$133="VALUE INCONSISTENCY"</formula>
    </cfRule>
  </conditionalFormatting>
  <conditionalFormatting sqref="L134">
    <cfRule type="expression" dxfId="188" priority="64">
      <formula>$D$134="VALUE INCONSISTENCY"</formula>
    </cfRule>
  </conditionalFormatting>
  <conditionalFormatting sqref="L135">
    <cfRule type="expression" dxfId="187" priority="63">
      <formula>$D$135="VALUE INCONSISTENCY"</formula>
    </cfRule>
  </conditionalFormatting>
  <conditionalFormatting sqref="L136">
    <cfRule type="expression" dxfId="186" priority="62">
      <formula>$D$136="VALUE INCONSISTENCY"</formula>
    </cfRule>
  </conditionalFormatting>
  <conditionalFormatting sqref="L137">
    <cfRule type="expression" dxfId="185" priority="61">
      <formula>$D$137="VALUE INCONSISTENCY"</formula>
    </cfRule>
  </conditionalFormatting>
  <conditionalFormatting sqref="L138">
    <cfRule type="expression" dxfId="184" priority="60">
      <formula>$D$138="VALUE INCONSISTENCY"</formula>
    </cfRule>
  </conditionalFormatting>
  <conditionalFormatting sqref="L139">
    <cfRule type="expression" dxfId="183" priority="59">
      <formula>$D$139="VALUE INCONSISTENCY"</formula>
    </cfRule>
  </conditionalFormatting>
  <conditionalFormatting sqref="L140">
    <cfRule type="expression" dxfId="182" priority="58">
      <formula>$D$140="VALUE INCONSISTENCY"</formula>
    </cfRule>
  </conditionalFormatting>
  <conditionalFormatting sqref="L141">
    <cfRule type="expression" dxfId="181" priority="57">
      <formula>$D$141="VALUE INCONSISTENCY"</formula>
    </cfRule>
  </conditionalFormatting>
  <conditionalFormatting sqref="L142">
    <cfRule type="expression" dxfId="180" priority="56">
      <formula>$D$142="VALUE INCONSISTENCY"</formula>
    </cfRule>
  </conditionalFormatting>
  <conditionalFormatting sqref="L143">
    <cfRule type="expression" dxfId="179" priority="55">
      <formula>$D$143="VALUE INCONSISTENCY"</formula>
    </cfRule>
  </conditionalFormatting>
  <conditionalFormatting sqref="L144:L145">
    <cfRule type="expression" dxfId="178" priority="53">
      <formula>$D$144="VALUE INCONSISTENCY"</formula>
    </cfRule>
  </conditionalFormatting>
  <conditionalFormatting sqref="L146">
    <cfRule type="expression" dxfId="177" priority="52">
      <formula>$D$146="VALUE INCONSISTENCY"</formula>
    </cfRule>
  </conditionalFormatting>
  <conditionalFormatting sqref="L147">
    <cfRule type="expression" dxfId="176" priority="51">
      <formula>$D$147="VALUE INCONSISTENCY"</formula>
    </cfRule>
  </conditionalFormatting>
  <conditionalFormatting sqref="L148">
    <cfRule type="expression" dxfId="175" priority="50">
      <formula>$D$148="VALUE INCONSISTENCY"</formula>
    </cfRule>
  </conditionalFormatting>
  <conditionalFormatting sqref="L149">
    <cfRule type="expression" dxfId="174" priority="49">
      <formula>$D$149="VALUE INCONSISTENCY"</formula>
    </cfRule>
  </conditionalFormatting>
  <conditionalFormatting sqref="L150">
    <cfRule type="expression" dxfId="173" priority="48">
      <formula>$D$150="VALUE INCONSISTENCY"</formula>
    </cfRule>
  </conditionalFormatting>
  <conditionalFormatting sqref="L233:L237">
    <cfRule type="expression" dxfId="172" priority="157">
      <formula>$L233="MISSING VALUE"</formula>
    </cfRule>
    <cfRule type="expression" dxfId="171" priority="241">
      <formula>$L233="OK"</formula>
    </cfRule>
  </conditionalFormatting>
  <conditionalFormatting sqref="M186:M201">
    <cfRule type="expression" dxfId="170" priority="392">
      <formula>$M186="ERROR"</formula>
    </cfRule>
    <cfRule type="expression" dxfId="169" priority="393">
      <formula>$M186="MISSING VALUE"</formula>
    </cfRule>
    <cfRule type="expression" dxfId="168" priority="394">
      <formula>$M186="OK"</formula>
    </cfRule>
    <cfRule type="expression" dxfId="167" priority="33">
      <formula>$M186="VALUE INCONSISTENCY"</formula>
    </cfRule>
  </conditionalFormatting>
  <conditionalFormatting sqref="M241">
    <cfRule type="expression" dxfId="166" priority="240">
      <formula>$M$241="OK"</formula>
    </cfRule>
  </conditionalFormatting>
  <dataValidations count="48">
    <dataValidation allowBlank="1" showInputMessage="1" showErrorMessage="1" promptTitle="Warning (if applicable)" prompt="This disclosure is applicable only if the undertaking operates in a sector using significant material flows (for example manufacturing, construction, packaging or others)" sqref="D213" xr:uid="{74E116A8-96AB-4D55-AA52-798EB6714BBA}"/>
    <dataValidation type="list" allowBlank="1" showInputMessage="1" showErrorMessage="1" sqref="C123:K123 C156" xr:uid="{BB6E8662-F11B-4AE9-87E6-9BE13D672F35}">
      <formula1>enum_ListHectM2</formula1>
    </dataValidation>
    <dataValidation type="decimal" operator="equal" allowBlank="1" showInputMessage="1" showErrorMessage="1" sqref="G126:I150 C168:F168 D22:I24 D158:D161 G229:I229 G78:G116 H213:I222 G213:G224 G226:G227 H226:I226 J77:K116 J14:K14 G12:K13 J188:K200 D25:F26" xr:uid="{B2E4A370-DB82-466E-876C-1893EAE8311C}">
      <formula1>C12</formula1>
    </dataValidation>
    <dataValidation type="custom" allowBlank="1" showInputMessage="1" showErrorMessage="1" sqref="J229" xr:uid="{9A25A942-7E8A-485D-AD6A-07213E458997}">
      <formula1>"cubic meters (m³)"</formula1>
    </dataValidation>
    <dataValidation type="custom" allowBlank="1" showInputMessage="1" showErrorMessage="1" sqref="J228" xr:uid="{C124C33B-3343-4434-8B31-79431738737B}">
      <formula1>"kilograms (kg)"</formula1>
    </dataValidation>
    <dataValidation type="custom" showInputMessage="1" showErrorMessage="1" sqref="E174:F174" xr:uid="{7F95C833-AC3F-43B8-85EA-74C2C9B45EAB}">
      <formula1>IF(E173&lt;&gt;"",$D$166-$D$173,"-")</formula1>
    </dataValidation>
    <dataValidation type="custom" showInputMessage="1" showErrorMessage="1" sqref="J158:J159" xr:uid="{B409784A-89F0-4AC8-80EC-F39FF2216546}">
      <formula1>IF(AND(D158&lt;&gt;"",G158&lt;&gt;""),(G158-D158)/D158,"-")</formula1>
    </dataValidation>
    <dataValidation type="custom" allowBlank="1" showInputMessage="1" showErrorMessage="1" sqref="J160" xr:uid="{D3095E8A-212A-48DF-93B7-E970D0CBD1A9}">
      <formula1>IF(AND(D160&lt;&gt;"",G160&lt;&gt;""),(G160-D160)/D160,"-")</formula1>
    </dataValidation>
    <dataValidation type="custom" showInputMessage="1" showErrorMessage="1" sqref="J161" xr:uid="{2206BA3F-BFEC-4140-822A-A9D776739A86}">
      <formula1>IF(AND(D161&lt;&gt;"",G161&lt;&gt;""),(G161-D161)/D161,"0,00")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decimal" operator="equal" showInputMessage="1" showErrorMessage="1" sqref="G125:I125" xr:uid="{D0DDB1C9-A6DF-417E-95CC-00F6AC02DF64}">
      <formula1>G125</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79:G179"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5"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greaterThanOrEqual" allowBlank="1" showInputMessage="1" showErrorMessage="1" sqref="D166:D167 D173:D174" xr:uid="{9D83E98F-5DAC-4E06-8F35-7C9E1FB185F5}">
      <formula1>D167</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3:K235 E237:K237"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3:J227"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77" xr:uid="{456B7187-DB07-4148-A254-46979D193094}">
      <formula1>G77</formula1>
    </dataValidation>
    <dataValidation type="list" allowBlank="1" showInputMessage="1" showErrorMessage="1" sqref="C75:K75 G201:I201"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6:F200" xr:uid="{86ED8F12-3B15-41F8-A482-BBF69AEAD6D3}">
      <formula1>enum_ListTypeOfWastes</formula1>
    </dataValidation>
    <dataValidation type="list" allowBlank="1" showInputMessage="1" showErrorMessage="1" sqref="G186:I200" xr:uid="{468FA835-924F-4099-92AB-F4A9369DDA2E}">
      <formula1>enum_ListUnitMeasurement</formula1>
    </dataValidation>
    <dataValidation type="custom" showInputMessage="1" showErrorMessage="1" sqref="G10:K10 G29 J19 G72:K72 D56:K56 G121:K121 G211:J211 E232:K232 D172"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3:F63 C65:F65" xr:uid="{3D30DB62-CBD1-4832-B529-C45860071600}"/>
    <dataValidation allowBlank="1" showInputMessage="1" showErrorMessage="1" promptTitle="GHG intensity market based" prompt="total GHG emissions market based / turnover" sqref="C64:F64 C66:F66" xr:uid="{6C5EBFD2-F3E6-457C-89FE-287DD4F6CFBB}"/>
    <dataValidation allowBlank="1" showInputMessage="1" showErrorMessage="1" promptTitle="Formula" prompt="Water consumption = Water withdrawal - Water discharge from undertaking production processes" sqref="C174"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6" xr:uid="{56611176-B94D-46AB-9FE2-3BBE997D250F}">
      <formula1>G22</formula1>
    </dataValidation>
    <dataValidation type="custom" showInputMessage="1" showErrorMessage="1" sqref="G25:I25" xr:uid="{872D81DA-BAD6-4809-89DD-0C9EF998EEDF}">
      <formula1>IF(AND(G22="",G23=""),"-",SUM(G22,G23))</formula1>
    </dataValidation>
    <dataValidation type="custom" showInputMessage="1" showErrorMessage="1" sqref="G26:I26" xr:uid="{7A443401-04C0-405E-8E6F-6079A18DA311}">
      <formula1>IF(OR(G22="",G24=""),"-",SUM(G22,G24))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6:K236"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5:C150"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G47:I47" xr:uid="{443D66CF-8E63-4B55-B617-CE7E757BCE86}">
      <formula1>IF(G29=FALSE, "-", IF(AND(G22="", G24="", G45=""), "-", IF(SUM(G22, G24, G45)=0, "-", SUM(G22, G24, G45))))</formula1>
    </dataValidation>
    <dataValidation type="custom" showInputMessage="1" showErrorMessage="1" sqref="J46:J47" xr:uid="{E43EE622-6D1B-413F-AB34-081C8173F6D4}">
      <formula1>IF(G29=FALSE, "-", IF(AND(J22="", J23="", J45=""), "-", IF(SUM(J22, J23, J45)=0, "-", SUM(J22, J23, J45))))</formula1>
    </dataValidation>
    <dataValidation type="decimal" operator="equal" allowBlank="1" showInputMessage="1" showErrorMessage="1" prompt="If no waste is diverted to recycle or reuse, please insert the value &quot;0&quot;." sqref="J186:J187" xr:uid="{37F9C07D-2A38-4B8B-A4A5-C6129B6AD9F1}">
      <formula1>J186</formula1>
    </dataValidation>
    <dataValidation type="decimal" operator="equal" allowBlank="1" showInputMessage="1" showErrorMessage="1" prompt="If no waste is diverted to disposal, please insert the value &quot;0&quot;." sqref="K186:K187" xr:uid="{745EB077-1D9D-40A6-9DDA-30809CF3F70C}">
      <formula1>K186</formula1>
    </dataValidation>
    <dataValidation type="custom" showInputMessage="1" showErrorMessage="1" sqref="J126:J150" xr:uid="{59814BE8-8296-41E6-93BC-6FEFD17DA5F5}">
      <formula1>IF(K126=TRUE,FALSE,TRUE)</formula1>
    </dataValidation>
    <dataValidation type="custom" showInputMessage="1" showErrorMessage="1" sqref="K126:K150" xr:uid="{88A1E46D-E83C-4E9F-A0DE-55C292A1A46D}">
      <formula1>IF(J126=TRUE,FALSE,TRUE)</formula1>
    </dataValidation>
    <dataValidation type="custom" allowBlank="1" showInputMessage="1" showErrorMessage="1" sqref="G71:K71" xr:uid="{6E2338D0-2F0D-4D0A-B4CA-1A58E7B2BF06}">
      <formula1>OR(G71=TRUE,G71=FALSE)</formula1>
    </dataValidation>
    <dataValidation type="list" allowBlank="1" showInputMessage="1" showErrorMessage="1" sqref="D77:F116" xr:uid="{F72FC679-E517-46A1-8346-75FC58B90566}">
      <formula1>enum_ListPollutants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69" r:id="rId10" location="id-74" display="https://xbrl.efrag.org/e-esrs/2024-12-17-efrag-vsme.xhtml - id-74" xr:uid="{54D7F3A9-797B-42E9-80BE-327193BDEABC}"/>
    <hyperlink ref="C70" r:id="rId11" location="id-236" xr:uid="{190D4415-42A4-4D43-B287-B72DD914B8A3}"/>
    <hyperlink ref="C153" r:id="rId12" location="id-76" display="https://xbrl.efrag.org/e-esrs/2024-12-17-efrag-vsme.xhtml - id-76" xr:uid="{2B618F2F-2DC0-4B63-9CF0-7E12FA147AFC}"/>
    <hyperlink ref="C177" r:id="rId13" location="id-83" display="https://xbrl.efrag.org/e-esrs/2024-12-17-efrag-vsme.xhtml - id-83" xr:uid="{323BFE79-70EB-4CE2-B9C3-91002A40B67F}"/>
    <hyperlink ref="C183" r:id="rId14" location="id-85" xr:uid="{34774E4F-7D92-4F86-BA01-3E69B542A9F0}"/>
    <hyperlink ref="C154" r:id="rId15" location="id-264" xr:uid="{DE71F164-3008-4FB9-8EB2-54AB4ECA1636}"/>
    <hyperlink ref="C178" r:id="rId16" location="id-290" display="https://xbrl.efrag.org/e-esrs/2024-12-17-efrag-vsme.xhtml - id-290" xr:uid="{4787EE6B-65DD-4D37-9003-F57D95D7C3E3}"/>
    <hyperlink ref="C184" r:id="rId17" location="id-291" xr:uid="{303B2981-FEC6-4744-9300-EA413929D31B}"/>
    <hyperlink ref="A233" r:id="rId18" location="id-125" xr:uid="{CE1E6101-0E49-497A-B96E-9AA552B3DA6C}"/>
    <hyperlink ref="A234" r:id="rId19" location="id-126" xr:uid="{D6097D81-5D35-4F54-B57E-EE02A65BAB6D}"/>
    <hyperlink ref="A235" r:id="rId20" location="id-127" xr:uid="{7D374740-6DC7-48F4-A99B-089AC209753B}"/>
    <hyperlink ref="A236" r:id="rId21" location="id-128" xr:uid="{150D4BD8-5DE5-4581-8DAE-4C82C7A62056}"/>
    <hyperlink ref="A237" r:id="rId22" location="id-129" display="https://xbrl.efrag.org/e-esrs/2024-12-17-efrag-vsme.xhtml - id-129" xr:uid="{EC797813-6429-4DF9-9AA7-E7EF9CEF1CEF}"/>
    <hyperlink ref="B233" r:id="rId23" location="id-412" xr:uid="{13F06C86-825D-430E-ABF7-7903D099B2C8}"/>
    <hyperlink ref="B234" r:id="rId24" location="id-412" xr:uid="{010447D3-AC5E-4B7E-8124-99EBFB24694A}"/>
    <hyperlink ref="B235" r:id="rId25" location="id-412" xr:uid="{1BF7775F-EE93-40E3-BE40-E7CB86B6E18B}"/>
    <hyperlink ref="B236" r:id="rId26" location="id-412" xr:uid="{ED989A51-4831-4C63-9583-1A2B7AE37E56}"/>
    <hyperlink ref="B237" r:id="rId27" location="id-412" xr:uid="{E6095D72-D3C5-48D2-B372-DE4F6E3A3DC8}"/>
    <hyperlink ref="K17" r:id="rId28" location="id-120" display="Paragraph 54(d) " xr:uid="{80C232F7-EF01-47F1-B37B-B9465DA971AE}"/>
    <hyperlink ref="C119" r:id="rId29" location="id-75" display="https://xbrl.efrag.org/e-esrs/2024-12-17-efrag-vsme.xhtml - id-75" xr:uid="{477C8E1D-8E11-49EC-A489-12E70C4FFE67}"/>
    <hyperlink ref="C120" r:id="rId30" location="id-260" xr:uid="{79B9B2C7-556F-4990-B4AB-2754EB7A61A1}"/>
    <hyperlink ref="C209" r:id="rId31" location="id-87" xr:uid="{6BE3DB22-1314-4A4E-8418-B1701C7E0A19}"/>
    <hyperlink ref="C210" r:id="rId32" location="id-353" xr:uid="{6218306B-0419-442B-876E-2B32619A0D96}"/>
    <hyperlink ref="C62" r:id="rId33" location="id-73" display="https://xbrl.efrag.org/e-esrs/2024-12-17-efrag-vsme.xhtml - id-73" xr:uid="{1F3ACB44-AE6B-4E80-908F-73BEA496FD95}"/>
    <hyperlink ref="C240" r:id="rId34" location="id-30" display="https://xbrl.efrag.org/e-esrs/2024-12-17-efrag-vsme.xhtml - id-30" xr:uid="{8191E0B1-15FD-4663-A70D-17A84E710C3E}"/>
    <hyperlink ref="C164" r:id="rId35" location="id-81" display="https://xbrl.efrag.org/e-esrs/2024-12-17-efrag-vsme.xhtml - id-81" xr:uid="{50BA1BA2-81A0-434C-BE2B-6B94DE19A97B}"/>
    <hyperlink ref="C165" r:id="rId36" location="id-287" xr:uid="{C3E10B43-4D88-4B0F-993A-7DC6D4C5CC2C}"/>
    <hyperlink ref="C170" r:id="rId37" location="id-81" display="35-36" xr:uid="{9EB17F31-FED5-4A9A-843D-A89DC4708454}"/>
    <hyperlink ref="C171" r:id="rId38" location="id-268" xr:uid="{62AC2A99-3F34-4CBE-BDAF-11563855801F}"/>
    <hyperlink ref="C14:D14" location="FUEL_CONVERTER" display="Fuels (see Fuel Converter on Fuels worksheet)" xr:uid="{B065C62B-6B2A-4586-BC2D-99B7781CBA16}"/>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B57:B59" r:id="rId49" location="id-408" display="224-227" xr:uid="{FF47B9E3-B7DD-40E3-8E3D-A54E002DBC43}"/>
    <hyperlink ref="A56" r:id="rId50" location="id-122" display="https://xbrl.efrag.org/e-esrs/2024-12-17-efrag-vsme.xhtml - id-122" xr:uid="{23B02246-8F88-4A95-9887-8E8471F2E145}"/>
    <hyperlink ref="B56" r:id="rId51" location="id-408" xr:uid="{9F22D8E3-2E8E-40D0-AC4E-03DD91E3F81F}"/>
    <hyperlink ref="C170:D170" r:id="rId52" location="id-82" display="https://xbrl.efrag.org/e-esrs/2024-12-17-efrag-vsme.xhtml - id-82" xr:uid="{08D12C5F-C868-4CDA-BEBA-B676529CB904}"/>
  </hyperlinks>
  <pageMargins left="0.7" right="0.7" top="0.75" bottom="0.75" header="0.3" footer="0.3"/>
  <pageSetup orientation="portrait" r:id="rId53"/>
  <drawing r:id="rId5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zoomScaleNormal="100" workbookViewId="0">
      <selection activeCell="M112" sqref="M112"/>
    </sheetView>
  </sheetViews>
  <sheetFormatPr defaultColWidth="8.85546875" defaultRowHeight="15" x14ac:dyDescent="0.25"/>
  <cols>
    <col min="1" max="2" width="10" style="16" bestFit="1" customWidth="1"/>
    <col min="3" max="3" width="70.28515625" style="16" customWidth="1"/>
    <col min="4" max="4" width="38.140625" style="16" customWidth="1"/>
    <col min="5" max="5" width="27.85546875" style="16" customWidth="1"/>
    <col min="6" max="7" width="8.85546875" style="16"/>
    <col min="8" max="9" width="21.28515625" style="16" bestFit="1" customWidth="1"/>
    <col min="10" max="16384" width="8.85546875" style="16"/>
  </cols>
  <sheetData>
    <row r="1" spans="1:8" ht="60.75" thickBot="1" x14ac:dyDescent="0.3">
      <c r="A1" s="406" t="s">
        <v>4749</v>
      </c>
      <c r="B1" s="406" t="s">
        <v>4748</v>
      </c>
    </row>
    <row r="2" spans="1:8" ht="15.75" thickBot="1" x14ac:dyDescent="0.3">
      <c r="C2" s="862" t="s">
        <v>4020</v>
      </c>
      <c r="D2" s="863"/>
      <c r="E2" s="864"/>
      <c r="F2" s="865" t="str">
        <f>IF('General Information'!$E$64="","-",'General Information'!$E$64)</f>
        <v>Headcount</v>
      </c>
      <c r="G2" s="865"/>
      <c r="H2" s="866"/>
    </row>
    <row r="3" spans="1:8" ht="15.75" thickBot="1" x14ac:dyDescent="0.3">
      <c r="C3" s="862" t="s">
        <v>4021</v>
      </c>
      <c r="D3" s="863"/>
      <c r="E3" s="864"/>
      <c r="F3" s="867" t="str">
        <f>IF('General Information'!$E$63="","-",'General Information'!$E$63)</f>
        <v>At the end of the reporting period</v>
      </c>
      <c r="G3" s="868"/>
      <c r="H3" s="869"/>
    </row>
    <row r="5" spans="1:8" ht="15.75" thickBot="1" x14ac:dyDescent="0.3"/>
    <row r="6" spans="1:8" x14ac:dyDescent="0.25">
      <c r="C6" s="559" t="str">
        <f xml:space="preserve"> "B8 – Workforce – General characteristics - Type of contract "  &amp; " [Always to be reported]"</f>
        <v>B8 – Workforce – General characteristics - Type of contract  [Always to be reported]</v>
      </c>
      <c r="D6" s="560"/>
      <c r="E6" s="560"/>
      <c r="F6" s="560"/>
      <c r="G6" s="561"/>
      <c r="H6"/>
    </row>
    <row r="7" spans="1:8" x14ac:dyDescent="0.25">
      <c r="C7" s="472" t="s">
        <v>4790</v>
      </c>
      <c r="D7" s="473"/>
      <c r="E7" s="473"/>
      <c r="F7" s="473"/>
      <c r="G7" s="474"/>
    </row>
    <row r="8" spans="1:8" x14ac:dyDescent="0.25">
      <c r="C8" s="585" t="s">
        <v>4791</v>
      </c>
      <c r="D8" s="877"/>
      <c r="E8" s="877"/>
      <c r="F8" s="877"/>
      <c r="G8" s="878"/>
    </row>
    <row r="9" spans="1:8" x14ac:dyDescent="0.25">
      <c r="C9" s="209" t="s">
        <v>32</v>
      </c>
      <c r="D9" s="879" t="s">
        <v>33</v>
      </c>
      <c r="E9" s="880"/>
      <c r="F9" s="880"/>
      <c r="G9" s="881"/>
      <c r="H9" s="210"/>
    </row>
    <row r="10" spans="1:8" x14ac:dyDescent="0.25">
      <c r="C10" s="211" t="s">
        <v>35</v>
      </c>
      <c r="D10" s="763">
        <v>10000</v>
      </c>
      <c r="E10" s="764"/>
      <c r="F10" s="764"/>
      <c r="G10" s="841"/>
      <c r="H10" s="26" t="str">
        <f>IF(AND(OR('General Information'!E32="Option A (Basic Module only)", 'General Information'!E32="Option B (Basic Module and Comprehensive Module)"),D10=""),"MISSING VALUE",IF('General Information'!E32="","","OK"))</f>
        <v>OK</v>
      </c>
    </row>
    <row r="11" spans="1:8" x14ac:dyDescent="0.25">
      <c r="C11" s="211" t="s">
        <v>34</v>
      </c>
      <c r="D11" s="882">
        <v>10000</v>
      </c>
      <c r="E11" s="883"/>
      <c r="F11" s="883"/>
      <c r="G11" s="884"/>
      <c r="H11" s="26"/>
    </row>
    <row r="12" spans="1:8" ht="15.75" thickBot="1" x14ac:dyDescent="0.3">
      <c r="C12" s="212" t="s">
        <v>3635</v>
      </c>
      <c r="D12" s="885">
        <v>10000</v>
      </c>
      <c r="E12" s="885"/>
      <c r="F12" s="885"/>
      <c r="G12" s="886"/>
      <c r="H12" s="29"/>
    </row>
    <row r="13" spans="1:8" ht="15.75" thickBot="1" x14ac:dyDescent="0.3"/>
    <row r="14" spans="1:8" x14ac:dyDescent="0.25">
      <c r="C14" s="559" t="str">
        <f xml:space="preserve"> "B8 – Workforce – General characteristics - Gender " &amp; " [Always to be reported]"</f>
        <v>B8 – Workforce – General characteristics - Gender  [Always to be reported]</v>
      </c>
      <c r="D14" s="560"/>
      <c r="E14" s="560"/>
      <c r="F14" s="560"/>
      <c r="G14" s="561"/>
      <c r="H14"/>
    </row>
    <row r="15" spans="1:8" x14ac:dyDescent="0.25">
      <c r="C15" s="472" t="s">
        <v>4792</v>
      </c>
      <c r="D15" s="473"/>
      <c r="E15" s="473"/>
      <c r="F15" s="473"/>
      <c r="G15" s="474"/>
    </row>
    <row r="16" spans="1:8" x14ac:dyDescent="0.25">
      <c r="C16" s="585" t="s">
        <v>4791</v>
      </c>
      <c r="D16" s="586"/>
      <c r="E16" s="586"/>
      <c r="F16" s="586"/>
      <c r="G16" s="587"/>
    </row>
    <row r="17" spans="3:9" x14ac:dyDescent="0.25">
      <c r="C17" s="213" t="s">
        <v>36</v>
      </c>
      <c r="D17" s="870" t="s">
        <v>33</v>
      </c>
      <c r="E17" s="871"/>
      <c r="F17" s="871"/>
      <c r="G17" s="872"/>
    </row>
    <row r="18" spans="3:9" x14ac:dyDescent="0.25">
      <c r="C18" s="214" t="s">
        <v>37</v>
      </c>
      <c r="D18" s="763">
        <v>10000</v>
      </c>
      <c r="E18" s="764"/>
      <c r="F18" s="764"/>
      <c r="G18" s="841"/>
      <c r="H18" s="873" t="str">
        <f>IF(OR('General Information'!E32="Option A (Basic Module only)", 'General Information'!E32="Option B (Basic Module and Comprehensive Module)"), IF(NumberOfMaleEmployees+NumberOfFemaleEmployees+NumberOfOtherGenderEmployees+NumberOfNonReportedGenderEmployees=D22, "OK", "MISSING VALUE"), "")</f>
        <v>MISSING VALUE</v>
      </c>
    </row>
    <row r="19" spans="3:9" x14ac:dyDescent="0.25">
      <c r="C19" s="214" t="s">
        <v>38</v>
      </c>
      <c r="D19" s="763">
        <v>10000</v>
      </c>
      <c r="E19" s="764"/>
      <c r="F19" s="764"/>
      <c r="G19" s="841"/>
      <c r="H19" s="873"/>
    </row>
    <row r="20" spans="3:9" x14ac:dyDescent="0.25">
      <c r="C20" s="214" t="s">
        <v>39</v>
      </c>
      <c r="D20" s="763">
        <v>10000</v>
      </c>
      <c r="E20" s="764"/>
      <c r="F20" s="764"/>
      <c r="G20" s="841"/>
      <c r="H20" s="873"/>
    </row>
    <row r="21" spans="3:9" x14ac:dyDescent="0.25">
      <c r="C21" s="214" t="s">
        <v>40</v>
      </c>
      <c r="D21" s="874">
        <v>10000</v>
      </c>
      <c r="E21" s="875"/>
      <c r="F21" s="875"/>
      <c r="G21" s="876"/>
      <c r="H21" s="873"/>
    </row>
    <row r="22" spans="3:9" ht="15.75" thickBot="1" x14ac:dyDescent="0.3">
      <c r="C22" s="212" t="s">
        <v>3635</v>
      </c>
      <c r="D22" s="885">
        <f>IF('General Information'!$E$62="","-",'General Information'!$E$62)</f>
        <v>10000</v>
      </c>
      <c r="E22" s="885"/>
      <c r="F22" s="885"/>
      <c r="G22" s="886"/>
      <c r="H22" s="30"/>
    </row>
    <row r="23" spans="3:9" ht="15.75" thickBot="1" x14ac:dyDescent="0.3"/>
    <row r="24" spans="3:9" x14ac:dyDescent="0.25">
      <c r="C24" s="890" t="str">
        <f xml:space="preserve"> "B8 – Workforce – General characteristics - Country of employment " &amp; " [If applicable]"</f>
        <v>B8 – Workforce – General characteristics - Country of employment  [If applicable]</v>
      </c>
      <c r="D24" s="891"/>
      <c r="E24" s="891"/>
      <c r="F24" s="891"/>
      <c r="G24" s="891"/>
      <c r="H24" s="892"/>
    </row>
    <row r="25" spans="3:9" x14ac:dyDescent="0.25">
      <c r="C25" s="649" t="s">
        <v>4793</v>
      </c>
      <c r="D25" s="650"/>
      <c r="E25" s="650"/>
      <c r="F25" s="650"/>
      <c r="G25" s="650"/>
      <c r="H25" s="651"/>
    </row>
    <row r="26" spans="3:9" x14ac:dyDescent="0.25">
      <c r="C26" s="673" t="s">
        <v>4791</v>
      </c>
      <c r="D26" s="674"/>
      <c r="E26" s="674"/>
      <c r="F26" s="674"/>
      <c r="G26" s="674"/>
      <c r="H26" s="724"/>
    </row>
    <row r="27" spans="3:9" x14ac:dyDescent="0.25">
      <c r="C27" s="749" t="s">
        <v>41</v>
      </c>
      <c r="D27" s="893"/>
      <c r="E27" s="894" t="s">
        <v>33</v>
      </c>
      <c r="F27" s="894"/>
      <c r="G27" s="894"/>
      <c r="H27" s="895"/>
    </row>
    <row r="28" spans="3:9" x14ac:dyDescent="0.25">
      <c r="C28" s="752" t="s">
        <v>58</v>
      </c>
      <c r="D28" s="887"/>
      <c r="E28" s="845">
        <v>10000</v>
      </c>
      <c r="F28" s="845"/>
      <c r="G28" s="845"/>
      <c r="H28" s="846"/>
      <c r="I28" s="26" t="str">
        <f>IF(AND(C28="", E28=""), "",
IF(AND(C28&lt;&gt;"", E28=""), "MISSING VALUE",
IF(AND(C28&lt;&gt;"", E28&lt;&gt;""),
   IF(COUNTIF($C$28:$C$37, C28) &gt; 1, "VALUE INCONSISTENCY", "OK"),
"MISSING VALUE")))</f>
        <v>OK</v>
      </c>
    </row>
    <row r="29" spans="3:9" x14ac:dyDescent="0.25">
      <c r="C29" s="752"/>
      <c r="D29" s="887"/>
      <c r="E29" s="888"/>
      <c r="F29" s="888"/>
      <c r="G29" s="888"/>
      <c r="H29" s="889"/>
      <c r="I29" s="26" t="str">
        <f t="shared" ref="I29:I37" si="0">IF(AND(C29="", E29=""), "",
IF(AND(C29&lt;&gt;"", E29=""), "MISSING VALUE",
IF(AND(C29&lt;&gt;"", E29&lt;&gt;""),
   IF(COUNTIF($C$28:$C$37, C29) &gt; 1, "VALUE INCONSISTENCY", "OK"),
"MISSING VALUE")))</f>
        <v/>
      </c>
    </row>
    <row r="30" spans="3:9" x14ac:dyDescent="0.25">
      <c r="C30" s="752"/>
      <c r="D30" s="887"/>
      <c r="E30" s="888"/>
      <c r="F30" s="888"/>
      <c r="G30" s="888"/>
      <c r="H30" s="889"/>
      <c r="I30" s="26" t="str">
        <f t="shared" si="0"/>
        <v/>
      </c>
    </row>
    <row r="31" spans="3:9" x14ac:dyDescent="0.25">
      <c r="C31" s="752"/>
      <c r="D31" s="887"/>
      <c r="E31" s="888"/>
      <c r="F31" s="888"/>
      <c r="G31" s="888"/>
      <c r="H31" s="889"/>
      <c r="I31" s="26" t="str">
        <f t="shared" si="0"/>
        <v/>
      </c>
    </row>
    <row r="32" spans="3:9" x14ac:dyDescent="0.25">
      <c r="C32" s="752"/>
      <c r="D32" s="887"/>
      <c r="E32" s="888"/>
      <c r="F32" s="888"/>
      <c r="G32" s="888"/>
      <c r="H32" s="889"/>
      <c r="I32" s="26" t="str">
        <f t="shared" si="0"/>
        <v/>
      </c>
    </row>
    <row r="33" spans="3:9" x14ac:dyDescent="0.25">
      <c r="C33" s="752"/>
      <c r="D33" s="887"/>
      <c r="E33" s="888"/>
      <c r="F33" s="888"/>
      <c r="G33" s="888"/>
      <c r="H33" s="889"/>
      <c r="I33" s="26" t="str">
        <f t="shared" si="0"/>
        <v/>
      </c>
    </row>
    <row r="34" spans="3:9" x14ac:dyDescent="0.25">
      <c r="C34" s="752"/>
      <c r="D34" s="887"/>
      <c r="E34" s="888"/>
      <c r="F34" s="888"/>
      <c r="G34" s="888"/>
      <c r="H34" s="889"/>
      <c r="I34" s="26" t="str">
        <f t="shared" si="0"/>
        <v/>
      </c>
    </row>
    <row r="35" spans="3:9" x14ac:dyDescent="0.25">
      <c r="C35" s="752"/>
      <c r="D35" s="887"/>
      <c r="E35" s="888"/>
      <c r="F35" s="888"/>
      <c r="G35" s="888"/>
      <c r="H35" s="889"/>
      <c r="I35" s="26" t="str">
        <f t="shared" si="0"/>
        <v/>
      </c>
    </row>
    <row r="36" spans="3:9" x14ac:dyDescent="0.25">
      <c r="C36" s="752"/>
      <c r="D36" s="887"/>
      <c r="E36" s="888"/>
      <c r="F36" s="888"/>
      <c r="G36" s="888"/>
      <c r="H36" s="889"/>
      <c r="I36" s="26" t="str">
        <f t="shared" si="0"/>
        <v/>
      </c>
    </row>
    <row r="37" spans="3:9" x14ac:dyDescent="0.25">
      <c r="C37" s="752"/>
      <c r="D37" s="887"/>
      <c r="E37" s="888"/>
      <c r="F37" s="888"/>
      <c r="G37" s="888"/>
      <c r="H37" s="889"/>
      <c r="I37" s="26" t="str">
        <f t="shared" si="0"/>
        <v/>
      </c>
    </row>
    <row r="38" spans="3:9" ht="15.75" thickBot="1" x14ac:dyDescent="0.3">
      <c r="C38" s="900" t="s">
        <v>3635</v>
      </c>
      <c r="D38" s="901"/>
      <c r="E38" s="902">
        <f>IF('General Information'!$E$62="","-",'General Information'!$E$62)</f>
        <v>10000</v>
      </c>
      <c r="F38" s="902"/>
      <c r="G38" s="902"/>
      <c r="H38" s="886"/>
      <c r="I38" s="26"/>
    </row>
    <row r="39" spans="3:9" ht="15.75" thickBot="1" x14ac:dyDescent="0.3"/>
    <row r="40" spans="3:9" x14ac:dyDescent="0.25">
      <c r="C40" s="890" t="str">
        <f xml:space="preserve"> "B8 – Workforce – General characteristics - Turnover rate " &amp; template_reporting_period_display &amp; " [If applicable]"</f>
        <v>B8 – Workforce – General characteristics - Turnover rate from 01/01/2024 to 31/12/2024 [If applicable]</v>
      </c>
      <c r="D40" s="891"/>
      <c r="E40" s="891"/>
      <c r="F40" s="891"/>
      <c r="G40" s="891"/>
      <c r="H40" s="892"/>
    </row>
    <row r="41" spans="3:9" x14ac:dyDescent="0.25">
      <c r="C41" s="472">
        <v>40</v>
      </c>
      <c r="D41" s="473"/>
      <c r="E41" s="473"/>
      <c r="F41" s="473"/>
      <c r="G41" s="473"/>
      <c r="H41" s="474"/>
    </row>
    <row r="42" spans="3:9" x14ac:dyDescent="0.25">
      <c r="C42" s="585">
        <v>183</v>
      </c>
      <c r="D42" s="586"/>
      <c r="E42" s="586"/>
      <c r="F42" s="586"/>
      <c r="G42" s="586"/>
      <c r="H42" s="587"/>
    </row>
    <row r="43" spans="3:9" x14ac:dyDescent="0.25">
      <c r="C43" s="215" t="s">
        <v>4025</v>
      </c>
      <c r="D43" s="896"/>
      <c r="E43" s="896"/>
      <c r="F43" s="896"/>
      <c r="G43" s="896"/>
      <c r="H43" s="897"/>
      <c r="I43" s="26" t="str">
        <f>IF(AND('General Information'!$E$62&lt;50, D43=""),"", IF(AND('General Information'!$E$62&lt;50, D43&lt;&gt;""),"OK", IF(AND('General Information'!$E$62&gt;=50, D43&lt;&gt;""),"OK", "MISSING VALUE")))</f>
        <v>MISSING VALUE</v>
      </c>
    </row>
    <row r="44" spans="3:9" x14ac:dyDescent="0.25">
      <c r="C44" s="215" t="s">
        <v>4026</v>
      </c>
      <c r="D44" s="896"/>
      <c r="E44" s="896"/>
      <c r="F44" s="896"/>
      <c r="G44" s="896"/>
      <c r="H44" s="897"/>
      <c r="I44" s="26" t="str">
        <f>IF(AND('General Information'!$E$62&lt;50, D44=""),"", IF(AND('General Information'!$E$62&lt;50, D44&lt;&gt;""),"OK", IF(AND('General Information'!$E$62&gt;=50, D44&lt;&gt;""),"OK", "MISSING VALUE")))</f>
        <v>MISSING VALUE</v>
      </c>
    </row>
    <row r="45" spans="3:9" x14ac:dyDescent="0.25">
      <c r="C45" s="215" t="s">
        <v>4027</v>
      </c>
      <c r="D45" s="896"/>
      <c r="E45" s="896"/>
      <c r="F45" s="896"/>
      <c r="G45" s="896"/>
      <c r="H45" s="897"/>
      <c r="I45" s="26" t="str">
        <f>IF(AND('General Information'!$E$62&lt;50, D45=""),"", IF(AND('General Information'!$E$62&lt;50, D45&lt;&gt;""),"OK", IF(AND('General Information'!$E$62&gt;=50, D45&lt;&gt;""),"OK", "MISSING VALUE")))</f>
        <v>MISSING VALUE</v>
      </c>
    </row>
    <row r="46" spans="3:9" ht="15.75" thickBot="1" x14ac:dyDescent="0.3">
      <c r="C46" s="150" t="s">
        <v>4489</v>
      </c>
      <c r="D46" s="898">
        <v>1</v>
      </c>
      <c r="E46" s="898"/>
      <c r="F46" s="898"/>
      <c r="G46" s="898"/>
      <c r="H46" s="899"/>
    </row>
    <row r="47" spans="3:9" ht="15.75" thickBot="1" x14ac:dyDescent="0.3"/>
    <row r="48" spans="3:9" ht="15.75" thickBot="1" x14ac:dyDescent="0.3">
      <c r="C48" s="590" t="str">
        <f xml:space="preserve"> "B9 – Workforce – Health and safety " &amp; template_reporting_period_display &amp; " [Always to be reported]"</f>
        <v>B9 – Workforce – Health and safety from 01/01/2024 to 31/12/2024 [Always to be reported]</v>
      </c>
      <c r="D48" s="591"/>
      <c r="E48" s="591"/>
      <c r="F48" s="591"/>
      <c r="G48" s="591"/>
      <c r="H48" s="592"/>
    </row>
    <row r="49" spans="1:9" x14ac:dyDescent="0.25">
      <c r="A49" s="391" t="s">
        <v>4794</v>
      </c>
      <c r="B49" s="396" t="s">
        <v>4796</v>
      </c>
      <c r="C49" s="294" t="s">
        <v>4028</v>
      </c>
      <c r="D49" s="919">
        <v>0</v>
      </c>
      <c r="E49" s="919"/>
      <c r="F49" s="919"/>
      <c r="G49" s="919"/>
      <c r="H49" s="920"/>
      <c r="I49" s="26" t="str">
        <f>IF(AND(OR('General Information'!E32="Option A (Basic Module only)", 'General Information'!E32="Option B (Basic Module and Comprehensive Module)"),NumberOfRecordableWorkRelatedAccidentsInTheReportingPeriod=""),"MISSING VALUE",IF('General Information'!E32="","","OK"))</f>
        <v>OK</v>
      </c>
    </row>
    <row r="50" spans="1:9" x14ac:dyDescent="0.25">
      <c r="A50" s="392" t="s">
        <v>4794</v>
      </c>
      <c r="B50" s="396" t="s">
        <v>4796</v>
      </c>
      <c r="C50" s="216" t="s">
        <v>4029</v>
      </c>
      <c r="D50" s="921">
        <v>2000</v>
      </c>
      <c r="E50" s="922"/>
      <c r="F50" s="922"/>
      <c r="G50" s="922"/>
      <c r="H50" s="923"/>
      <c r="I50" s="26" t="str">
        <f>IF(D50="", "MISSING VALUE", IF(D50&lt;&gt;2000, "OK", ""))</f>
        <v/>
      </c>
    </row>
    <row r="51" spans="1:9" ht="30" x14ac:dyDescent="0.25">
      <c r="A51" s="392" t="s">
        <v>4794</v>
      </c>
      <c r="B51" s="396" t="s">
        <v>4796</v>
      </c>
      <c r="C51" s="216" t="s">
        <v>4030</v>
      </c>
      <c r="D51" s="924">
        <v>10000</v>
      </c>
      <c r="E51" s="925"/>
      <c r="F51" s="925"/>
      <c r="G51" s="925"/>
      <c r="H51" s="926"/>
      <c r="I51" s="26"/>
    </row>
    <row r="52" spans="1:9" ht="15.75" thickBot="1" x14ac:dyDescent="0.3">
      <c r="A52" s="392" t="s">
        <v>4794</v>
      </c>
      <c r="B52" s="396" t="s">
        <v>4796</v>
      </c>
      <c r="C52" s="295" t="s">
        <v>4474</v>
      </c>
      <c r="D52" s="927">
        <v>1</v>
      </c>
      <c r="E52" s="928"/>
      <c r="F52" s="928"/>
      <c r="G52" s="928"/>
      <c r="H52" s="929"/>
    </row>
    <row r="53" spans="1:9" ht="30.75" thickBot="1" x14ac:dyDescent="0.3">
      <c r="A53" s="391" t="s">
        <v>4795</v>
      </c>
      <c r="B53" s="399" t="s">
        <v>4796</v>
      </c>
      <c r="C53" s="293" t="s">
        <v>43</v>
      </c>
      <c r="D53" s="903">
        <v>10000</v>
      </c>
      <c r="E53" s="903"/>
      <c r="F53" s="903"/>
      <c r="G53" s="903"/>
      <c r="H53" s="904"/>
      <c r="I53" s="26" t="str">
        <f>IF(AND(OR('General Information'!E32="Option A (Basic Module only)", 'General Information'!E32="Option B (Basic Module and Comprehensive Module)"),NumberOfFatalitiesAsAResultOfWorkRelatedInjuriesAndWorkRelatedIllHealth=""),"MISSING VALUE",IF('General Information'!E32="","","OK"))</f>
        <v>OK</v>
      </c>
    </row>
    <row r="54" spans="1:9" ht="15.75" thickBot="1" x14ac:dyDescent="0.3"/>
    <row r="55" spans="1:9" x14ac:dyDescent="0.25">
      <c r="C55" s="905" t="str">
        <f xml:space="preserve"> "B10 – Workforce – Remuneration, collective bargaining and training " &amp; template_reporting_period_display &amp; " [Always to be reported + If applicable]"</f>
        <v>B10 – Workforce – Remuneration, collective bargaining and training from 01/01/2024 to 31/12/2024 [Always to be reported + If applicable]</v>
      </c>
      <c r="D55" s="906"/>
      <c r="E55" s="906"/>
      <c r="F55" s="906"/>
      <c r="G55" s="906"/>
      <c r="H55" s="907"/>
    </row>
    <row r="56" spans="1:9" ht="45.75" thickBot="1" x14ac:dyDescent="0.3">
      <c r="A56" s="391" t="s">
        <v>4797</v>
      </c>
      <c r="B56" s="391" t="s">
        <v>4800</v>
      </c>
      <c r="C56" s="291" t="s">
        <v>3784</v>
      </c>
      <c r="D56" s="908" t="s">
        <v>3622</v>
      </c>
      <c r="E56" s="908"/>
      <c r="F56" s="908"/>
      <c r="G56" s="908"/>
      <c r="H56" s="909"/>
      <c r="I56" s="26"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ht="30" x14ac:dyDescent="0.25">
      <c r="A57" s="402" t="s">
        <v>4798</v>
      </c>
      <c r="B57" s="401" t="s">
        <v>4801</v>
      </c>
      <c r="C57" s="292" t="str">
        <f>"Average gross hourly pay level of male employees (amount in "&amp;template_currency&amp;")""- If applicable"</f>
        <v>Average gross hourly pay level of male employees (amount in EUR  )"- If applicable</v>
      </c>
      <c r="D57" s="910">
        <v>19</v>
      </c>
      <c r="E57" s="911"/>
      <c r="F57" s="911"/>
      <c r="G57" s="911"/>
      <c r="H57" s="912"/>
      <c r="I57" s="26" t="str">
        <f>IF(AND('General Information'!$E$62&lt;150, D57=""),"", IF(AND('General Information'!$E$62&lt;150, D57&lt;&gt;""),"OK", IF(AND('General Information'!$E$62&gt;=150, D57&lt;&gt;""),"OK", "MISSING VALUE")))</f>
        <v>OK</v>
      </c>
    </row>
    <row r="58" spans="1:9" ht="26.45" customHeight="1" x14ac:dyDescent="0.25">
      <c r="A58" s="402" t="s">
        <v>4798</v>
      </c>
      <c r="B58" s="401" t="s">
        <v>4801</v>
      </c>
      <c r="C58" s="217" t="str">
        <f>"Average gross hourly pay level of female employees (amount in " &amp; template_currency &amp; ")""- If applicable"</f>
        <v>Average gross hourly pay level of female employees (amount in EUR  )"- If applicable</v>
      </c>
      <c r="D58" s="913">
        <v>19</v>
      </c>
      <c r="E58" s="914"/>
      <c r="F58" s="914"/>
      <c r="G58" s="914"/>
      <c r="H58" s="915"/>
      <c r="I58" s="26" t="str">
        <f>IF(AND('General Information'!$E$62&lt;150, D58=""),"", IF(AND('General Information'!$E$62&lt;150, D58&lt;&gt;""),"OK", IF(AND('General Information'!$E$62&gt;=150, D58&lt;&gt;""),"OK", "MISSING VALUE")))</f>
        <v>OK</v>
      </c>
    </row>
    <row r="59" spans="1:9" ht="30.75" thickBot="1" x14ac:dyDescent="0.3">
      <c r="A59" s="402" t="s">
        <v>4798</v>
      </c>
      <c r="B59" s="401" t="s">
        <v>4801</v>
      </c>
      <c r="C59" s="218" t="s">
        <v>4491</v>
      </c>
      <c r="D59" s="916">
        <v>1</v>
      </c>
      <c r="E59" s="917"/>
      <c r="F59" s="917"/>
      <c r="G59" s="917"/>
      <c r="H59" s="918"/>
    </row>
    <row r="60" spans="1:9" x14ac:dyDescent="0.25">
      <c r="A60" s="935" t="s">
        <v>4799</v>
      </c>
      <c r="B60" s="877" t="s">
        <v>4802</v>
      </c>
      <c r="C60" s="290" t="s">
        <v>3376</v>
      </c>
      <c r="D60" s="937">
        <v>12</v>
      </c>
      <c r="E60" s="938"/>
      <c r="F60" s="938"/>
      <c r="G60" s="938"/>
      <c r="H60" s="939"/>
      <c r="I60" s="26" t="str">
        <f>IF(AND(OR('General Information'!E32="Option A (Basic Module only)", 'General Information'!E32="Option B (Basic Module and Comprehensive Module)"),D60=""),"MISSING VALUE",IF('General Information'!E32="","","OK"))</f>
        <v>OK</v>
      </c>
    </row>
    <row r="61" spans="1:9" ht="15.75" thickBot="1" x14ac:dyDescent="0.3">
      <c r="A61" s="936"/>
      <c r="B61" s="636"/>
      <c r="C61" s="218" t="s">
        <v>4011</v>
      </c>
      <c r="D61" s="916">
        <v>1</v>
      </c>
      <c r="E61" s="917"/>
      <c r="F61" s="917"/>
      <c r="G61" s="917"/>
      <c r="H61" s="918"/>
    </row>
    <row r="62" spans="1:9" ht="15.75" thickBot="1" x14ac:dyDescent="0.3"/>
    <row r="63" spans="1:9" x14ac:dyDescent="0.25">
      <c r="C63" s="905" t="str">
        <f xml:space="preserve"> "B10 – Workforce – Remuneration, collective bargaining and training " &amp; template_reporting_period_display &amp; " [Always to be reported]"</f>
        <v>B10 – Workforce – Remuneration, collective bargaining and training from 01/01/2024 to 31/12/2024 [Always to be reported]</v>
      </c>
      <c r="D63" s="906"/>
      <c r="E63" s="906"/>
      <c r="F63" s="906"/>
      <c r="G63" s="906"/>
      <c r="H63" s="907"/>
    </row>
    <row r="64" spans="1:9" x14ac:dyDescent="0.25">
      <c r="C64" s="472" t="s">
        <v>4803</v>
      </c>
      <c r="D64" s="473"/>
      <c r="E64" s="473"/>
      <c r="F64" s="473"/>
      <c r="G64" s="473"/>
      <c r="H64" s="474"/>
    </row>
    <row r="65" spans="1:9" x14ac:dyDescent="0.25">
      <c r="C65" s="219" t="s">
        <v>36</v>
      </c>
      <c r="D65" s="930" t="s">
        <v>4490</v>
      </c>
      <c r="E65" s="930"/>
      <c r="F65" s="930"/>
      <c r="G65" s="930"/>
      <c r="H65" s="931"/>
      <c r="I65" s="26"/>
    </row>
    <row r="66" spans="1:9" x14ac:dyDescent="0.25">
      <c r="C66" s="214" t="s">
        <v>37</v>
      </c>
      <c r="D66" s="932">
        <v>10000</v>
      </c>
      <c r="E66" s="932"/>
      <c r="F66" s="932"/>
      <c r="G66" s="932"/>
      <c r="H66" s="933"/>
      <c r="I66" s="934" t="str">
        <f>IF(OR('General Information'!E32="Option A (Basic Module only)", 'General Information'!E32="Option B (Basic Module and Comprehensive Module)"), IF(OR(D66&lt;&gt;"", D67&lt;&gt;"", D68&lt;&gt;"", D69&lt;&gt;""), "OK", "MISSING VALUE"), "")</f>
        <v>OK</v>
      </c>
    </row>
    <row r="67" spans="1:9" x14ac:dyDescent="0.25">
      <c r="C67" s="214" t="s">
        <v>38</v>
      </c>
      <c r="D67" s="932">
        <v>10000</v>
      </c>
      <c r="E67" s="932"/>
      <c r="F67" s="932"/>
      <c r="G67" s="932"/>
      <c r="H67" s="933"/>
      <c r="I67" s="934"/>
    </row>
    <row r="68" spans="1:9" x14ac:dyDescent="0.25">
      <c r="C68" s="214" t="s">
        <v>39</v>
      </c>
      <c r="D68" s="932">
        <v>10000</v>
      </c>
      <c r="E68" s="932"/>
      <c r="F68" s="932"/>
      <c r="G68" s="932"/>
      <c r="H68" s="933"/>
      <c r="I68" s="934"/>
    </row>
    <row r="69" spans="1:9" x14ac:dyDescent="0.25">
      <c r="C69" s="214" t="s">
        <v>40</v>
      </c>
      <c r="D69" s="932">
        <v>10000</v>
      </c>
      <c r="E69" s="932"/>
      <c r="F69" s="932"/>
      <c r="G69" s="932"/>
      <c r="H69" s="933"/>
      <c r="I69" s="934"/>
    </row>
    <row r="70" spans="1:9" x14ac:dyDescent="0.25">
      <c r="C70" s="954" t="s">
        <v>3640</v>
      </c>
      <c r="D70" s="955"/>
      <c r="E70" s="955"/>
      <c r="F70" s="955"/>
      <c r="G70" s="955"/>
      <c r="H70" s="956"/>
      <c r="I70" s="26"/>
    </row>
    <row r="71" spans="1:9" ht="15.75" thickBot="1" x14ac:dyDescent="0.3">
      <c r="C71" s="957">
        <f>IFERROR(
    IF(
        AND(D18&lt;&gt;"",D18&lt;&gt;0,D19&lt;&gt;"",D19&lt;&gt;0,D20&lt;&gt;"",D20&lt;&gt;0,D21&lt;&gt;"",D21&lt;&gt;0),
        AVERAGE(D66:D69),
        IF(OR(D18="", D18=0), AVERAGE(D67:D69),
        IF(OR(D19="", D19=0), AVERAGE(D66,D68,D69),
        IF(OR(D20="", D20=0), AVERAGE(D66,D67,D69),
        IF(OR(D21="", D21=0), AVERAGE(D66,D67,D68), "-"))))
    ),
"-")</f>
        <v>10000</v>
      </c>
      <c r="D71" s="958"/>
      <c r="E71" s="958"/>
      <c r="F71" s="958"/>
      <c r="G71" s="958"/>
      <c r="H71" s="959"/>
      <c r="I71" s="26"/>
    </row>
    <row r="72" spans="1:9" ht="15.75" thickBot="1" x14ac:dyDescent="0.3"/>
    <row r="73" spans="1:9" ht="15.75" thickBot="1" x14ac:dyDescent="0.3">
      <c r="C73" s="960" t="str">
        <f xml:space="preserve"> "C5 – Additional (general) workforce characteristics " &amp; template_reporting_period_display &amp; " [May (optional)]"</f>
        <v>C5 – Additional (general) workforce characteristics from 01/01/2024 to 31/12/2024 [May (optional)]</v>
      </c>
      <c r="D73" s="961"/>
      <c r="E73" s="961"/>
      <c r="F73" s="961"/>
      <c r="G73" s="961"/>
      <c r="H73" s="962"/>
    </row>
    <row r="74" spans="1:9" x14ac:dyDescent="0.25">
      <c r="A74" s="402">
        <v>59</v>
      </c>
      <c r="B74" s="400" t="s">
        <v>4804</v>
      </c>
      <c r="C74" s="220" t="s">
        <v>4002</v>
      </c>
      <c r="D74" s="910">
        <v>2</v>
      </c>
      <c r="E74" s="911"/>
      <c r="F74" s="911"/>
      <c r="G74" s="911"/>
      <c r="H74" s="912"/>
      <c r="I74" s="26" t="str">
        <f>IF(D74&lt;&gt;"", "OK", "")</f>
        <v>OK</v>
      </c>
    </row>
    <row r="75" spans="1:9" x14ac:dyDescent="0.25">
      <c r="A75" s="402">
        <v>59</v>
      </c>
      <c r="B75" s="400" t="s">
        <v>4804</v>
      </c>
      <c r="C75" s="221" t="s">
        <v>3377</v>
      </c>
      <c r="D75" s="913">
        <v>0</v>
      </c>
      <c r="E75" s="914"/>
      <c r="F75" s="914"/>
      <c r="G75" s="914"/>
      <c r="H75" s="915"/>
      <c r="I75" s="26" t="str">
        <f t="shared" ref="I75:I78" si="1">IF(D75&lt;&gt;"", "OK", "")</f>
        <v>OK</v>
      </c>
    </row>
    <row r="76" spans="1:9" ht="15.75" thickBot="1" x14ac:dyDescent="0.3">
      <c r="A76" s="402">
        <v>59</v>
      </c>
      <c r="B76" s="400" t="s">
        <v>4804</v>
      </c>
      <c r="C76" s="218" t="s">
        <v>3636</v>
      </c>
      <c r="D76" s="963">
        <v>1</v>
      </c>
      <c r="E76" s="964"/>
      <c r="F76" s="964"/>
      <c r="G76" s="964"/>
      <c r="H76" s="965"/>
    </row>
    <row r="77" spans="1:9" ht="30" x14ac:dyDescent="0.25">
      <c r="A77" s="391">
        <v>60</v>
      </c>
      <c r="B77" s="396" t="s">
        <v>4805</v>
      </c>
      <c r="C77" s="222" t="s">
        <v>3785</v>
      </c>
      <c r="D77" s="940">
        <v>100</v>
      </c>
      <c r="E77" s="941"/>
      <c r="F77" s="941"/>
      <c r="G77" s="941"/>
      <c r="H77" s="942"/>
      <c r="I77" s="26" t="str">
        <f t="shared" si="1"/>
        <v>OK</v>
      </c>
    </row>
    <row r="78" spans="1:9" ht="30.75" thickBot="1" x14ac:dyDescent="0.3">
      <c r="A78" s="391">
        <v>60</v>
      </c>
      <c r="B78" s="399" t="s">
        <v>4805</v>
      </c>
      <c r="C78" s="223" t="s">
        <v>46</v>
      </c>
      <c r="D78" s="927">
        <v>100</v>
      </c>
      <c r="E78" s="928"/>
      <c r="F78" s="928"/>
      <c r="G78" s="928"/>
      <c r="H78" s="929"/>
      <c r="I78" s="26" t="str">
        <f t="shared" si="1"/>
        <v>OK</v>
      </c>
    </row>
    <row r="79" spans="1:9" ht="15.75" thickBot="1" x14ac:dyDescent="0.3"/>
    <row r="80" spans="1:9" x14ac:dyDescent="0.25">
      <c r="C80" s="943" t="str">
        <f xml:space="preserve"> "C6 – Additional own workforce information - Human rights policies and processes " &amp; template_reporting_period_display &amp; " [Always to be reported]"</f>
        <v>C6 – Additional own workforce information - Human rights policies and processes from 01/01/2024 to 31/12/2024 [Always to be reported]</v>
      </c>
      <c r="D80" s="944"/>
      <c r="E80" s="944"/>
      <c r="F80" s="944"/>
      <c r="G80" s="944"/>
      <c r="H80" s="945"/>
    </row>
    <row r="81" spans="1:9" ht="30" x14ac:dyDescent="0.25">
      <c r="A81" s="391" t="s">
        <v>4806</v>
      </c>
      <c r="B81" s="396">
        <v>237</v>
      </c>
      <c r="C81" s="224" t="s">
        <v>48</v>
      </c>
      <c r="D81" s="946" t="s">
        <v>3622</v>
      </c>
      <c r="E81" s="947"/>
      <c r="F81" s="947"/>
      <c r="G81" s="947"/>
      <c r="H81" s="948"/>
      <c r="I81" s="26"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25">
      <c r="A82" s="392" t="s">
        <v>4807</v>
      </c>
      <c r="B82" s="396">
        <v>237</v>
      </c>
      <c r="C82" s="178" t="s">
        <v>49</v>
      </c>
      <c r="D82" s="949"/>
      <c r="E82" s="950"/>
      <c r="F82" s="950"/>
      <c r="G82" s="950"/>
      <c r="H82" s="951"/>
    </row>
    <row r="83" spans="1:9" x14ac:dyDescent="0.25">
      <c r="A83" s="392" t="s">
        <v>4807</v>
      </c>
      <c r="B83" s="396">
        <v>237</v>
      </c>
      <c r="C83" s="225" t="s">
        <v>3371</v>
      </c>
      <c r="D83" s="952" t="b">
        <v>1</v>
      </c>
      <c r="E83" s="952"/>
      <c r="F83" s="952"/>
      <c r="G83" s="952"/>
      <c r="H83" s="953"/>
      <c r="I83" s="934"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25">
      <c r="A84" s="392" t="s">
        <v>4807</v>
      </c>
      <c r="B84" s="396">
        <v>237</v>
      </c>
      <c r="C84" s="225" t="s">
        <v>3372</v>
      </c>
      <c r="D84" s="952" t="b">
        <v>1</v>
      </c>
      <c r="E84" s="952"/>
      <c r="F84" s="952"/>
      <c r="G84" s="952"/>
      <c r="H84" s="953"/>
      <c r="I84" s="934"/>
    </row>
    <row r="85" spans="1:9" x14ac:dyDescent="0.25">
      <c r="A85" s="392" t="s">
        <v>4807</v>
      </c>
      <c r="B85" s="396">
        <v>237</v>
      </c>
      <c r="C85" s="225" t="s">
        <v>3373</v>
      </c>
      <c r="D85" s="952" t="b">
        <v>1</v>
      </c>
      <c r="E85" s="952"/>
      <c r="F85" s="952"/>
      <c r="G85" s="952"/>
      <c r="H85" s="953"/>
      <c r="I85" s="934"/>
    </row>
    <row r="86" spans="1:9" x14ac:dyDescent="0.25">
      <c r="A86" s="392" t="s">
        <v>4807</v>
      </c>
      <c r="B86" s="396">
        <v>237</v>
      </c>
      <c r="C86" s="225" t="s">
        <v>3374</v>
      </c>
      <c r="D86" s="952" t="b">
        <v>1</v>
      </c>
      <c r="E86" s="952"/>
      <c r="F86" s="952"/>
      <c r="G86" s="952"/>
      <c r="H86" s="953"/>
      <c r="I86" s="934"/>
    </row>
    <row r="87" spans="1:9" x14ac:dyDescent="0.25">
      <c r="A87" s="392" t="s">
        <v>4807</v>
      </c>
      <c r="B87" s="396">
        <v>237</v>
      </c>
      <c r="C87" s="226" t="s">
        <v>3375</v>
      </c>
      <c r="D87" s="972" t="b">
        <v>1</v>
      </c>
      <c r="E87" s="952"/>
      <c r="F87" s="952"/>
      <c r="G87" s="952"/>
      <c r="H87" s="953"/>
      <c r="I87" s="934"/>
    </row>
    <row r="88" spans="1:9" x14ac:dyDescent="0.25">
      <c r="A88" s="392" t="s">
        <v>4807</v>
      </c>
      <c r="B88" s="396">
        <v>237</v>
      </c>
      <c r="C88" s="227" t="s">
        <v>4023</v>
      </c>
      <c r="D88" s="952" t="b">
        <v>1</v>
      </c>
      <c r="E88" s="952"/>
      <c r="F88" s="952"/>
      <c r="G88" s="952"/>
      <c r="H88" s="953"/>
      <c r="I88" s="934"/>
    </row>
    <row r="89" spans="1:9" ht="33.6" customHeight="1" x14ac:dyDescent="0.25">
      <c r="A89" s="392" t="s">
        <v>4807</v>
      </c>
      <c r="B89" s="396">
        <v>237</v>
      </c>
      <c r="C89" s="148" t="s">
        <v>4024</v>
      </c>
      <c r="D89" s="966" t="s">
        <v>4822</v>
      </c>
      <c r="E89" s="966"/>
      <c r="F89" s="966"/>
      <c r="G89" s="966"/>
      <c r="H89" s="967"/>
      <c r="I89" s="26" t="str">
        <f>IF(AND(D88=TRUE,D89&lt;&gt;""),"OK",IF(AND(D88=TRUE,D89=""),"MISSING VALUE",IF(AND(D88=FALSE,D89&lt;&gt;""),"MISSING VALUE","")))</f>
        <v>OK</v>
      </c>
    </row>
    <row r="90" spans="1:9" ht="31.15" customHeight="1" thickBot="1" x14ac:dyDescent="0.3">
      <c r="A90" s="393" t="s">
        <v>4808</v>
      </c>
      <c r="B90" s="399">
        <v>237</v>
      </c>
      <c r="C90" s="228" t="s">
        <v>3745</v>
      </c>
      <c r="D90" s="968" t="s">
        <v>3622</v>
      </c>
      <c r="E90" s="969"/>
      <c r="F90" s="969"/>
      <c r="G90" s="969"/>
      <c r="H90" s="970"/>
      <c r="I90" s="26" t="str">
        <f>IF(AND('General Information'!$E$32="Option B (Basic Module and Comprehensive Module)",D90&lt;&gt;""),"OK",IF(AND('General Information'!$E$32="Option B (Basic Module and Comprehensive Module)",D90=""),"MISSING VALUE",IF(AND('General Information'!$E$32="Option A (Basic Module only)",D90&lt;&gt;""),"OK","")))</f>
        <v>OK</v>
      </c>
    </row>
    <row r="91" spans="1:9" ht="15.75" thickBot="1" x14ac:dyDescent="0.3"/>
    <row r="92" spans="1:9" x14ac:dyDescent="0.25">
      <c r="C92" s="943" t="str">
        <f xml:space="preserve"> "C7 – Severe negative human rights incidents " &amp; template_reporting_period_display &amp; " [Always to be reported]"</f>
        <v>C7 – Severe negative human rights incidents from 01/01/2024 to 31/12/2024 [Always to be reported]</v>
      </c>
      <c r="D92" s="944"/>
      <c r="E92" s="944"/>
      <c r="F92" s="944"/>
      <c r="G92" s="944"/>
      <c r="H92" s="945"/>
    </row>
    <row r="93" spans="1:9" x14ac:dyDescent="0.25">
      <c r="A93" s="391">
        <v>62</v>
      </c>
      <c r="B93" s="396">
        <v>238</v>
      </c>
      <c r="C93" s="229" t="s">
        <v>3743</v>
      </c>
      <c r="D93" s="796" t="s">
        <v>3622</v>
      </c>
      <c r="E93" s="796"/>
      <c r="F93" s="796"/>
      <c r="G93" s="796"/>
      <c r="H93" s="971"/>
      <c r="I93" s="26"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25">
      <c r="A94" s="391" t="s">
        <v>4809</v>
      </c>
      <c r="B94" s="396">
        <v>238</v>
      </c>
      <c r="C94" s="229" t="s">
        <v>3742</v>
      </c>
      <c r="D94" s="949"/>
      <c r="E94" s="950"/>
      <c r="F94" s="950"/>
      <c r="G94" s="950"/>
      <c r="H94" s="951"/>
    </row>
    <row r="95" spans="1:9" x14ac:dyDescent="0.25">
      <c r="A95" s="391" t="s">
        <v>4809</v>
      </c>
      <c r="B95" s="396">
        <v>238</v>
      </c>
      <c r="C95" s="227" t="s">
        <v>3371</v>
      </c>
      <c r="D95" s="788" t="b">
        <v>1</v>
      </c>
      <c r="E95" s="788"/>
      <c r="F95" s="788"/>
      <c r="G95" s="788"/>
      <c r="H95" s="789"/>
      <c r="I95" s="934"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OK</v>
      </c>
    </row>
    <row r="96" spans="1:9" x14ac:dyDescent="0.25">
      <c r="A96" s="391" t="s">
        <v>4809</v>
      </c>
      <c r="B96" s="396">
        <v>238</v>
      </c>
      <c r="C96" s="227" t="s">
        <v>3372</v>
      </c>
      <c r="D96" s="788" t="b">
        <v>1</v>
      </c>
      <c r="E96" s="788"/>
      <c r="F96" s="788"/>
      <c r="G96" s="788"/>
      <c r="H96" s="789"/>
      <c r="I96" s="934"/>
    </row>
    <row r="97" spans="1:9" x14ac:dyDescent="0.25">
      <c r="A97" s="391" t="s">
        <v>4809</v>
      </c>
      <c r="B97" s="396">
        <v>238</v>
      </c>
      <c r="C97" s="227" t="s">
        <v>3373</v>
      </c>
      <c r="D97" s="788" t="b">
        <v>1</v>
      </c>
      <c r="E97" s="788"/>
      <c r="F97" s="788"/>
      <c r="G97" s="788"/>
      <c r="H97" s="789"/>
      <c r="I97" s="934"/>
    </row>
    <row r="98" spans="1:9" x14ac:dyDescent="0.25">
      <c r="A98" s="391" t="s">
        <v>4809</v>
      </c>
      <c r="B98" s="396">
        <v>238</v>
      </c>
      <c r="C98" s="227" t="s">
        <v>3374</v>
      </c>
      <c r="D98" s="788" t="b">
        <v>1</v>
      </c>
      <c r="E98" s="788"/>
      <c r="F98" s="788"/>
      <c r="G98" s="788"/>
      <c r="H98" s="789"/>
      <c r="I98" s="934"/>
    </row>
    <row r="99" spans="1:9" x14ac:dyDescent="0.25">
      <c r="A99" s="391" t="s">
        <v>4809</v>
      </c>
      <c r="B99" s="396">
        <v>238</v>
      </c>
      <c r="C99" s="227" t="s">
        <v>4023</v>
      </c>
      <c r="D99" s="788" t="b">
        <v>1</v>
      </c>
      <c r="E99" s="788"/>
      <c r="F99" s="788"/>
      <c r="G99" s="788"/>
      <c r="H99" s="789"/>
      <c r="I99" s="934"/>
    </row>
    <row r="100" spans="1:9" x14ac:dyDescent="0.25">
      <c r="A100" s="391" t="s">
        <v>4809</v>
      </c>
      <c r="B100" s="396">
        <v>238</v>
      </c>
      <c r="C100" s="148" t="s">
        <v>4472</v>
      </c>
      <c r="D100" s="979" t="s">
        <v>4822</v>
      </c>
      <c r="E100" s="979"/>
      <c r="F100" s="979"/>
      <c r="G100" s="979"/>
      <c r="H100" s="980"/>
      <c r="I100" s="26" t="str">
        <f>IF(AND(D99=TRUE,D100&lt;&gt;""),"OK",IF(AND(D99=TRUE,D100=""),"MISSING VALUE",IF(AND(D99=FALSE,D100&lt;&gt;""),"MISSING VALUE","")))</f>
        <v>OK</v>
      </c>
    </row>
    <row r="101" spans="1:9" ht="30" x14ac:dyDescent="0.25">
      <c r="A101" s="403" t="s">
        <v>4810</v>
      </c>
      <c r="B101" s="396">
        <v>238</v>
      </c>
      <c r="C101" s="148" t="s">
        <v>4471</v>
      </c>
      <c r="D101" s="973" t="s">
        <v>4822</v>
      </c>
      <c r="E101" s="974"/>
      <c r="F101" s="974"/>
      <c r="G101" s="974"/>
      <c r="H101" s="975"/>
      <c r="I101" s="26" t="str">
        <f>IF(D101&lt;&gt;"","OK","")</f>
        <v>OK</v>
      </c>
    </row>
    <row r="102" spans="1:9" ht="30" x14ac:dyDescent="0.25">
      <c r="A102" s="391" t="s">
        <v>4743</v>
      </c>
      <c r="B102" s="396">
        <v>238</v>
      </c>
      <c r="C102" s="178" t="s">
        <v>3629</v>
      </c>
      <c r="D102" s="796" t="s">
        <v>3622</v>
      </c>
      <c r="E102" s="796"/>
      <c r="F102" s="796"/>
      <c r="G102" s="796"/>
      <c r="H102" s="971"/>
      <c r="I102" s="26" t="str">
        <f>IF(AND('General Information'!$E$32="Option B (Basic Module and Comprehensive Module)",D102&lt;&gt;""),"OK",IF(AND('General Information'!$E$32="Option B (Basic Module and Comprehensive Module)",D102=""),"MISSING VALUE",IF(AND('General Information'!$E$32="Option A (Basic Module only)",D102&lt;&gt;""),"OK","")))</f>
        <v>OK</v>
      </c>
    </row>
    <row r="103" spans="1:9" ht="30.75" thickBot="1" x14ac:dyDescent="0.3">
      <c r="A103" s="391" t="s">
        <v>4743</v>
      </c>
      <c r="B103" s="399">
        <v>238</v>
      </c>
      <c r="C103" s="359" t="s">
        <v>4031</v>
      </c>
      <c r="D103" s="976" t="s">
        <v>4822</v>
      </c>
      <c r="E103" s="976"/>
      <c r="F103" s="976"/>
      <c r="G103" s="976"/>
      <c r="H103" s="977"/>
      <c r="I103" s="26" t="str">
        <f>IF(AND(D102="YES",D103&lt;&gt;""),"OK",IF(AND(D102="YES",D103=""),"MISSING VALUE",IF(AND(D102="NO",D103&lt;&gt;""),"MISSING VALUE","")))</f>
        <v>OK</v>
      </c>
    </row>
    <row r="106" spans="1:9" ht="15.75" thickBot="1" x14ac:dyDescent="0.3"/>
    <row r="107" spans="1:9" x14ac:dyDescent="0.25">
      <c r="C107" s="495" t="str">
        <f>+ "Disclosure of any other social and/or entity specific social disclosures " &amp; template_reporting_period_display &amp; " [May (optional)] "</f>
        <v xml:space="preserve">Disclosure of any other social and/or entity specific social disclosures from 01/01/2024 to 31/12/2024 [May (optional)] </v>
      </c>
      <c r="D107" s="496"/>
      <c r="E107" s="496"/>
      <c r="F107" s="496"/>
      <c r="G107" s="496"/>
      <c r="H107" s="497"/>
    </row>
    <row r="108" spans="1:9" x14ac:dyDescent="0.25">
      <c r="C108" s="641">
        <v>10</v>
      </c>
      <c r="D108" s="493"/>
      <c r="E108" s="493"/>
      <c r="F108" s="493"/>
      <c r="G108" s="493"/>
      <c r="H108" s="494"/>
    </row>
    <row r="109" spans="1:9" ht="15.75" thickBot="1" x14ac:dyDescent="0.3">
      <c r="C109" s="489" t="s">
        <v>4822</v>
      </c>
      <c r="D109" s="490"/>
      <c r="E109" s="490"/>
      <c r="F109" s="490"/>
      <c r="G109" s="490"/>
      <c r="H109" s="978"/>
      <c r="I109" s="26" t="str">
        <f>IF(C109&lt;&gt;"", "OK", "")</f>
        <v>OK</v>
      </c>
    </row>
  </sheetData>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2" priority="25">
      <formula>$D$88=TRUE</formula>
    </cfRule>
  </conditionalFormatting>
  <conditionalFormatting sqref="D100:D101">
    <cfRule type="expression" dxfId="161" priority="14">
      <formula>$D$99=TRUE</formula>
    </cfRule>
  </conditionalFormatting>
  <conditionalFormatting sqref="D103">
    <cfRule type="expression" dxfId="160" priority="13">
      <formula>$D$102="YES"</formula>
    </cfRule>
  </conditionalFormatting>
  <conditionalFormatting sqref="D83:H88">
    <cfRule type="expression" dxfId="157" priority="30">
      <formula>$D$81="YES"</formula>
    </cfRule>
  </conditionalFormatting>
  <conditionalFormatting sqref="D95:H99">
    <cfRule type="expression" dxfId="156" priority="19">
      <formula>$D$93="YES"</formula>
    </cfRule>
  </conditionalFormatting>
  <conditionalFormatting sqref="D101:H101">
    <cfRule type="expression" dxfId="154" priority="6">
      <formula>$D$93="YES"</formula>
    </cfRule>
  </conditionalFormatting>
  <conditionalFormatting sqref="E28:H37">
    <cfRule type="expression" dxfId="153" priority="56">
      <formula>$C28&lt;&gt;""</formula>
    </cfRule>
  </conditionalFormatting>
  <conditionalFormatting sqref="E29:H37">
    <cfRule type="expression" dxfId="152" priority="57">
      <formula>$D29=""</formula>
    </cfRule>
  </conditionalFormatting>
  <conditionalFormatting sqref="H10:H11">
    <cfRule type="expression" dxfId="151" priority="67">
      <formula>$H10="MISSING VALUE"</formula>
    </cfRule>
    <cfRule type="expression" dxfId="150" priority="68">
      <formula>$H10="OK"</formula>
    </cfRule>
  </conditionalFormatting>
  <conditionalFormatting sqref="H12">
    <cfRule type="expression" dxfId="149" priority="70">
      <formula>$H$12="VALUE INCONSISTENCY"</formula>
    </cfRule>
    <cfRule type="expression" dxfId="148" priority="69">
      <formula>$H$12="OK"</formula>
    </cfRule>
  </conditionalFormatting>
  <conditionalFormatting sqref="H18:H21">
    <cfRule type="expression" dxfId="147" priority="62">
      <formula>$H$18="MISSING VALUE"</formula>
    </cfRule>
    <cfRule type="expression" dxfId="146" priority="63">
      <formula>$H$18="OK"</formula>
    </cfRule>
  </conditionalFormatting>
  <conditionalFormatting sqref="H22">
    <cfRule type="expression" dxfId="145" priority="65">
      <formula>$H$22="MISSING VALUE"</formula>
    </cfRule>
    <cfRule type="expression" dxfId="144" priority="64">
      <formula>$H$22="VALUE INCONSISTENCY"</formula>
    </cfRule>
    <cfRule type="expression" dxfId="143" priority="66">
      <formula>$H$22="OK"</formula>
    </cfRule>
  </conditionalFormatting>
  <conditionalFormatting sqref="I28:I37">
    <cfRule type="expression" dxfId="142" priority="1">
      <formula>$I28="VALUE INCONSISTENCY"</formula>
    </cfRule>
    <cfRule type="expression" dxfId="141" priority="60">
      <formula>$I28="OK"</formula>
    </cfRule>
    <cfRule type="expression" dxfId="140" priority="61">
      <formula>$I28="MISSING VALUE"</formula>
    </cfRule>
  </conditionalFormatting>
  <conditionalFormatting sqref="I38">
    <cfRule type="expression" dxfId="139" priority="59">
      <formula>$I$38="VALUE INCONSISTENCY"</formula>
    </cfRule>
    <cfRule type="expression" dxfId="138" priority="58">
      <formula>$I$38="OK"</formula>
    </cfRule>
  </conditionalFormatting>
  <conditionalFormatting sqref="I43:I45">
    <cfRule type="expression" dxfId="137" priority="54">
      <formula>$I43="MISSING VALUE"</formula>
    </cfRule>
    <cfRule type="expression" dxfId="136" priority="55">
      <formula>$I43="OK"</formula>
    </cfRule>
  </conditionalFormatting>
  <conditionalFormatting sqref="I49:I50">
    <cfRule type="expression" dxfId="135" priority="51">
      <formula>$I49="MISSING VALUE"</formula>
    </cfRule>
    <cfRule type="expression" dxfId="134" priority="52">
      <formula>$I49="OK"</formula>
    </cfRule>
  </conditionalFormatting>
  <conditionalFormatting sqref="I51">
    <cfRule type="expression" dxfId="133" priority="48">
      <formula>$I$51="MISSING VALUE"</formula>
    </cfRule>
    <cfRule type="expression" dxfId="132" priority="47">
      <formula>$I$51="OK"</formula>
    </cfRule>
  </conditionalFormatting>
  <conditionalFormatting sqref="I53">
    <cfRule type="expression" dxfId="131" priority="49">
      <formula>$I$53="MISSING VALUE"</formula>
    </cfRule>
    <cfRule type="expression" dxfId="130" priority="50">
      <formula>$I$53="OK"</formula>
    </cfRule>
  </conditionalFormatting>
  <conditionalFormatting sqref="I56">
    <cfRule type="expression" dxfId="129" priority="42">
      <formula>$I$56="OK"</formula>
    </cfRule>
    <cfRule type="expression" dxfId="128" priority="41">
      <formula>$I$56="MISSING VALUE"</formula>
    </cfRule>
  </conditionalFormatting>
  <conditionalFormatting sqref="I57:I58">
    <cfRule type="expression" dxfId="127" priority="45">
      <formula>$I57="OK"</formula>
    </cfRule>
    <cfRule type="expression" dxfId="126" priority="46">
      <formula>$I57="MISSING VALUE"</formula>
    </cfRule>
  </conditionalFormatting>
  <conditionalFormatting sqref="I60">
    <cfRule type="expression" dxfId="125" priority="43">
      <formula>$I$60="OK"</formula>
    </cfRule>
    <cfRule type="expression" dxfId="124" priority="44">
      <formula>$I$60="MISSING VALUE"</formula>
    </cfRule>
  </conditionalFormatting>
  <conditionalFormatting sqref="I65:I66 I70">
    <cfRule type="expression" dxfId="123" priority="38">
      <formula>$I65="OK"</formula>
    </cfRule>
    <cfRule type="expression" dxfId="122" priority="39">
      <formula>$I65="MISSING VALUE"</formula>
    </cfRule>
  </conditionalFormatting>
  <conditionalFormatting sqref="I74">
    <cfRule type="expression" dxfId="121" priority="37">
      <formula>$I$74="OK"</formula>
    </cfRule>
  </conditionalFormatting>
  <conditionalFormatting sqref="I75">
    <cfRule type="expression" dxfId="120" priority="36">
      <formula>$I$75="OK"</formula>
    </cfRule>
  </conditionalFormatting>
  <conditionalFormatting sqref="I77">
    <cfRule type="expression" dxfId="119" priority="35">
      <formula>$I$77="OK"</formula>
    </cfRule>
  </conditionalFormatting>
  <conditionalFormatting sqref="I78">
    <cfRule type="expression" dxfId="118" priority="34">
      <formula>$I$78="OK"</formula>
    </cfRule>
  </conditionalFormatting>
  <conditionalFormatting sqref="I81">
    <cfRule type="expression" dxfId="117" priority="27">
      <formula>$I$81="OK"</formula>
    </cfRule>
    <cfRule type="expression" dxfId="116" priority="26">
      <formula>$I$81="MISSING VALUE"</formula>
    </cfRule>
  </conditionalFormatting>
  <conditionalFormatting sqref="I83:I88">
    <cfRule type="expression" dxfId="115" priority="3">
      <formula>$I$83="VALUE INCONSISTENCY"</formula>
    </cfRule>
    <cfRule type="expression" dxfId="114" priority="22">
      <formula>$I$83="OK"</formula>
    </cfRule>
    <cfRule type="expression" dxfId="113" priority="21">
      <formula>$I$83="MISSING VALUE"</formula>
    </cfRule>
  </conditionalFormatting>
  <conditionalFormatting sqref="I89">
    <cfRule type="expression" dxfId="112" priority="29">
      <formula>$I$89="MISSING VALUE"</formula>
    </cfRule>
    <cfRule type="expression" dxfId="111" priority="28">
      <formula>$I$89="OK"</formula>
    </cfRule>
  </conditionalFormatting>
  <conditionalFormatting sqref="I90">
    <cfRule type="expression" dxfId="110" priority="24">
      <formula>$I$90="OK"</formula>
    </cfRule>
    <cfRule type="expression" dxfId="109" priority="23">
      <formula>$I$90="MISSING VALUE"</formula>
    </cfRule>
  </conditionalFormatting>
  <conditionalFormatting sqref="I93">
    <cfRule type="expression" dxfId="108" priority="12">
      <formula>$I$93="MISSING VALUE"</formula>
    </cfRule>
    <cfRule type="expression" dxfId="107" priority="11">
      <formula>$I$93="OK"</formula>
    </cfRule>
  </conditionalFormatting>
  <conditionalFormatting sqref="I95:I99">
    <cfRule type="expression" dxfId="106" priority="10">
      <formula>$I$95="MISSING VALUE"</formula>
    </cfRule>
    <cfRule type="expression" dxfId="105" priority="2">
      <formula>$I$95="VALUE INCONSISTENCY"</formula>
    </cfRule>
    <cfRule type="expression" dxfId="104" priority="9">
      <formula>$I$95="OK"</formula>
    </cfRule>
  </conditionalFormatting>
  <conditionalFormatting sqref="I100">
    <cfRule type="expression" dxfId="103" priority="18">
      <formula>$I$100="MISSING VALUE"</formula>
    </cfRule>
    <cfRule type="expression" dxfId="102" priority="17">
      <formula>$I$100="OK"</formula>
    </cfRule>
  </conditionalFormatting>
  <conditionalFormatting sqref="I101">
    <cfRule type="expression" dxfId="101" priority="5">
      <formula>$I$101="OK"</formula>
    </cfRule>
  </conditionalFormatting>
  <conditionalFormatting sqref="I102">
    <cfRule type="expression" dxfId="100" priority="8">
      <formula>$I$102="OK"</formula>
    </cfRule>
    <cfRule type="expression" dxfId="99" priority="7">
      <formula>$I$102="MISSING VALUE"</formula>
    </cfRule>
  </conditionalFormatting>
  <conditionalFormatting sqref="I103">
    <cfRule type="expression" dxfId="98" priority="16">
      <formula>$I$103="OK"</formula>
    </cfRule>
    <cfRule type="expression" dxfId="97" priority="15">
      <formula>$I$103="MISSING VALUE"</formula>
    </cfRule>
  </conditionalFormatting>
  <conditionalFormatting sqref="I109">
    <cfRule type="expression" dxfId="96" priority="4">
      <formula>$I$109="OK"</formula>
    </cfRule>
  </conditionalFormatting>
  <dataValidations count="26">
    <dataValidation type="custom" operator="lessThanOrEqual" allowBlank="1" showInputMessage="1" showErrorMessage="1" sqref="D10:G10 D18:G20" xr:uid="{35658C98-934E-415B-A434-B434D683088B}">
      <formula1>IF(D12="-", 0, D12) &gt;= D10</formula1>
    </dataValidation>
    <dataValidation type="list" allowBlank="1" showInputMessage="1" showErrorMessage="1" sqref="C28:D37" xr:uid="{77A05568-1938-495E-A7AE-13F91BB270A6}">
      <formula1>enum_ListCountriesName</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53:H53 D49:H49 D66:H69"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topLeftCell="A19" zoomScaleNormal="100" workbookViewId="0">
      <selection activeCell="H32" sqref="H32"/>
    </sheetView>
  </sheetViews>
  <sheetFormatPr defaultRowHeight="15" x14ac:dyDescent="0.25"/>
  <cols>
    <col min="1" max="2" width="10" bestFit="1" customWidth="1"/>
    <col min="3" max="3" width="33.5703125" customWidth="1"/>
    <col min="5" max="5" width="14.42578125" customWidth="1"/>
    <col min="7" max="7" width="24.28515625" customWidth="1"/>
    <col min="8" max="8" width="38.42578125" customWidth="1"/>
    <col min="9" max="9" width="15.5703125" style="26" customWidth="1"/>
    <col min="10" max="10" width="16.42578125" style="16" customWidth="1"/>
    <col min="11" max="17" width="8.5703125" style="16"/>
    <col min="18" max="78" width="8.7109375" style="16"/>
  </cols>
  <sheetData>
    <row r="1" spans="1:9" ht="60.75" thickBot="1" x14ac:dyDescent="0.3">
      <c r="A1" s="407" t="s">
        <v>4749</v>
      </c>
      <c r="B1" s="407" t="s">
        <v>4748</v>
      </c>
      <c r="C1" s="16"/>
      <c r="D1" s="16"/>
      <c r="E1" s="16"/>
      <c r="F1" s="16"/>
      <c r="G1" s="16"/>
      <c r="H1" s="16"/>
    </row>
    <row r="2" spans="1:9" x14ac:dyDescent="0.25">
      <c r="A2" s="16"/>
      <c r="B2" s="16"/>
      <c r="C2" s="559" t="str">
        <f xml:space="preserve"> "B11 – Convictions and fines for corruption and bribery "&amp; template_reporting_period_display &amp; " [If applicable]"</f>
        <v>B11 – Convictions and fines for corruption and bribery from 01/01/2024 to 31/12/2024 [If applicable]</v>
      </c>
      <c r="D2" s="560"/>
      <c r="E2" s="560"/>
      <c r="F2" s="560"/>
      <c r="G2" s="560"/>
      <c r="H2" s="561"/>
    </row>
    <row r="3" spans="1:9" x14ac:dyDescent="0.25">
      <c r="A3" s="16"/>
      <c r="B3" s="16"/>
      <c r="C3" s="1012">
        <v>43</v>
      </c>
      <c r="D3" s="1013"/>
      <c r="E3" s="1013"/>
      <c r="F3" s="1013"/>
      <c r="G3" s="1013"/>
      <c r="H3" s="1014"/>
    </row>
    <row r="4" spans="1:9" x14ac:dyDescent="0.25">
      <c r="A4" s="16"/>
      <c r="B4" s="16"/>
      <c r="C4" s="1015" t="s">
        <v>4811</v>
      </c>
      <c r="D4" s="981"/>
      <c r="E4" s="981"/>
      <c r="F4" s="981"/>
      <c r="G4" s="981"/>
      <c r="H4" s="1016"/>
    </row>
    <row r="5" spans="1:9" s="16" customFormat="1" x14ac:dyDescent="0.25">
      <c r="C5" s="993" t="s">
        <v>4003</v>
      </c>
      <c r="D5" s="994"/>
      <c r="E5" s="994"/>
      <c r="F5" s="994"/>
      <c r="G5" s="994"/>
      <c r="H5" s="230" t="b">
        <v>1</v>
      </c>
      <c r="I5" s="26"/>
    </row>
    <row r="6" spans="1:9" s="16" customFormat="1" ht="21.6" customHeight="1" x14ac:dyDescent="0.25">
      <c r="C6" s="1032" t="s">
        <v>4032</v>
      </c>
      <c r="D6" s="1033"/>
      <c r="E6" s="1033"/>
      <c r="F6" s="1033"/>
      <c r="G6" s="1034"/>
      <c r="H6" s="442">
        <v>10000</v>
      </c>
      <c r="I6" s="26" t="str">
        <f>IF(AND($H$5=TRUE,H6&lt;&gt;""),"OK",IF(AND($H$5=TRUE,H6=""),"MISSING VALUE",""))</f>
        <v>OK</v>
      </c>
    </row>
    <row r="7" spans="1:9" s="16" customFormat="1" ht="15.75" thickBot="1" x14ac:dyDescent="0.3">
      <c r="C7" s="1035" t="str">
        <f>"Total amount of fines for the violation of anti-corruption and anti_x0002_bribery laws (monetary amount) in " &amp;  template_currency</f>
        <v xml:space="preserve">Total amount of fines for the violation of anti-corruption and anti_x0002_bribery laws (monetary amount) in EUR  </v>
      </c>
      <c r="D7" s="1036"/>
      <c r="E7" s="1036"/>
      <c r="F7" s="1036"/>
      <c r="G7" s="1037"/>
      <c r="H7" s="442">
        <v>10000</v>
      </c>
      <c r="I7" s="26" t="str">
        <f>IF(AND($H$5=TRUE,H7&lt;&gt;""),"OK",IF(AND($H$5=TRUE,H7=""),"MISSING VALUE",""))</f>
        <v>OK</v>
      </c>
    </row>
    <row r="8" spans="1:9" s="16" customFormat="1" ht="15.75" thickBot="1" x14ac:dyDescent="0.3">
      <c r="I8" s="26"/>
    </row>
    <row r="9" spans="1:9" s="16" customFormat="1" x14ac:dyDescent="0.25">
      <c r="C9" s="794" t="str">
        <f xml:space="preserve"> "C8 – Revenues from certain sectors " &amp; template_reporting_period_display &amp; " [If applicable]"</f>
        <v>C8 – Revenues from certain sectors from 01/01/2024 to 31/12/2024 [If applicable]</v>
      </c>
      <c r="D9" s="1007"/>
      <c r="E9" s="1007"/>
      <c r="F9" s="1007"/>
      <c r="G9" s="1007"/>
      <c r="H9" s="1008"/>
      <c r="I9" s="26"/>
    </row>
    <row r="10" spans="1:9" ht="28.15" customHeight="1" x14ac:dyDescent="0.25">
      <c r="A10" s="16"/>
      <c r="B10" s="16"/>
      <c r="C10" s="993" t="s">
        <v>4004</v>
      </c>
      <c r="D10" s="994"/>
      <c r="E10" s="994"/>
      <c r="F10" s="994"/>
      <c r="G10" s="994"/>
      <c r="H10" s="231" t="b">
        <v>1</v>
      </c>
    </row>
    <row r="11" spans="1:9" x14ac:dyDescent="0.25">
      <c r="A11" s="16"/>
      <c r="B11" s="16"/>
      <c r="C11" s="1022"/>
      <c r="D11" s="1023"/>
      <c r="E11" s="1023"/>
      <c r="F11" s="1023"/>
      <c r="G11" s="1023"/>
      <c r="H11" s="68" t="str">
        <f xml:space="preserve"> "Monetary amount in " &amp; template_currency</f>
        <v xml:space="preserve">Monetary amount in EUR  </v>
      </c>
    </row>
    <row r="12" spans="1:9" s="16" customFormat="1" ht="32.450000000000003" customHeight="1" x14ac:dyDescent="0.25">
      <c r="A12" s="394" t="s">
        <v>4812</v>
      </c>
      <c r="B12" s="395" t="s">
        <v>4816</v>
      </c>
      <c r="C12" s="548" t="s">
        <v>3773</v>
      </c>
      <c r="D12" s="549"/>
      <c r="E12" s="549"/>
      <c r="F12" s="549"/>
      <c r="G12" s="549"/>
      <c r="H12" s="442">
        <v>10000</v>
      </c>
      <c r="I12" s="995" t="str" cm="1">
        <f t="array" ref="I12">IF(OR(COUNTIF(H12:H16,"-")&gt;0,COUNTIF(H18,"-")&gt;0,AND(H12:H16="",H18="")),"",IF(AND(OR(H12:H16&lt;&gt;"",H18&lt;&gt;""),SUM(H12:H16,H18)&lt;='General Information'!E61),"OK","VALUE INCONSISTENCY"))</f>
        <v>VALUE INCONSISTENCY</v>
      </c>
    </row>
    <row r="13" spans="1:9" s="16" customFormat="1" ht="15.75" thickBot="1" x14ac:dyDescent="0.3">
      <c r="A13" s="394" t="s">
        <v>4813</v>
      </c>
      <c r="B13" s="395" t="s">
        <v>4816</v>
      </c>
      <c r="C13" s="771" t="s">
        <v>3772</v>
      </c>
      <c r="D13" s="772"/>
      <c r="E13" s="772"/>
      <c r="F13" s="772"/>
      <c r="G13" s="772"/>
      <c r="H13" s="442">
        <v>10000</v>
      </c>
      <c r="I13" s="995"/>
    </row>
    <row r="14" spans="1:9" s="16" customFormat="1" x14ac:dyDescent="0.25">
      <c r="A14" s="404" t="s">
        <v>4814</v>
      </c>
      <c r="B14" s="395" t="s">
        <v>4816</v>
      </c>
      <c r="C14" s="996" t="s">
        <v>3771</v>
      </c>
      <c r="D14" s="997"/>
      <c r="E14" s="997"/>
      <c r="F14" s="997"/>
      <c r="G14" s="997"/>
      <c r="H14" s="442">
        <v>10000</v>
      </c>
      <c r="I14" s="995"/>
    </row>
    <row r="15" spans="1:9" s="16" customFormat="1" x14ac:dyDescent="0.25">
      <c r="A15" s="404" t="s">
        <v>4814</v>
      </c>
      <c r="B15" s="395" t="s">
        <v>4816</v>
      </c>
      <c r="C15" s="548" t="s">
        <v>3770</v>
      </c>
      <c r="D15" s="549"/>
      <c r="E15" s="549"/>
      <c r="F15" s="549"/>
      <c r="G15" s="549"/>
      <c r="H15" s="442">
        <v>10000</v>
      </c>
      <c r="I15" s="995"/>
    </row>
    <row r="16" spans="1:9" s="16" customFormat="1" x14ac:dyDescent="0.25">
      <c r="A16" s="404" t="s">
        <v>4814</v>
      </c>
      <c r="B16" s="395" t="s">
        <v>4816</v>
      </c>
      <c r="C16" s="548" t="s">
        <v>3769</v>
      </c>
      <c r="D16" s="549"/>
      <c r="E16" s="549"/>
      <c r="F16" s="549"/>
      <c r="G16" s="549"/>
      <c r="H16" s="442">
        <v>10000</v>
      </c>
      <c r="I16" s="995"/>
    </row>
    <row r="17" spans="1:9" s="16" customFormat="1" ht="60.6" customHeight="1" thickBot="1" x14ac:dyDescent="0.3">
      <c r="A17" s="404" t="s">
        <v>4814</v>
      </c>
      <c r="B17" s="395" t="s">
        <v>4816</v>
      </c>
      <c r="C17" s="991" t="s">
        <v>4033</v>
      </c>
      <c r="D17" s="992"/>
      <c r="E17" s="992"/>
      <c r="F17" s="992"/>
      <c r="G17" s="992"/>
      <c r="H17" s="442">
        <v>10000</v>
      </c>
      <c r="I17" s="995"/>
    </row>
    <row r="18" spans="1:9" s="16" customFormat="1" ht="15.75" thickBot="1" x14ac:dyDescent="0.3">
      <c r="A18" s="394" t="s">
        <v>4815</v>
      </c>
      <c r="B18" s="395" t="s">
        <v>4816</v>
      </c>
      <c r="C18" s="1020" t="s">
        <v>3768</v>
      </c>
      <c r="D18" s="1021"/>
      <c r="E18" s="1021"/>
      <c r="F18" s="1021"/>
      <c r="G18" s="1021"/>
      <c r="H18" s="442">
        <v>10000</v>
      </c>
      <c r="I18" s="995"/>
    </row>
    <row r="19" spans="1:9" s="16" customFormat="1" ht="15.75" thickBot="1" x14ac:dyDescent="0.3">
      <c r="I19" s="26"/>
    </row>
    <row r="20" spans="1:9" s="16" customFormat="1" x14ac:dyDescent="0.25">
      <c r="B20" s="365"/>
      <c r="C20" s="794" t="str">
        <f xml:space="preserve"> "C8 – Exclusion from EU reference benchmarks " &amp; template_reporting_period_display &amp; " [Always to be reported]"</f>
        <v>C8 – Exclusion from EU reference benchmarks from 01/01/2024 to 31/12/2024 [Always to be reported]</v>
      </c>
      <c r="D20" s="1007"/>
      <c r="E20" s="1007"/>
      <c r="F20" s="1007"/>
      <c r="G20" s="1007"/>
      <c r="H20" s="1008"/>
      <c r="I20" s="26"/>
    </row>
    <row r="21" spans="1:9" s="16" customFormat="1" x14ac:dyDescent="0.25">
      <c r="B21" s="366"/>
      <c r="C21" s="1017" t="s">
        <v>3370</v>
      </c>
      <c r="D21" s="1018"/>
      <c r="E21" s="1018"/>
      <c r="F21" s="1018"/>
      <c r="G21" s="1018"/>
      <c r="H21" s="1019"/>
      <c r="I21" s="26"/>
    </row>
    <row r="22" spans="1:9" s="16" customFormat="1" ht="30" customHeight="1" x14ac:dyDescent="0.25">
      <c r="A22" s="394">
        <v>64</v>
      </c>
      <c r="B22" s="394" t="s">
        <v>4817</v>
      </c>
      <c r="C22" s="1024" t="s">
        <v>3294</v>
      </c>
      <c r="D22" s="1024"/>
      <c r="E22" s="1024"/>
      <c r="F22" s="1024"/>
      <c r="G22" s="1025"/>
      <c r="H22" s="232" t="b">
        <v>0</v>
      </c>
      <c r="I22" s="934"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6" customFormat="1" x14ac:dyDescent="0.25">
      <c r="A23" s="394">
        <v>64</v>
      </c>
      <c r="B23" s="394" t="s">
        <v>4818</v>
      </c>
      <c r="C23" s="1026" t="s">
        <v>3293</v>
      </c>
      <c r="D23" s="1026"/>
      <c r="E23" s="1026"/>
      <c r="F23" s="1026"/>
      <c r="G23" s="1027"/>
      <c r="H23" s="233" t="b">
        <v>0</v>
      </c>
      <c r="I23" s="934"/>
    </row>
    <row r="24" spans="1:9" s="16" customFormat="1" ht="32.450000000000003" customHeight="1" x14ac:dyDescent="0.25">
      <c r="A24" s="394">
        <v>64</v>
      </c>
      <c r="B24" s="394" t="s">
        <v>4819</v>
      </c>
      <c r="C24" s="1028" t="s">
        <v>3292</v>
      </c>
      <c r="D24" s="1028"/>
      <c r="E24" s="1028"/>
      <c r="F24" s="1028"/>
      <c r="G24" s="1029"/>
      <c r="H24" s="233" t="b">
        <v>0</v>
      </c>
      <c r="I24" s="934"/>
    </row>
    <row r="25" spans="1:9" s="16" customFormat="1" ht="31.15" customHeight="1" thickBot="1" x14ac:dyDescent="0.3">
      <c r="A25" s="394">
        <v>64</v>
      </c>
      <c r="B25" s="394" t="s">
        <v>4820</v>
      </c>
      <c r="C25" s="1030" t="s">
        <v>4035</v>
      </c>
      <c r="D25" s="1030"/>
      <c r="E25" s="1030"/>
      <c r="F25" s="1030"/>
      <c r="G25" s="1031"/>
      <c r="H25" s="234" t="b">
        <v>1</v>
      </c>
      <c r="I25" s="934"/>
    </row>
    <row r="26" spans="1:9" s="16" customFormat="1" ht="15.75" thickBot="1" x14ac:dyDescent="0.3">
      <c r="B26" s="365"/>
      <c r="C26" s="1001" t="s">
        <v>3645</v>
      </c>
      <c r="D26" s="1002"/>
      <c r="E26" s="1002"/>
      <c r="F26" s="1002"/>
      <c r="G26" s="1003"/>
      <c r="H26" s="235" t="b">
        <v>0</v>
      </c>
      <c r="I26" s="934"/>
    </row>
    <row r="27" spans="1:9" s="16" customFormat="1" ht="15.75" thickBot="1" x14ac:dyDescent="0.3">
      <c r="A27" s="394">
        <v>64</v>
      </c>
      <c r="B27" s="405">
        <v>241</v>
      </c>
      <c r="C27" s="1004" t="s">
        <v>3746</v>
      </c>
      <c r="D27" s="1005"/>
      <c r="E27" s="1005"/>
      <c r="F27" s="1005"/>
      <c r="G27" s="1006"/>
      <c r="H27" s="443" t="str">
        <f>IF(AND(OR(H22=TRUE, H23=TRUE, H24=TRUE, H25=TRUE), H26=FALSE), "YES",
   IF(AND(OR(H22=TRUE, H23=TRUE, H24=TRUE, H25=TRUE), H26=TRUE), "NA",
   IF(AND(H22=FALSE, H23=FALSE, H24=FALSE, H25=FALSE, H26=TRUE), "NO",
   IF(AND(H22=FALSE, H23=FALSE, H24=FALSE, H25=FALSE, H26=FALSE), "-", ""))))</f>
        <v>YES</v>
      </c>
      <c r="I27" s="26" t="str">
        <f>IF(H27=TRUE, "OK", "")</f>
        <v/>
      </c>
    </row>
    <row r="28" spans="1:9" s="16" customFormat="1" ht="15.75" thickBot="1" x14ac:dyDescent="0.3">
      <c r="I28" s="26"/>
    </row>
    <row r="29" spans="1:9" s="16" customFormat="1" x14ac:dyDescent="0.25">
      <c r="C29" s="1009" t="str">
        <f>"C9 – Gender diversity ratio in the governance body " &amp; template_ending_date_display &amp; "  [If applicable]"</f>
        <v>C9 – Gender diversity ratio in the governance body at 31/12/2024  [If applicable]</v>
      </c>
      <c r="D29" s="1010"/>
      <c r="E29" s="1010"/>
      <c r="F29" s="1010"/>
      <c r="G29" s="1010"/>
      <c r="H29" s="1011"/>
      <c r="I29" s="26"/>
    </row>
    <row r="30" spans="1:9" s="16" customFormat="1" x14ac:dyDescent="0.25">
      <c r="C30" s="993" t="s">
        <v>4005</v>
      </c>
      <c r="D30" s="994"/>
      <c r="E30" s="994"/>
      <c r="F30" s="994"/>
      <c r="G30" s="994"/>
      <c r="H30" s="231" t="b">
        <v>1</v>
      </c>
      <c r="I30" s="26"/>
    </row>
    <row r="31" spans="1:9" s="16" customFormat="1" x14ac:dyDescent="0.25">
      <c r="A31" s="981">
        <v>65</v>
      </c>
      <c r="B31" s="984" t="s">
        <v>4821</v>
      </c>
      <c r="C31" s="989" t="s">
        <v>4483</v>
      </c>
      <c r="D31" s="990"/>
      <c r="E31" s="990"/>
      <c r="F31" s="990"/>
      <c r="G31" s="990"/>
      <c r="H31" s="236">
        <v>10000</v>
      </c>
      <c r="I31" s="26" t="str">
        <f>IF(AND($H$30=TRUE,H31&lt;&gt;""),"OK",IF(AND($H$30=TRUE,H31=""),"MISSING VALUE",""))</f>
        <v>OK</v>
      </c>
    </row>
    <row r="32" spans="1:9" s="16" customFormat="1" x14ac:dyDescent="0.25">
      <c r="A32" s="982"/>
      <c r="B32" s="985"/>
      <c r="C32" s="989" t="s">
        <v>4484</v>
      </c>
      <c r="D32" s="990"/>
      <c r="E32" s="990"/>
      <c r="F32" s="990"/>
      <c r="G32" s="990"/>
      <c r="H32" s="236">
        <v>10000</v>
      </c>
      <c r="I32" s="26" t="str">
        <f>IF(AND($H$30=TRUE,H32&lt;&gt;""),"OK",IF(AND($H$30=TRUE,H32=""),"MISSING VALUE",""))</f>
        <v>OK</v>
      </c>
    </row>
    <row r="33" spans="1:9" s="16" customFormat="1" ht="15.75" thickBot="1" x14ac:dyDescent="0.3">
      <c r="A33" s="983"/>
      <c r="B33" s="986"/>
      <c r="C33" s="987" t="s">
        <v>4485</v>
      </c>
      <c r="D33" s="988"/>
      <c r="E33" s="988"/>
      <c r="F33" s="988"/>
      <c r="G33" s="988"/>
      <c r="H33" s="444">
        <v>1000</v>
      </c>
      <c r="I33" s="26"/>
    </row>
    <row r="34" spans="1:9" s="16" customFormat="1" x14ac:dyDescent="0.25">
      <c r="I34" s="26"/>
    </row>
    <row r="35" spans="1:9" s="16" customFormat="1" x14ac:dyDescent="0.25">
      <c r="I35" s="26"/>
    </row>
    <row r="36" spans="1:9" s="16" customFormat="1" x14ac:dyDescent="0.25">
      <c r="C36" s="495" t="str">
        <f>+ "Disclosure of any other governance and/or entity specific governance disclosures " &amp; template_reporting_period_display &amp; "  [May (optional)] "</f>
        <v xml:space="preserve">Disclosure of any other governance and/or entity specific governance disclosures from 01/01/2024 to 31/12/2024  [May (optional)] </v>
      </c>
      <c r="D36" s="496"/>
      <c r="E36" s="496"/>
      <c r="F36" s="496"/>
      <c r="G36" s="496"/>
      <c r="H36" s="497"/>
      <c r="I36" s="26"/>
    </row>
    <row r="37" spans="1:9" s="16" customFormat="1" x14ac:dyDescent="0.25">
      <c r="C37" s="998">
        <v>10</v>
      </c>
      <c r="D37" s="999"/>
      <c r="E37" s="999"/>
      <c r="F37" s="999"/>
      <c r="G37" s="999"/>
      <c r="H37" s="1000"/>
      <c r="I37" s="26"/>
    </row>
    <row r="38" spans="1:9" s="16" customFormat="1" ht="15.75" thickBot="1" x14ac:dyDescent="0.3">
      <c r="C38" s="489" t="s">
        <v>4822</v>
      </c>
      <c r="D38" s="490"/>
      <c r="E38" s="490"/>
      <c r="F38" s="490"/>
      <c r="G38" s="490"/>
      <c r="H38" s="978"/>
      <c r="I38" s="31" t="str">
        <f>IF(C38&lt;&gt;"", "OK", "")</f>
        <v>OK</v>
      </c>
    </row>
    <row r="39" spans="1:9" s="16" customFormat="1" x14ac:dyDescent="0.25">
      <c r="I39" s="26"/>
    </row>
    <row r="40" spans="1:9" s="16" customFormat="1" x14ac:dyDescent="0.25">
      <c r="I40" s="26"/>
    </row>
    <row r="41" spans="1:9" s="16" customFormat="1" x14ac:dyDescent="0.25">
      <c r="I41" s="26"/>
    </row>
    <row r="42" spans="1:9" s="16" customFormat="1" x14ac:dyDescent="0.25">
      <c r="I42" s="26"/>
    </row>
    <row r="43" spans="1:9" s="16" customFormat="1" x14ac:dyDescent="0.25">
      <c r="I43" s="26"/>
    </row>
    <row r="44" spans="1:9" s="16" customFormat="1" x14ac:dyDescent="0.25">
      <c r="I44" s="26"/>
    </row>
    <row r="45" spans="1:9" s="16" customFormat="1" x14ac:dyDescent="0.25">
      <c r="I45" s="26"/>
    </row>
    <row r="46" spans="1:9" s="16" customFormat="1" x14ac:dyDescent="0.25">
      <c r="I46" s="26"/>
    </row>
    <row r="47" spans="1:9" s="16" customFormat="1" x14ac:dyDescent="0.25">
      <c r="I47" s="26"/>
    </row>
    <row r="48" spans="1:9" s="16" customFormat="1" x14ac:dyDescent="0.25">
      <c r="I48" s="26"/>
    </row>
    <row r="49" spans="9:9" s="16" customFormat="1" x14ac:dyDescent="0.25">
      <c r="I49" s="26"/>
    </row>
    <row r="50" spans="9:9" s="16" customFormat="1" x14ac:dyDescent="0.25">
      <c r="I50" s="26"/>
    </row>
    <row r="51" spans="9:9" s="16" customFormat="1" x14ac:dyDescent="0.25">
      <c r="I51" s="26"/>
    </row>
    <row r="52" spans="9:9" s="16" customFormat="1" x14ac:dyDescent="0.25">
      <c r="I52" s="26"/>
    </row>
    <row r="53" spans="9:9" s="16" customFormat="1" x14ac:dyDescent="0.25">
      <c r="I53" s="26"/>
    </row>
    <row r="54" spans="9:9" s="16" customFormat="1" x14ac:dyDescent="0.25">
      <c r="I54" s="26"/>
    </row>
    <row r="55" spans="9:9" s="16" customFormat="1" x14ac:dyDescent="0.25">
      <c r="I55" s="26"/>
    </row>
    <row r="56" spans="9:9" s="16" customFormat="1" x14ac:dyDescent="0.25">
      <c r="I56" s="26"/>
    </row>
    <row r="57" spans="9:9" s="16" customFormat="1" x14ac:dyDescent="0.25">
      <c r="I57" s="26"/>
    </row>
    <row r="58" spans="9:9" s="16" customFormat="1" x14ac:dyDescent="0.25">
      <c r="I58" s="26"/>
    </row>
    <row r="59" spans="9:9" s="16" customFormat="1" x14ac:dyDescent="0.25">
      <c r="I59" s="26"/>
    </row>
    <row r="60" spans="9:9" s="16" customFormat="1" x14ac:dyDescent="0.25">
      <c r="I60" s="26"/>
    </row>
    <row r="61" spans="9:9" s="16" customFormat="1" x14ac:dyDescent="0.25">
      <c r="I61" s="26"/>
    </row>
    <row r="62" spans="9:9" s="16" customFormat="1" x14ac:dyDescent="0.25">
      <c r="I62" s="26"/>
    </row>
    <row r="63" spans="9:9" s="16" customFormat="1" x14ac:dyDescent="0.25">
      <c r="I63" s="26"/>
    </row>
    <row r="64" spans="9:9" s="16" customFormat="1" x14ac:dyDescent="0.25">
      <c r="I64" s="26"/>
    </row>
    <row r="65" spans="9:9" s="16" customFormat="1" x14ac:dyDescent="0.25">
      <c r="I65" s="26"/>
    </row>
    <row r="66" spans="9:9" s="16" customFormat="1" x14ac:dyDescent="0.25">
      <c r="I66" s="26"/>
    </row>
    <row r="67" spans="9:9" s="16" customFormat="1" x14ac:dyDescent="0.25">
      <c r="I67" s="26"/>
    </row>
    <row r="68" spans="9:9" s="16" customFormat="1" x14ac:dyDescent="0.25">
      <c r="I68" s="26"/>
    </row>
    <row r="69" spans="9:9" s="16" customFormat="1" x14ac:dyDescent="0.25">
      <c r="I69" s="26"/>
    </row>
    <row r="70" spans="9:9" s="16" customFormat="1" x14ac:dyDescent="0.25">
      <c r="I70" s="26"/>
    </row>
    <row r="71" spans="9:9" s="16" customFormat="1" x14ac:dyDescent="0.25">
      <c r="I71" s="26"/>
    </row>
    <row r="72" spans="9:9" s="16" customFormat="1" x14ac:dyDescent="0.25">
      <c r="I72" s="26"/>
    </row>
    <row r="73" spans="9:9" s="16" customFormat="1" x14ac:dyDescent="0.25">
      <c r="I73" s="26"/>
    </row>
    <row r="74" spans="9:9" s="16" customFormat="1" x14ac:dyDescent="0.25">
      <c r="I74" s="26"/>
    </row>
    <row r="75" spans="9:9" s="16" customFormat="1" x14ac:dyDescent="0.25">
      <c r="I75" s="26"/>
    </row>
    <row r="76" spans="9:9" s="16" customFormat="1" x14ac:dyDescent="0.25">
      <c r="I76" s="26"/>
    </row>
    <row r="77" spans="9:9" s="16" customFormat="1" x14ac:dyDescent="0.25">
      <c r="I77" s="26"/>
    </row>
    <row r="78" spans="9:9" s="16" customFormat="1" x14ac:dyDescent="0.25">
      <c r="I78" s="26"/>
    </row>
    <row r="79" spans="9:9" s="16" customFormat="1" x14ac:dyDescent="0.25">
      <c r="I79" s="26"/>
    </row>
    <row r="80" spans="9:9" s="16" customFormat="1" x14ac:dyDescent="0.25">
      <c r="I80" s="26"/>
    </row>
    <row r="81" spans="9:9" s="16" customFormat="1" x14ac:dyDescent="0.25">
      <c r="I81" s="26"/>
    </row>
    <row r="82" spans="9:9" s="16" customFormat="1" x14ac:dyDescent="0.25">
      <c r="I82" s="26"/>
    </row>
    <row r="83" spans="9:9" s="16" customFormat="1" x14ac:dyDescent="0.25">
      <c r="I83" s="26"/>
    </row>
    <row r="84" spans="9:9" s="16" customFormat="1" x14ac:dyDescent="0.25">
      <c r="I84" s="26"/>
    </row>
    <row r="85" spans="9:9" s="16" customFormat="1" x14ac:dyDescent="0.25">
      <c r="I85" s="26"/>
    </row>
    <row r="86" spans="9:9" s="16" customFormat="1" x14ac:dyDescent="0.25">
      <c r="I86" s="26"/>
    </row>
    <row r="87" spans="9:9" s="16" customFormat="1" x14ac:dyDescent="0.25">
      <c r="I87" s="26"/>
    </row>
    <row r="88" spans="9:9" s="16" customFormat="1" x14ac:dyDescent="0.25">
      <c r="I88" s="26"/>
    </row>
    <row r="89" spans="9:9" s="16" customFormat="1" x14ac:dyDescent="0.25">
      <c r="I89" s="26"/>
    </row>
    <row r="90" spans="9:9" s="16" customFormat="1" x14ac:dyDescent="0.25">
      <c r="I90" s="26"/>
    </row>
    <row r="91" spans="9:9" s="16" customFormat="1" x14ac:dyDescent="0.25">
      <c r="I91" s="26"/>
    </row>
    <row r="92" spans="9:9" s="16" customFormat="1" x14ac:dyDescent="0.25">
      <c r="I92" s="26"/>
    </row>
    <row r="93" spans="9:9" s="16" customFormat="1" x14ac:dyDescent="0.25">
      <c r="I93" s="26"/>
    </row>
    <row r="94" spans="9:9" s="16" customFormat="1" x14ac:dyDescent="0.25">
      <c r="I94" s="26"/>
    </row>
    <row r="95" spans="9:9" s="16" customFormat="1" x14ac:dyDescent="0.25">
      <c r="I95" s="26"/>
    </row>
    <row r="96" spans="9:9" s="16" customFormat="1" x14ac:dyDescent="0.25">
      <c r="I96" s="26"/>
    </row>
    <row r="97" spans="9:9" s="16" customFormat="1" x14ac:dyDescent="0.25">
      <c r="I97" s="26"/>
    </row>
    <row r="98" spans="9:9" s="16" customFormat="1" x14ac:dyDescent="0.25">
      <c r="I98" s="26"/>
    </row>
    <row r="99" spans="9:9" s="16" customFormat="1" x14ac:dyDescent="0.25">
      <c r="I99" s="26"/>
    </row>
    <row r="100" spans="9:9" s="16" customFormat="1" x14ac:dyDescent="0.25">
      <c r="I100" s="26"/>
    </row>
    <row r="101" spans="9:9" s="16" customFormat="1" x14ac:dyDescent="0.25">
      <c r="I101" s="26"/>
    </row>
    <row r="102" spans="9:9" s="16" customFormat="1" x14ac:dyDescent="0.25">
      <c r="I102" s="26"/>
    </row>
    <row r="103" spans="9:9" s="16" customFormat="1" x14ac:dyDescent="0.25">
      <c r="I103" s="26"/>
    </row>
    <row r="104" spans="9:9" s="16" customFormat="1" x14ac:dyDescent="0.25">
      <c r="I104" s="26"/>
    </row>
    <row r="105" spans="9:9" s="16" customFormat="1" x14ac:dyDescent="0.25">
      <c r="I105" s="26"/>
    </row>
    <row r="106" spans="9:9" s="16" customFormat="1" x14ac:dyDescent="0.25">
      <c r="I106" s="26"/>
    </row>
    <row r="107" spans="9:9" s="16" customFormat="1" x14ac:dyDescent="0.25">
      <c r="I107" s="26"/>
    </row>
    <row r="108" spans="9:9" s="16" customFormat="1" x14ac:dyDescent="0.25">
      <c r="I108" s="26"/>
    </row>
    <row r="109" spans="9:9" s="16" customFormat="1" x14ac:dyDescent="0.25">
      <c r="I109" s="26"/>
    </row>
    <row r="110" spans="9:9" s="16" customFormat="1" x14ac:dyDescent="0.25">
      <c r="I110" s="26"/>
    </row>
    <row r="111" spans="9:9" s="16" customFormat="1" x14ac:dyDescent="0.25">
      <c r="I111" s="26"/>
    </row>
    <row r="112" spans="9:9" s="16" customFormat="1" x14ac:dyDescent="0.25">
      <c r="I112" s="26"/>
    </row>
    <row r="113" spans="9:9" s="16" customFormat="1" x14ac:dyDescent="0.25">
      <c r="I113" s="26"/>
    </row>
    <row r="114" spans="9:9" s="16" customFormat="1" x14ac:dyDescent="0.25">
      <c r="I114" s="26"/>
    </row>
    <row r="115" spans="9:9" s="16" customFormat="1" x14ac:dyDescent="0.25">
      <c r="I115" s="26"/>
    </row>
    <row r="116" spans="9:9" s="16" customFormat="1" x14ac:dyDescent="0.25">
      <c r="I116" s="26"/>
    </row>
    <row r="117" spans="9:9" s="16" customFormat="1" x14ac:dyDescent="0.25">
      <c r="I117" s="26"/>
    </row>
    <row r="118" spans="9:9" s="16" customFormat="1" x14ac:dyDescent="0.25">
      <c r="I118" s="26"/>
    </row>
    <row r="119" spans="9:9" s="16" customFormat="1" x14ac:dyDescent="0.25">
      <c r="I119" s="26"/>
    </row>
    <row r="120" spans="9:9" s="16" customFormat="1" x14ac:dyDescent="0.25">
      <c r="I120" s="26"/>
    </row>
    <row r="121" spans="9:9" s="16" customFormat="1" x14ac:dyDescent="0.25">
      <c r="I121" s="26"/>
    </row>
    <row r="122" spans="9:9" s="16" customFormat="1" x14ac:dyDescent="0.25">
      <c r="I122" s="26"/>
    </row>
    <row r="123" spans="9:9" s="16" customFormat="1" x14ac:dyDescent="0.25">
      <c r="I123" s="26"/>
    </row>
    <row r="124" spans="9:9" s="16" customFormat="1" x14ac:dyDescent="0.25">
      <c r="I124" s="26"/>
    </row>
    <row r="125" spans="9:9" s="16" customFormat="1" x14ac:dyDescent="0.25">
      <c r="I125" s="26"/>
    </row>
    <row r="126" spans="9:9" s="16" customFormat="1" x14ac:dyDescent="0.25">
      <c r="I126" s="26"/>
    </row>
    <row r="127" spans="9:9" s="16" customFormat="1" x14ac:dyDescent="0.25">
      <c r="I127" s="26"/>
    </row>
    <row r="128" spans="9:9" s="16" customFormat="1" x14ac:dyDescent="0.25">
      <c r="I128" s="26"/>
    </row>
    <row r="129" spans="9:9" s="16" customFormat="1" x14ac:dyDescent="0.25">
      <c r="I129" s="26"/>
    </row>
    <row r="130" spans="9:9" s="16" customFormat="1" x14ac:dyDescent="0.25">
      <c r="I130" s="26"/>
    </row>
    <row r="131" spans="9:9" s="16" customFormat="1" x14ac:dyDescent="0.25">
      <c r="I131" s="26"/>
    </row>
    <row r="132" spans="9:9" s="16" customFormat="1" x14ac:dyDescent="0.25">
      <c r="I132" s="26"/>
    </row>
    <row r="133" spans="9:9" s="16" customFormat="1" x14ac:dyDescent="0.25">
      <c r="I133" s="26"/>
    </row>
    <row r="134" spans="9:9" s="16" customFormat="1" x14ac:dyDescent="0.25">
      <c r="I134" s="26"/>
    </row>
    <row r="135" spans="9:9" s="16" customFormat="1" x14ac:dyDescent="0.25">
      <c r="I135" s="26"/>
    </row>
    <row r="136" spans="9:9" s="16" customFormat="1" x14ac:dyDescent="0.25">
      <c r="I136" s="26"/>
    </row>
    <row r="137" spans="9:9" s="16" customFormat="1" x14ac:dyDescent="0.25">
      <c r="I137" s="26"/>
    </row>
    <row r="138" spans="9:9" s="16" customFormat="1" x14ac:dyDescent="0.25">
      <c r="I138" s="26"/>
    </row>
    <row r="139" spans="9:9" s="16" customFormat="1" x14ac:dyDescent="0.25">
      <c r="I139" s="26"/>
    </row>
    <row r="140" spans="9:9" s="16" customFormat="1" x14ac:dyDescent="0.25">
      <c r="I140" s="26"/>
    </row>
    <row r="141" spans="9:9" s="16" customFormat="1" x14ac:dyDescent="0.25">
      <c r="I141" s="26"/>
    </row>
    <row r="142" spans="9:9" s="16" customFormat="1" x14ac:dyDescent="0.25">
      <c r="I142" s="26"/>
    </row>
    <row r="143" spans="9:9" s="16" customFormat="1" x14ac:dyDescent="0.25">
      <c r="I143" s="26"/>
    </row>
    <row r="144" spans="9:9" s="16" customFormat="1" x14ac:dyDescent="0.25">
      <c r="I144" s="26"/>
    </row>
    <row r="145" spans="9:9" s="16" customFormat="1" x14ac:dyDescent="0.25">
      <c r="I145" s="26"/>
    </row>
    <row r="146" spans="9:9" s="16" customFormat="1" x14ac:dyDescent="0.25">
      <c r="I146" s="26"/>
    </row>
    <row r="147" spans="9:9" s="16" customFormat="1" x14ac:dyDescent="0.25">
      <c r="I147" s="26"/>
    </row>
    <row r="148" spans="9:9" s="16" customFormat="1" x14ac:dyDescent="0.25">
      <c r="I148" s="26"/>
    </row>
    <row r="149" spans="9:9" s="16" customFormat="1" x14ac:dyDescent="0.25">
      <c r="I149" s="26"/>
    </row>
    <row r="150" spans="9:9" s="16" customFormat="1" x14ac:dyDescent="0.25">
      <c r="I150" s="26"/>
    </row>
    <row r="151" spans="9:9" s="16" customFormat="1" x14ac:dyDescent="0.25">
      <c r="I151" s="26"/>
    </row>
    <row r="152" spans="9:9" s="16" customFormat="1" x14ac:dyDescent="0.25">
      <c r="I152" s="26"/>
    </row>
    <row r="153" spans="9:9" s="16" customFormat="1" x14ac:dyDescent="0.25">
      <c r="I153" s="26"/>
    </row>
    <row r="154" spans="9:9" s="16" customFormat="1" x14ac:dyDescent="0.25">
      <c r="I154" s="26"/>
    </row>
    <row r="155" spans="9:9" s="16" customFormat="1" x14ac:dyDescent="0.25">
      <c r="I155" s="26"/>
    </row>
    <row r="156" spans="9:9" s="16" customFormat="1" x14ac:dyDescent="0.25">
      <c r="I156" s="26"/>
    </row>
    <row r="157" spans="9:9" s="16" customFormat="1" x14ac:dyDescent="0.25">
      <c r="I157" s="26"/>
    </row>
    <row r="158" spans="9:9" s="16" customFormat="1" x14ac:dyDescent="0.25">
      <c r="I158" s="26"/>
    </row>
    <row r="159" spans="9:9" s="16" customFormat="1" x14ac:dyDescent="0.25">
      <c r="I159" s="26"/>
    </row>
    <row r="160" spans="9:9" s="16" customFormat="1" x14ac:dyDescent="0.25">
      <c r="I160" s="26"/>
    </row>
    <row r="161" spans="9:9" s="16" customFormat="1" x14ac:dyDescent="0.25">
      <c r="I161" s="26"/>
    </row>
    <row r="162" spans="9:9" s="16" customFormat="1" x14ac:dyDescent="0.25">
      <c r="I162" s="26"/>
    </row>
    <row r="163" spans="9:9" s="16" customFormat="1" x14ac:dyDescent="0.25">
      <c r="I163" s="26"/>
    </row>
    <row r="164" spans="9:9" s="16" customFormat="1" x14ac:dyDescent="0.25">
      <c r="I164" s="26"/>
    </row>
    <row r="165" spans="9:9" s="16" customFormat="1" x14ac:dyDescent="0.25">
      <c r="I165" s="26"/>
    </row>
    <row r="166" spans="9:9" s="16" customFormat="1" x14ac:dyDescent="0.25">
      <c r="I166" s="26"/>
    </row>
    <row r="167" spans="9:9" s="16" customFormat="1" x14ac:dyDescent="0.25">
      <c r="I167" s="26"/>
    </row>
    <row r="168" spans="9:9" s="16" customFormat="1" x14ac:dyDescent="0.25">
      <c r="I168" s="26"/>
    </row>
    <row r="169" spans="9:9" s="16" customFormat="1" x14ac:dyDescent="0.25">
      <c r="I169" s="26"/>
    </row>
    <row r="170" spans="9:9" s="16" customFormat="1" x14ac:dyDescent="0.25">
      <c r="I170" s="26"/>
    </row>
    <row r="171" spans="9:9" s="16" customFormat="1" x14ac:dyDescent="0.25">
      <c r="I171" s="26"/>
    </row>
    <row r="172" spans="9:9" s="16" customFormat="1" x14ac:dyDescent="0.25">
      <c r="I172" s="26"/>
    </row>
    <row r="173" spans="9:9" s="16" customFormat="1" x14ac:dyDescent="0.25">
      <c r="I173" s="26"/>
    </row>
    <row r="174" spans="9:9" s="16" customFormat="1" x14ac:dyDescent="0.25">
      <c r="I174" s="26"/>
    </row>
    <row r="175" spans="9:9" s="16" customFormat="1" x14ac:dyDescent="0.25">
      <c r="I175" s="26"/>
    </row>
    <row r="176" spans="9:9" s="16" customFormat="1" x14ac:dyDescent="0.25">
      <c r="I176" s="26"/>
    </row>
    <row r="177" spans="9:9" s="16" customFormat="1" x14ac:dyDescent="0.25">
      <c r="I177" s="26"/>
    </row>
    <row r="178" spans="9:9" s="16" customFormat="1" x14ac:dyDescent="0.25">
      <c r="I178" s="26"/>
    </row>
    <row r="179" spans="9:9" s="16" customFormat="1" x14ac:dyDescent="0.25">
      <c r="I179" s="26"/>
    </row>
    <row r="180" spans="9:9" s="16" customFormat="1" x14ac:dyDescent="0.25">
      <c r="I180" s="26"/>
    </row>
    <row r="181" spans="9:9" s="16" customFormat="1" x14ac:dyDescent="0.25">
      <c r="I181" s="26"/>
    </row>
    <row r="182" spans="9:9" s="16" customFormat="1" x14ac:dyDescent="0.25">
      <c r="I182" s="26"/>
    </row>
    <row r="183" spans="9:9" s="16" customFormat="1" x14ac:dyDescent="0.25">
      <c r="I183" s="26"/>
    </row>
    <row r="184" spans="9:9" s="16" customFormat="1" x14ac:dyDescent="0.25">
      <c r="I184" s="26"/>
    </row>
    <row r="185" spans="9:9" s="16" customFormat="1" x14ac:dyDescent="0.25">
      <c r="I185" s="26"/>
    </row>
    <row r="186" spans="9:9" s="16" customFormat="1" x14ac:dyDescent="0.25">
      <c r="I186" s="26"/>
    </row>
    <row r="187" spans="9:9" s="16" customFormat="1" x14ac:dyDescent="0.25">
      <c r="I187" s="26"/>
    </row>
    <row r="188" spans="9:9" s="16" customFormat="1" x14ac:dyDescent="0.25">
      <c r="I188" s="26"/>
    </row>
    <row r="189" spans="9:9" s="16" customFormat="1" x14ac:dyDescent="0.25">
      <c r="I189" s="26"/>
    </row>
    <row r="190" spans="9:9" s="16" customFormat="1" x14ac:dyDescent="0.25">
      <c r="I190" s="26"/>
    </row>
    <row r="191" spans="9:9" s="16" customFormat="1" x14ac:dyDescent="0.25">
      <c r="I191" s="26"/>
    </row>
    <row r="192" spans="9:9" s="16" customFormat="1" x14ac:dyDescent="0.25">
      <c r="I192" s="26"/>
    </row>
    <row r="193" spans="9:9" s="16" customFormat="1" x14ac:dyDescent="0.25">
      <c r="I193" s="26"/>
    </row>
    <row r="194" spans="9:9" s="16" customFormat="1" x14ac:dyDescent="0.25">
      <c r="I194" s="26"/>
    </row>
    <row r="195" spans="9:9" s="16" customFormat="1" x14ac:dyDescent="0.25">
      <c r="I195" s="26"/>
    </row>
    <row r="196" spans="9:9" s="16" customFormat="1" x14ac:dyDescent="0.25">
      <c r="I196" s="26"/>
    </row>
    <row r="197" spans="9:9" s="16" customFormat="1" x14ac:dyDescent="0.25">
      <c r="I197" s="26"/>
    </row>
    <row r="198" spans="9:9" s="16" customFormat="1" x14ac:dyDescent="0.25">
      <c r="I198" s="26"/>
    </row>
    <row r="199" spans="9:9" s="16" customFormat="1" x14ac:dyDescent="0.25">
      <c r="I199" s="26"/>
    </row>
    <row r="200" spans="9:9" s="16" customFormat="1" x14ac:dyDescent="0.25">
      <c r="I200" s="26"/>
    </row>
    <row r="201" spans="9:9" s="16" customFormat="1" x14ac:dyDescent="0.25">
      <c r="I201" s="26"/>
    </row>
    <row r="202" spans="9:9" s="16" customFormat="1" x14ac:dyDescent="0.25">
      <c r="I202" s="26"/>
    </row>
    <row r="203" spans="9:9" s="16" customFormat="1" x14ac:dyDescent="0.25">
      <c r="I203" s="26"/>
    </row>
    <row r="204" spans="9:9" s="16" customFormat="1" x14ac:dyDescent="0.25">
      <c r="I204" s="26"/>
    </row>
    <row r="205" spans="9:9" s="16" customFormat="1" x14ac:dyDescent="0.25">
      <c r="I205" s="26"/>
    </row>
    <row r="206" spans="9:9" s="16" customFormat="1" x14ac:dyDescent="0.25">
      <c r="I206" s="26"/>
    </row>
    <row r="207" spans="9:9" s="16" customFormat="1" x14ac:dyDescent="0.25">
      <c r="I207" s="26"/>
    </row>
    <row r="208" spans="9:9" s="16" customFormat="1" x14ac:dyDescent="0.25">
      <c r="I208" s="26"/>
    </row>
    <row r="209" spans="9:9" s="16" customFormat="1" x14ac:dyDescent="0.25">
      <c r="I209" s="26"/>
    </row>
    <row r="210" spans="9:9" s="16" customFormat="1" x14ac:dyDescent="0.25">
      <c r="I210" s="26"/>
    </row>
    <row r="211" spans="9:9" s="16" customFormat="1" x14ac:dyDescent="0.25">
      <c r="I211" s="26"/>
    </row>
    <row r="212" spans="9:9" s="16" customFormat="1" x14ac:dyDescent="0.25">
      <c r="I212" s="26"/>
    </row>
    <row r="213" spans="9:9" s="16" customFormat="1" x14ac:dyDescent="0.25">
      <c r="I213" s="26"/>
    </row>
    <row r="214" spans="9:9" s="16" customFormat="1" x14ac:dyDescent="0.25">
      <c r="I214" s="26"/>
    </row>
    <row r="215" spans="9:9" s="16" customFormat="1" x14ac:dyDescent="0.25">
      <c r="I215" s="26"/>
    </row>
    <row r="216" spans="9:9" s="16" customFormat="1" x14ac:dyDescent="0.25">
      <c r="I216" s="26"/>
    </row>
    <row r="217" spans="9:9" s="16" customFormat="1" x14ac:dyDescent="0.25">
      <c r="I217" s="26"/>
    </row>
    <row r="218" spans="9:9" s="16" customFormat="1" x14ac:dyDescent="0.25">
      <c r="I218" s="26"/>
    </row>
  </sheetData>
  <sheetProtection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5" priority="13">
      <formula>$H$5=TRUE</formula>
    </cfRule>
  </conditionalFormatting>
  <conditionalFormatting sqref="H12:H18">
    <cfRule type="expression" dxfId="94" priority="1">
      <formula>$H$5=TRUE</formula>
    </cfRule>
  </conditionalFormatting>
  <conditionalFormatting sqref="H31:H32">
    <cfRule type="expression" dxfId="93" priority="10">
      <formula>$H$30=TRUE</formula>
    </cfRule>
  </conditionalFormatting>
  <conditionalFormatting sqref="I6:I7">
    <cfRule type="expression" dxfId="92" priority="9">
      <formula>$I6="MISSING VALUE"</formula>
    </cfRule>
    <cfRule type="expression" dxfId="91" priority="31">
      <formula>$I6="OK"</formula>
    </cfRule>
  </conditionalFormatting>
  <conditionalFormatting sqref="I12:I18">
    <cfRule type="expression" dxfId="90" priority="17">
      <formula>$I$12="VALUE INCONSISTENCY"</formula>
    </cfRule>
    <cfRule type="expression" dxfId="89" priority="18">
      <formula>$I$12="OK"</formula>
    </cfRule>
  </conditionalFormatting>
  <conditionalFormatting sqref="I22">
    <cfRule type="expression" dxfId="88" priority="14">
      <formula>$I$22="OK"</formula>
    </cfRule>
    <cfRule type="expression" dxfId="87" priority="15">
      <formula>$I$22="MISSING VALUE"</formula>
    </cfRule>
  </conditionalFormatting>
  <conditionalFormatting sqref="I27">
    <cfRule type="expression" dxfId="86" priority="24">
      <formula>$I$27="OK"</formula>
    </cfRule>
  </conditionalFormatting>
  <conditionalFormatting sqref="I30:I32">
    <cfRule type="expression" dxfId="85" priority="23">
      <formula>$I30="OK"</formula>
    </cfRule>
  </conditionalFormatting>
  <conditionalFormatting sqref="I31:I32">
    <cfRule type="expression" dxfId="84" priority="8">
      <formula>$I31="MISSING VALUE"</formula>
    </cfRule>
  </conditionalFormatting>
  <conditionalFormatting sqref="I38">
    <cfRule type="expression" dxfId="83" priority="16">
      <formula>$I$38="OK"</formula>
    </cfRule>
  </conditionalFormatting>
  <dataValidations xWindow="935" yWindow="705" count="11">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H7 H12:H18"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22"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topLeftCell="A3" zoomScaleNormal="100" workbookViewId="0">
      <selection activeCell="P18" sqref="P18"/>
    </sheetView>
  </sheetViews>
  <sheetFormatPr defaultRowHeight="15" outlineLevelCol="1" x14ac:dyDescent="0.25"/>
  <cols>
    <col min="1" max="1" width="36.28515625" bestFit="1" customWidth="1"/>
    <col min="2" max="2" width="31.85546875" bestFit="1" customWidth="1"/>
    <col min="3" max="3" width="68.85546875" style="16" customWidth="1"/>
    <col min="4" max="4" width="27.42578125" style="16" customWidth="1"/>
    <col min="5" max="5" width="10.7109375" style="16" customWidth="1"/>
    <col min="6" max="6" width="16.42578125" style="16" customWidth="1"/>
    <col min="7" max="7" width="17" style="16" customWidth="1"/>
    <col min="8" max="8" width="20.5703125" style="16" customWidth="1"/>
    <col min="9" max="9" width="23.5703125" style="16" customWidth="1"/>
    <col min="10" max="10" width="14.7109375" style="16" customWidth="1"/>
    <col min="11" max="11" width="24.5703125" style="16" customWidth="1" outlineLevel="1"/>
    <col min="12" max="12" width="25" style="16" customWidth="1" outlineLevel="1"/>
    <col min="13" max="13" width="67.5703125" style="16" customWidth="1" outlineLevel="1"/>
    <col min="14" max="14" width="15.5703125" style="16" customWidth="1"/>
    <col min="15" max="15" width="24.5703125" style="16" customWidth="1" outlineLevel="1"/>
    <col min="16" max="16" width="25" style="16" customWidth="1" outlineLevel="1"/>
    <col min="17" max="17" width="62.28515625" style="16" customWidth="1" outlineLevel="1"/>
    <col min="18" max="18" width="19.42578125" style="16" customWidth="1"/>
    <col min="19" max="19" width="24.5703125" style="16" hidden="1" customWidth="1" outlineLevel="1"/>
    <col min="20" max="20" width="25" style="16" hidden="1" customWidth="1" outlineLevel="1"/>
    <col min="21" max="21" width="34.5703125" style="16" hidden="1" customWidth="1" outlineLevel="1"/>
    <col min="22" max="22" width="23.5703125" style="16" customWidth="1" collapsed="1"/>
    <col min="23" max="23" width="24.5703125" style="16" hidden="1" customWidth="1" outlineLevel="1"/>
    <col min="24" max="24" width="25" style="16" hidden="1" customWidth="1" outlineLevel="1"/>
    <col min="25" max="25" width="33.5703125" style="16" hidden="1" customWidth="1" outlineLevel="1"/>
    <col min="26" max="26" width="8.7109375" style="16" collapsed="1"/>
    <col min="27" max="27" width="24.5703125" style="16" hidden="1" customWidth="1" outlineLevel="1"/>
    <col min="28" max="28" width="25" style="16" hidden="1" customWidth="1" outlineLevel="1"/>
    <col min="29" max="29" width="46.42578125" style="16" hidden="1" customWidth="1" outlineLevel="1"/>
    <col min="30" max="30" width="8.7109375" style="16" collapsed="1"/>
    <col min="31" max="31" width="24.5703125" style="16" hidden="1" customWidth="1" outlineLevel="1"/>
    <col min="32" max="32" width="25" style="16" hidden="1" customWidth="1" outlineLevel="1"/>
    <col min="33" max="33" width="42" style="16" hidden="1" customWidth="1" outlineLevel="1"/>
    <col min="34" max="34" width="8.7109375" style="16" collapsed="1"/>
    <col min="35" max="35" width="24.5703125" style="16" hidden="1" customWidth="1" outlineLevel="1"/>
    <col min="36" max="36" width="25" style="16" hidden="1" customWidth="1" outlineLevel="1"/>
    <col min="37" max="37" width="39.7109375" hidden="1" customWidth="1" outlineLevel="1"/>
    <col min="38" max="38" width="9.28515625" style="16" collapsed="1"/>
    <col min="39" max="39" width="24.5703125" hidden="1" customWidth="1" outlineLevel="1"/>
    <col min="40" max="40" width="25" hidden="1" customWidth="1" outlineLevel="1"/>
    <col min="41" max="41" width="42.42578125" hidden="1" customWidth="1" outlineLevel="1"/>
    <col min="42" max="42" width="9.28515625" style="16" collapsed="1"/>
    <col min="43" max="43" width="24.5703125" style="16" hidden="1" customWidth="1" outlineLevel="1"/>
    <col min="44" max="44" width="25" style="16" hidden="1" customWidth="1" outlineLevel="1"/>
    <col min="45" max="45" width="45.7109375" style="16" hidden="1" customWidth="1" outlineLevel="1"/>
    <col min="46" max="46" width="9.28515625" style="16" collapsed="1"/>
    <col min="47" max="16382" width="9.28515625" style="16"/>
    <col min="16383" max="16384" width="8.7109375" style="16" bestFit="1" customWidth="1"/>
  </cols>
  <sheetData>
    <row r="1" spans="1:45" ht="28.5" customHeight="1" thickTop="1" thickBot="1" x14ac:dyDescent="0.4">
      <c r="A1" s="102" t="s">
        <v>3646</v>
      </c>
      <c r="B1" s="16"/>
      <c r="AK1" s="16"/>
      <c r="AM1" s="16"/>
      <c r="AN1" s="16"/>
      <c r="AO1" s="16"/>
    </row>
    <row r="2" spans="1:45" ht="40.15" customHeight="1" thickTop="1" x14ac:dyDescent="0.25">
      <c r="A2" s="33"/>
      <c r="B2" s="16"/>
      <c r="AK2" s="16"/>
      <c r="AM2" s="16"/>
      <c r="AN2" s="16"/>
      <c r="AO2" s="16"/>
    </row>
    <row r="3" spans="1:45" ht="212.45" customHeight="1" x14ac:dyDescent="0.35">
      <c r="A3" s="1039" t="s">
        <v>4574</v>
      </c>
      <c r="B3" s="1039"/>
      <c r="C3" s="1039"/>
      <c r="D3" s="1039"/>
      <c r="E3" s="1039"/>
      <c r="F3" s="1039"/>
      <c r="G3" s="1039"/>
      <c r="H3" s="1039"/>
      <c r="I3" s="1039"/>
      <c r="J3" s="1039"/>
      <c r="AK3" s="16"/>
      <c r="AM3" s="16"/>
      <c r="AN3" s="16"/>
      <c r="AO3" s="16"/>
    </row>
    <row r="4" spans="1:45" ht="40.15" customHeight="1" thickBot="1" x14ac:dyDescent="0.3">
      <c r="A4" s="126"/>
      <c r="B4" s="126"/>
      <c r="C4" s="126"/>
      <c r="D4" s="126"/>
      <c r="E4" s="126"/>
      <c r="F4" s="126"/>
      <c r="G4" s="126"/>
      <c r="H4" s="126"/>
      <c r="I4" s="126"/>
      <c r="AK4" s="16"/>
      <c r="AM4" s="16"/>
      <c r="AN4" s="16"/>
      <c r="AO4" s="16"/>
    </row>
    <row r="5" spans="1:45" ht="17.45" customHeight="1" thickBot="1" x14ac:dyDescent="0.3">
      <c r="A5" s="128"/>
      <c r="B5" s="1038" t="s">
        <v>4477</v>
      </c>
      <c r="C5" s="1038"/>
      <c r="D5" s="1038"/>
      <c r="E5" s="126"/>
      <c r="F5" s="126"/>
      <c r="G5" s="126"/>
      <c r="H5" s="126"/>
      <c r="I5" s="126"/>
      <c r="AK5" s="16"/>
      <c r="AM5" s="16"/>
      <c r="AN5" s="16"/>
      <c r="AO5" s="16"/>
    </row>
    <row r="6" spans="1:45" ht="44.45" customHeight="1" thickBot="1" x14ac:dyDescent="0.3">
      <c r="A6" s="87" t="s">
        <v>4469</v>
      </c>
      <c r="B6" s="1038" t="s">
        <v>3767</v>
      </c>
      <c r="C6" s="1038"/>
      <c r="D6" s="1038"/>
      <c r="E6" s="126"/>
      <c r="F6" s="126"/>
      <c r="G6" s="126"/>
      <c r="H6" s="126"/>
      <c r="I6" s="126"/>
      <c r="AK6" s="16"/>
      <c r="AM6" s="16"/>
      <c r="AN6" s="16"/>
      <c r="AO6" s="16"/>
    </row>
    <row r="7" spans="1:45" ht="51.6" customHeight="1" thickBot="1" x14ac:dyDescent="0.3">
      <c r="A7" s="129" t="e" vm="1">
        <v>#VALUE!</v>
      </c>
      <c r="B7" s="1038" t="s">
        <v>4507</v>
      </c>
      <c r="C7" s="1038"/>
      <c r="D7" s="1038"/>
      <c r="E7" s="126"/>
      <c r="F7" s="126"/>
      <c r="G7" s="126"/>
      <c r="H7" s="126"/>
      <c r="I7" s="126"/>
      <c r="AK7" s="16"/>
      <c r="AM7" s="16"/>
      <c r="AN7" s="16"/>
      <c r="AO7" s="16"/>
    </row>
    <row r="8" spans="1:45" ht="40.15" customHeight="1" x14ac:dyDescent="0.25">
      <c r="A8" s="33"/>
      <c r="B8" s="16"/>
      <c r="AB8" s="127"/>
      <c r="AK8" s="16"/>
      <c r="AM8" s="16"/>
      <c r="AN8" s="16"/>
      <c r="AO8" s="16"/>
    </row>
    <row r="9" spans="1:45" ht="15.75" thickBot="1" x14ac:dyDescent="0.3">
      <c r="A9" s="77"/>
      <c r="B9" s="78"/>
      <c r="C9" s="79"/>
      <c r="E9" s="33" t="s">
        <v>4652</v>
      </c>
      <c r="K9" s="77"/>
      <c r="L9" s="78"/>
      <c r="M9" s="79"/>
      <c r="O9" s="77"/>
      <c r="P9" s="78"/>
      <c r="Q9" s="79"/>
      <c r="S9" s="77"/>
      <c r="T9" s="78"/>
      <c r="U9" s="79"/>
      <c r="W9" s="77"/>
      <c r="X9" s="78"/>
      <c r="Y9" s="79"/>
      <c r="AA9" s="77"/>
      <c r="AC9" s="79"/>
      <c r="AE9" s="77"/>
      <c r="AF9" s="78"/>
      <c r="AG9" s="79"/>
      <c r="AI9" s="77"/>
      <c r="AJ9" s="78"/>
      <c r="AK9" s="79"/>
      <c r="AM9" s="77"/>
      <c r="AN9" s="78"/>
      <c r="AO9" s="79"/>
      <c r="AQ9" s="77"/>
      <c r="AR9" s="78"/>
      <c r="AS9" s="79"/>
    </row>
    <row r="10" spans="1:45" ht="15.75" thickBot="1" x14ac:dyDescent="0.3">
      <c r="A10" s="80" t="s">
        <v>3647</v>
      </c>
      <c r="B10" s="238" t="s">
        <v>3692</v>
      </c>
      <c r="C10" s="81"/>
      <c r="E10" s="16" t="s">
        <v>4644</v>
      </c>
      <c r="K10" s="80" t="s">
        <v>3647</v>
      </c>
      <c r="L10" s="238" t="s">
        <v>3711</v>
      </c>
      <c r="M10" s="81"/>
      <c r="O10" s="80" t="s">
        <v>3647</v>
      </c>
      <c r="P10" s="238" t="s">
        <v>3736</v>
      </c>
      <c r="Q10" s="81"/>
      <c r="S10" s="80" t="s">
        <v>3647</v>
      </c>
      <c r="T10" s="238"/>
      <c r="U10" s="81"/>
      <c r="W10" s="80" t="s">
        <v>3647</v>
      </c>
      <c r="X10" s="238"/>
      <c r="Y10" s="81"/>
      <c r="AA10" s="80" t="s">
        <v>3647</v>
      </c>
      <c r="AB10" s="238"/>
      <c r="AC10" s="81"/>
      <c r="AE10" s="80" t="s">
        <v>3647</v>
      </c>
      <c r="AF10" s="238"/>
      <c r="AG10" s="81"/>
      <c r="AI10" s="80" t="s">
        <v>3647</v>
      </c>
      <c r="AJ10" s="238"/>
      <c r="AK10" s="81"/>
      <c r="AM10" s="80" t="s">
        <v>3647</v>
      </c>
      <c r="AN10" s="238"/>
      <c r="AO10" s="81"/>
      <c r="AQ10" s="80" t="s">
        <v>3647</v>
      </c>
      <c r="AR10" s="238"/>
      <c r="AS10" s="81"/>
    </row>
    <row r="11" spans="1:45" ht="15.75" thickBot="1" x14ac:dyDescent="0.3">
      <c r="A11" s="80" t="s">
        <v>3747</v>
      </c>
      <c r="B11" s="87" t="str">
        <f>IF(B10="", "-", IFERROR(IF(INDEX('Fuel Conversion Parameters'!$B$2:$B$61, MATCH(B10, 'Fuel Conversion Parameters'!$A$2:$A$61, 0))="", "MISSING VALUE", INDEX('Fuel Conversion Parameters'!$B$2:$B$61, MATCH(B10, 'Fuel Conversion Parameters'!$A$2:$A$61, 0))), "MISSING VALUE"))</f>
        <v>Liquid</v>
      </c>
      <c r="C11" s="81"/>
      <c r="E11" s="16" t="s">
        <v>4645</v>
      </c>
      <c r="K11" s="80" t="s">
        <v>3747</v>
      </c>
      <c r="L11" s="87" t="str">
        <f>IF(L10="", "-", IFERROR(IF(INDEX('Fuel Conversion Parameters'!$B$2:$B$61, MATCH(L10, 'Fuel Conversion Parameters'!$A$2:$A$61, 0))="", "MISSING VALUE", INDEX('Fuel Conversion Parameters'!$B$2:$B$61, MATCH(L10, 'Fuel Conversion Parameters'!$A$2:$A$61, 0))), "MISSING VALUE"))</f>
        <v>Gaseous</v>
      </c>
      <c r="M11" s="81"/>
      <c r="O11" s="80" t="s">
        <v>3747</v>
      </c>
      <c r="P11" s="87" t="str">
        <f>IF(P10="", "-", IFERROR(IF(INDEX('Fuel Conversion Parameters'!$B$2:$B$61, MATCH(P10, 'Fuel Conversion Parameters'!$A$2:$A$61, 0))="", "MISSING VALUE", INDEX('Fuel Conversion Parameters'!$B$2:$B$61, MATCH(P10, 'Fuel Conversion Parameters'!$A$2:$A$61, 0))), "MISSING VALUE"))</f>
        <v>Solid</v>
      </c>
      <c r="Q11" s="81"/>
      <c r="S11" s="80" t="s">
        <v>3747</v>
      </c>
      <c r="T11" s="87" t="str">
        <f>IF(T10="", "-", IFERROR(IF(INDEX('Fuel Conversion Parameters'!$B$2:$B$61, MATCH(T10, 'Fuel Conversion Parameters'!$A$2:$A$61, 0))="", "MISSING VALUE", INDEX('Fuel Conversion Parameters'!$B$2:$B$61, MATCH(T10, 'Fuel Conversion Parameters'!$A$2:$A$61, 0))), "MISSING VALUE"))</f>
        <v>-</v>
      </c>
      <c r="U11" s="81"/>
      <c r="W11" s="80" t="s">
        <v>3747</v>
      </c>
      <c r="X11" s="87" t="str">
        <f>IF(X10="", "-", IFERROR(IF(INDEX('Fuel Conversion Parameters'!$B$2:$B$61, MATCH(X10, 'Fuel Conversion Parameters'!$A$2:$A$61, 0))="", "MISSING VALUE", INDEX('Fuel Conversion Parameters'!$B$2:$B$61, MATCH(X10, 'Fuel Conversion Parameters'!$A$2:$A$61, 0))), "MISSING VALUE"))</f>
        <v>-</v>
      </c>
      <c r="Y11" s="81"/>
      <c r="AA11" s="80" t="s">
        <v>3747</v>
      </c>
      <c r="AB11" s="87" t="str">
        <f>IF(AB10="", "-", IFERROR(IF(INDEX('Fuel Conversion Parameters'!$B$2:$B$61, MATCH(AB10, 'Fuel Conversion Parameters'!$A$2:$A$61, 0))="", "MISSING VALUE", INDEX('Fuel Conversion Parameters'!$B$2:$B$61, MATCH(AB10, 'Fuel Conversion Parameters'!$A$2:$A$61, 0))), "MISSING VALUE"))</f>
        <v>-</v>
      </c>
      <c r="AC11" s="81"/>
      <c r="AE11" s="80" t="s">
        <v>3747</v>
      </c>
      <c r="AF11" s="87" t="str">
        <f>IF(AF10="", "-", IFERROR(IF(INDEX('Fuel Conversion Parameters'!$B$2:$B$61, MATCH(AF10, 'Fuel Conversion Parameters'!$A$2:$A$61, 0))="", "MISSING VALUE", INDEX('Fuel Conversion Parameters'!$B$2:$B$61, MATCH(AF10, 'Fuel Conversion Parameters'!$A$2:$A$61, 0))), "MISSING VALUE"))</f>
        <v>-</v>
      </c>
      <c r="AG11" s="81"/>
      <c r="AI11" s="80" t="s">
        <v>3747</v>
      </c>
      <c r="AJ11" s="87" t="str">
        <f>IF(AJ10="", "-", IFERROR(IF(INDEX('Fuel Conversion Parameters'!$B$2:$B$61, MATCH(AJ10, 'Fuel Conversion Parameters'!$A$2:$A$61, 0))="", "MISSING VALUE", INDEX('Fuel Conversion Parameters'!$B$2:$B$61, MATCH(AJ10, 'Fuel Conversion Parameters'!$A$2:$A$61, 0))), "MISSING VALUE"))</f>
        <v>-</v>
      </c>
      <c r="AK11" s="81"/>
      <c r="AM11" s="80" t="s">
        <v>3747</v>
      </c>
      <c r="AN11" s="87" t="str">
        <f>IF(AN10="", "-", IFERROR(IF(INDEX('Fuel Conversion Parameters'!$B$2:$B$61, MATCH(AN10, 'Fuel Conversion Parameters'!$A$2:$A$61, 0))="", "MISSING VALUE", INDEX('Fuel Conversion Parameters'!$B$2:$B$61, MATCH(AN10, 'Fuel Conversion Parameters'!$A$2:$A$61, 0))), "MISSING VALUE"))</f>
        <v>-</v>
      </c>
      <c r="AO11" s="81"/>
      <c r="AQ11" s="80" t="s">
        <v>3747</v>
      </c>
      <c r="AR11" s="87" t="str">
        <f>IF(AR10="", "-", IFERROR(IF(INDEX('Fuel Conversion Parameters'!$B$2:$B$61, MATCH(AR10, 'Fuel Conversion Parameters'!$A$2:$A$61, 0))="", "MISSING VALUE", INDEX('Fuel Conversion Parameters'!$B$2:$B$61, MATCH(AR10, 'Fuel Conversion Parameters'!$A$2:$A$61, 0))), "MISSING VALUE"))</f>
        <v>-</v>
      </c>
      <c r="AS11" s="81"/>
    </row>
    <row r="12" spans="1:45" ht="15.75" thickBot="1" x14ac:dyDescent="0.3">
      <c r="A12" s="67" t="s">
        <v>4545</v>
      </c>
      <c r="B12" s="87" t="str">
        <f>IF(B10="", "-", IFERROR(IF(INDEX('Fuel Conversion Parameters'!$F$2:$F$61, MATCH(B10, 'Fuel Conversion Parameters'!$A$2:$A$61, 0))="", "MISSING VALUE", INDEX('Fuel Conversion Parameters'!$F$2:$F$61, MATCH(B10, 'Fuel Conversion Parameters'!$A$2:$A$61, 0))), "MISSING VALUE"))</f>
        <v>Renewable</v>
      </c>
      <c r="C12" s="81"/>
      <c r="E12" s="16" t="s">
        <v>4646</v>
      </c>
      <c r="K12" s="80" t="s">
        <v>4545</v>
      </c>
      <c r="L12" s="87" t="str">
        <f>IF(L10="", "-", IFERROR(IF(INDEX('Fuel Conversion Parameters'!$F$2:$F$61, MATCH(L10, 'Fuel Conversion Parameters'!$A$2:$A$61, 0))="", "MISSING VALUE", INDEX('Fuel Conversion Parameters'!$F$2:$F$61, MATCH(L10, 'Fuel Conversion Parameters'!$A$2:$A$61, 0))), "MISSING VALUE"))</f>
        <v>Non-renewable</v>
      </c>
      <c r="M12" s="81"/>
      <c r="O12" s="80" t="s">
        <v>4545</v>
      </c>
      <c r="P12" s="87" t="str">
        <f>IF(P10="", "-", IFERROR(IF(INDEX('Fuel Conversion Parameters'!$F$2:$F$61, MATCH(P10, 'Fuel Conversion Parameters'!$A$2:$A$61, 0))="", "MISSING VALUE", INDEX('Fuel Conversion Parameters'!$F$2:$F$61, MATCH(P10, 'Fuel Conversion Parameters'!$A$2:$A$61, 0))), "MISSING VALUE"))</f>
        <v>Renewable</v>
      </c>
      <c r="Q12" s="81"/>
      <c r="S12" s="67" t="s">
        <v>4545</v>
      </c>
      <c r="T12" s="87" t="str">
        <f>IF(T10="", "-", IFERROR(IF(INDEX('Fuel Conversion Parameters'!$F$2:$F$61, MATCH(T10, 'Fuel Conversion Parameters'!$A$2:$A$61, 0))="", "MISSING VALUE", INDEX('Fuel Conversion Parameters'!$F$2:$F$61, MATCH(T10, 'Fuel Conversion Parameters'!$A$2:$A$61, 0))), "MISSING VALUE"))</f>
        <v>-</v>
      </c>
      <c r="U12" s="81"/>
      <c r="W12" s="67" t="s">
        <v>4545</v>
      </c>
      <c r="X12" s="87" t="str">
        <f>IF(X10="", "-", IFERROR(IF(INDEX('Fuel Conversion Parameters'!$F$2:$F$61, MATCH(X10, 'Fuel Conversion Parameters'!$A$2:$A$61, 0))="", "MISSING VALUE", INDEX('Fuel Conversion Parameters'!$F$2:$F$61, MATCH(X10, 'Fuel Conversion Parameters'!$A$2:$A$61, 0))), "MISSING VALUE"))</f>
        <v>-</v>
      </c>
      <c r="Y12" s="81"/>
      <c r="AA12" s="67" t="s">
        <v>4545</v>
      </c>
      <c r="AB12" s="87" t="str">
        <f>IF(AB10="", "-", IFERROR(IF(INDEX('Fuel Conversion Parameters'!$F$2:$F$61, MATCH(AB10, 'Fuel Conversion Parameters'!$A$2:$A$61, 0))="", "MISSING VALUE", INDEX('Fuel Conversion Parameters'!$F$2:$F$61, MATCH(AB10, 'Fuel Conversion Parameters'!$A$2:$A$61, 0))), "MISSING VALUE"))</f>
        <v>-</v>
      </c>
      <c r="AC12" s="81"/>
      <c r="AE12" s="67" t="s">
        <v>4545</v>
      </c>
      <c r="AF12" s="87" t="str">
        <f>IF(AF10="", "-", IFERROR(IF(INDEX('Fuel Conversion Parameters'!$F$2:$F$61, MATCH(AF10, 'Fuel Conversion Parameters'!$A$2:$A$61, 0))="", "MISSING VALUE", INDEX('Fuel Conversion Parameters'!$F$2:$F$61, MATCH(AF10, 'Fuel Conversion Parameters'!$A$2:$A$61, 0))), "MISSING VALUE"))</f>
        <v>-</v>
      </c>
      <c r="AG12" s="81"/>
      <c r="AI12" s="67" t="s">
        <v>4545</v>
      </c>
      <c r="AJ12" s="87" t="str">
        <f>IF(AJ10="", "-", IFERROR(IF(INDEX('Fuel Conversion Parameters'!$F$2:$F$61, MATCH(AJ10, 'Fuel Conversion Parameters'!$A$2:$A$61, 0))="", "MISSING VALUE", INDEX('Fuel Conversion Parameters'!$F$2:$F$61, MATCH(AJ10, 'Fuel Conversion Parameters'!$A$2:$A$61, 0))), "MISSING VALUE"))</f>
        <v>-</v>
      </c>
      <c r="AK12" s="81"/>
      <c r="AM12" s="67" t="s">
        <v>4545</v>
      </c>
      <c r="AN12" s="87" t="str">
        <f>IF(AN10="", "-", IFERROR(IF(INDEX('Fuel Conversion Parameters'!$F$2:$F$61, MATCH(AN10, 'Fuel Conversion Parameters'!$A$2:$A$61, 0))="", "MISSING VALUE", INDEX('Fuel Conversion Parameters'!$F$2:$F$61, MATCH(AN10, 'Fuel Conversion Parameters'!$A$2:$A$61, 0))), "MISSING VALUE"))</f>
        <v>-</v>
      </c>
      <c r="AO12" s="81"/>
      <c r="AQ12" s="67" t="s">
        <v>4545</v>
      </c>
      <c r="AR12" s="87" t="str">
        <f>IF(AR10="", "-", IFERROR(IF(INDEX('Fuel Conversion Parameters'!$F$2:$F$61, MATCH(AR10, 'Fuel Conversion Parameters'!$A$2:$A$61, 0))="", "MISSING VALUE", INDEX('Fuel Conversion Parameters'!$F$2:$F$61, MATCH(AR10, 'Fuel Conversion Parameters'!$A$2:$A$61, 0))), "MISSING VALUE"))</f>
        <v>-</v>
      </c>
      <c r="AS12" s="81"/>
    </row>
    <row r="13" spans="1:45" x14ac:dyDescent="0.25">
      <c r="A13" s="82"/>
      <c r="B13" s="31"/>
      <c r="C13" s="81"/>
      <c r="E13" s="16" t="s">
        <v>4647</v>
      </c>
      <c r="K13" s="82"/>
      <c r="L13" s="31"/>
      <c r="M13" s="81"/>
      <c r="O13" s="82"/>
      <c r="P13" s="31"/>
      <c r="Q13" s="81"/>
      <c r="S13" s="82"/>
      <c r="T13" s="31"/>
      <c r="U13" s="81"/>
      <c r="W13" s="82"/>
      <c r="X13" s="31"/>
      <c r="Y13" s="81"/>
      <c r="AA13" s="82"/>
      <c r="AB13" s="31"/>
      <c r="AC13" s="81"/>
      <c r="AE13" s="82"/>
      <c r="AF13" s="31"/>
      <c r="AG13" s="81"/>
      <c r="AI13" s="82"/>
      <c r="AJ13" s="31"/>
      <c r="AK13" s="81"/>
      <c r="AM13" s="82"/>
      <c r="AN13" s="31"/>
      <c r="AO13" s="81"/>
      <c r="AQ13" s="82"/>
      <c r="AR13" s="31"/>
      <c r="AS13" s="81"/>
    </row>
    <row r="14" spans="1:45" x14ac:dyDescent="0.25">
      <c r="A14" s="83"/>
      <c r="B14" s="16"/>
      <c r="C14" s="81"/>
      <c r="E14" s="16" t="s">
        <v>4649</v>
      </c>
      <c r="K14" s="83"/>
      <c r="M14" s="81"/>
      <c r="O14" s="83"/>
      <c r="Q14" s="81"/>
      <c r="S14" s="83"/>
      <c r="U14" s="81"/>
      <c r="W14" s="83"/>
      <c r="Y14" s="81"/>
      <c r="AA14" s="83"/>
      <c r="AC14" s="81"/>
      <c r="AE14" s="83"/>
      <c r="AG14" s="81"/>
      <c r="AI14" s="83"/>
      <c r="AK14" s="81"/>
      <c r="AM14" s="83"/>
      <c r="AN14" s="16"/>
      <c r="AO14" s="81"/>
      <c r="AQ14" s="83"/>
      <c r="AS14" s="81"/>
    </row>
    <row r="15" spans="1:45" ht="15.75" thickBot="1" x14ac:dyDescent="0.3">
      <c r="A15" s="84"/>
      <c r="B15" s="16"/>
      <c r="C15" s="81"/>
      <c r="E15" s="16" t="s">
        <v>4648</v>
      </c>
      <c r="K15" s="84"/>
      <c r="M15" s="81"/>
      <c r="O15" s="83"/>
      <c r="Q15" s="81"/>
      <c r="S15" s="83"/>
      <c r="U15" s="81"/>
      <c r="W15" s="83"/>
      <c r="Y15" s="81"/>
      <c r="AA15" s="83"/>
      <c r="AC15" s="81"/>
      <c r="AE15" s="83"/>
      <c r="AG15" s="81"/>
      <c r="AI15" s="83"/>
      <c r="AK15" s="81"/>
      <c r="AM15" s="83"/>
      <c r="AN15" s="16"/>
      <c r="AO15" s="81"/>
      <c r="AQ15" s="83"/>
      <c r="AS15" s="81"/>
    </row>
    <row r="16" spans="1:45" ht="15.75" thickBot="1" x14ac:dyDescent="0.3">
      <c r="A16" s="85" t="s">
        <v>2777</v>
      </c>
      <c r="B16" s="239" t="s">
        <v>4745</v>
      </c>
      <c r="C16" s="354"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353" t="s">
        <v>4657</v>
      </c>
      <c r="K16" s="85" t="s">
        <v>2777</v>
      </c>
      <c r="L16" s="239" t="s">
        <v>3690</v>
      </c>
      <c r="M16" s="354"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85" t="s">
        <v>2777</v>
      </c>
      <c r="P16" s="239" t="s">
        <v>3689</v>
      </c>
      <c r="Q16" s="81"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85" t="s">
        <v>2777</v>
      </c>
      <c r="T16" s="239"/>
      <c r="U16" s="354"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85" t="s">
        <v>2777</v>
      </c>
      <c r="X16" s="239"/>
      <c r="Y16" s="354"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85" t="s">
        <v>2777</v>
      </c>
      <c r="AB16" s="239"/>
      <c r="AC16" s="354"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85" t="s">
        <v>2777</v>
      </c>
      <c r="AF16" s="239"/>
      <c r="AG16" s="354"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85" t="s">
        <v>2777</v>
      </c>
      <c r="AJ16" s="239"/>
      <c r="AK16" s="354"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85" t="s">
        <v>2777</v>
      </c>
      <c r="AN16" s="239"/>
      <c r="AO16" s="354"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85" t="s">
        <v>2777</v>
      </c>
      <c r="AR16" s="239"/>
      <c r="AS16" s="354"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75" thickBot="1" x14ac:dyDescent="0.3">
      <c r="A17" s="80" t="s">
        <v>3752</v>
      </c>
      <c r="B17" s="240">
        <v>12</v>
      </c>
      <c r="C17" s="81"/>
      <c r="K17" s="80" t="s">
        <v>3752</v>
      </c>
      <c r="L17" s="240">
        <v>23</v>
      </c>
      <c r="M17" s="81"/>
      <c r="O17" s="80" t="s">
        <v>3752</v>
      </c>
      <c r="P17" s="240">
        <v>1234</v>
      </c>
      <c r="Q17" s="81"/>
      <c r="S17" s="80" t="s">
        <v>3752</v>
      </c>
      <c r="T17" s="240"/>
      <c r="U17" s="81"/>
      <c r="W17" s="80" t="s">
        <v>3752</v>
      </c>
      <c r="X17" s="240"/>
      <c r="Y17" s="81"/>
      <c r="AA17" s="80" t="s">
        <v>3752</v>
      </c>
      <c r="AB17" s="240"/>
      <c r="AC17" s="81"/>
      <c r="AE17" s="80" t="s">
        <v>3752</v>
      </c>
      <c r="AF17" s="240"/>
      <c r="AG17" s="81"/>
      <c r="AI17" s="80" t="s">
        <v>3752</v>
      </c>
      <c r="AJ17" s="240"/>
      <c r="AK17" s="81"/>
      <c r="AM17" s="80" t="s">
        <v>3752</v>
      </c>
      <c r="AN17" s="240"/>
      <c r="AO17" s="81"/>
      <c r="AQ17" s="80" t="s">
        <v>3752</v>
      </c>
      <c r="AR17" s="240"/>
      <c r="AS17" s="81"/>
    </row>
    <row r="18" spans="1:45" ht="18" customHeight="1" x14ac:dyDescent="0.25">
      <c r="A18" s="83"/>
      <c r="B18" s="242">
        <f>IF(B16="g - gram",B17*0.000000001,
IF(B16="Kg - Kilogram",B17*0.000001,
IF(B16="t - tonne",B17*0.001,
IF(B16="Gg - Gigagram",B17*1,
IF(B16="m³ - cubic meters",B17*1000,
IF(B16="L - Liter",B17*1,
""))))))</f>
        <v>12000</v>
      </c>
      <c r="C18" s="81"/>
      <c r="E18" s="341"/>
      <c r="F18" s="341"/>
      <c r="G18" s="341"/>
      <c r="H18" s="341"/>
      <c r="I18" s="341"/>
      <c r="K18" s="83"/>
      <c r="L18" s="242">
        <f>IF(L16="g - gram",L17*0.000000001,
IF(L16="Kg - Kilogram",L17*0.000001,
IF(L16="t - tonne",L17*0.001,
IF(L16="Gg - Gigagram",L17*1,
IF(L16="m³ - cubic meters",L17*1000,
IF(L16="L - Liter",L17*1,
""))))))</f>
        <v>23</v>
      </c>
      <c r="M18" s="81"/>
      <c r="O18" s="83"/>
      <c r="P18" s="242">
        <f>IF(P16="g - gram",P17*0.000000001,
IF(P16="Kg - Kilogram",P17*0.000001,
IF(P16="t - tonne",P17*0.001,
IF(P16="Gg - Gigagram",P17*1,
IF(P16="m³ - cubic meters",P17*1000,
IF(P16="L - Liter",P17*1,
""))))))</f>
        <v>1.234</v>
      </c>
      <c r="Q18" s="81"/>
      <c r="S18" s="83"/>
      <c r="T18" s="242" t="str">
        <f>IF(T16="g - gram",T17*0.000000001,
IF(T16="Kg - Kilogram",T17*0.000001,
IF(T16="t - tonne",T17*0.001,
IF(T16="Gg - Gigagram",T17*1,
IF(T16="m³ - cubic meters",T17*1000,
IF(T16="L - Liter",T17*1,
""))))))</f>
        <v/>
      </c>
      <c r="U18" s="81"/>
      <c r="W18" s="83"/>
      <c r="X18" s="242" t="str">
        <f>IF(X16="g - gram",X17*0.000000001,
IF(X16="Kg - Kilogram",X17*0.000001,
IF(X16="t - tonne",X17*0.001,
IF(X16="Gg - Gigagram",X17*1,
IF(X16="m³ - cubic meters",X17*1000,
IF(X16="L - Liter",X17*1,
""))))))</f>
        <v/>
      </c>
      <c r="Y18" s="81"/>
      <c r="AA18" s="83"/>
      <c r="AB18" s="242" t="str">
        <f>IF(AB16="g - gram",AB17*0.000000001,
IF(AB16="Kg - Kilogram",AB17*0.000001,
IF(AB16="t - tonne",AB17*0.001,
IF(AB16="Gg - Gigagram",AB17*1,
IF(AB16="m³ - cubic meters",AB17*1000,
IF(AB16="L - Liter",AB17*1,
""))))))</f>
        <v/>
      </c>
      <c r="AC18" s="81"/>
      <c r="AE18" s="83"/>
      <c r="AF18" s="242" t="str">
        <f>IF(AF16="g - gram",AF17*0.000000001,
IF(AF16="Kg - Kilogram",AF17*0.000001,
IF(AF16="t - tonne",AF17*0.001,
IF(AF16="Gg - Gigagram",AF17*1,
IF(AF16="m³ - cubic meters",AF17*1000,
IF(AF16="L - Liter",AF17*1,
""))))))</f>
        <v/>
      </c>
      <c r="AG18" s="81"/>
      <c r="AI18" s="83"/>
      <c r="AJ18" s="242" t="str">
        <f>IF(AJ16="g - gram",AJ17*0.000000001,
IF(AJ16="Kg - Kilogram",AJ17*0.000001,
IF(AJ16="t - tonne",AJ17*0.001,
IF(AJ16="Gg - Gigagram",AJ17*1,
IF(AJ16="m³ - cubic meters",AJ17*1000,
IF(AJ16="L - Liter",AJ17*1,
""))))))</f>
        <v/>
      </c>
      <c r="AK18" s="81"/>
      <c r="AM18" s="83"/>
      <c r="AN18" s="242" t="str">
        <f>IF(AN16="g - gram",AN17*0.000000001,
IF(AN16="Kg - Kilogram",AN17*0.000001,
IF(AN16="t - tonne",AN17*0.001,
IF(AN16="Gg - Gigagram",AN17*1,
IF(AN16="m³ - cubic meters",AN17*1000,
IF(AN16="L - Liter",AN17*1,
""))))))</f>
        <v/>
      </c>
      <c r="AO18" s="81"/>
      <c r="AQ18" s="83"/>
      <c r="AR18" s="242" t="str">
        <f>IF(AR16="g - gram",AR17*0.000000001,
IF(AR16="Kg - Kilogram",AR17*0.000001,
IF(AR16="t - tonne",AR17*0.001,
IF(AR16="Gg - Gigagram",AR17*1,
IF(AR16="m³ - cubic meters",AR17*1000,
IF(AR16="L - Liter",AR17*1,
""))))))</f>
        <v/>
      </c>
      <c r="AS18" s="81"/>
    </row>
    <row r="19" spans="1:45" x14ac:dyDescent="0.25">
      <c r="A19" s="83"/>
      <c r="B19" s="29"/>
      <c r="C19" s="81"/>
      <c r="K19" s="83"/>
      <c r="L19" s="29"/>
      <c r="M19" s="81"/>
      <c r="O19" s="83"/>
      <c r="P19" s="29"/>
      <c r="Q19" s="81"/>
      <c r="S19" s="83"/>
      <c r="T19" s="29"/>
      <c r="U19" s="81"/>
      <c r="W19" s="83"/>
      <c r="X19" s="29"/>
      <c r="Y19" s="81"/>
      <c r="AA19" s="83"/>
      <c r="AB19" s="29"/>
      <c r="AC19" s="81"/>
      <c r="AE19" s="83"/>
      <c r="AF19" s="29"/>
      <c r="AG19" s="81"/>
      <c r="AI19" s="83"/>
      <c r="AJ19" s="29"/>
      <c r="AK19" s="81"/>
      <c r="AM19" s="83"/>
      <c r="AN19" s="29"/>
      <c r="AO19" s="81"/>
      <c r="AQ19" s="83"/>
      <c r="AR19" s="29"/>
      <c r="AS19" s="81"/>
    </row>
    <row r="20" spans="1:45" ht="15.75" thickBot="1" x14ac:dyDescent="0.3">
      <c r="A20" s="16"/>
      <c r="B20" s="16"/>
      <c r="C20" s="81"/>
      <c r="K20" s="83"/>
      <c r="M20" s="81"/>
      <c r="O20" s="83"/>
      <c r="Q20" s="81"/>
      <c r="S20" s="83"/>
      <c r="U20" s="81"/>
      <c r="W20" s="83"/>
      <c r="Y20" s="81"/>
      <c r="AA20" s="83"/>
      <c r="AC20" s="81"/>
      <c r="AE20" s="83"/>
      <c r="AG20" s="81"/>
      <c r="AI20" s="83"/>
      <c r="AK20" s="81"/>
      <c r="AM20" s="83"/>
      <c r="AN20" s="16"/>
      <c r="AO20" s="81"/>
      <c r="AQ20" s="83"/>
      <c r="AS20" s="81"/>
    </row>
    <row r="21" spans="1:45" ht="15.75" thickBot="1" x14ac:dyDescent="0.3">
      <c r="A21" s="80" t="s">
        <v>3648</v>
      </c>
      <c r="B21" s="16"/>
      <c r="C21" s="81"/>
      <c r="E21" s="341"/>
      <c r="F21" s="341"/>
      <c r="G21" s="341"/>
      <c r="H21" s="341"/>
      <c r="I21" s="341"/>
      <c r="K21" s="80" t="s">
        <v>3648</v>
      </c>
      <c r="M21" s="81"/>
      <c r="O21" s="80" t="s">
        <v>3648</v>
      </c>
      <c r="Q21" s="81"/>
      <c r="S21" s="80" t="s">
        <v>3648</v>
      </c>
      <c r="U21" s="81"/>
      <c r="W21" s="80" t="s">
        <v>3648</v>
      </c>
      <c r="Y21" s="81"/>
      <c r="AA21" s="80" t="s">
        <v>3648</v>
      </c>
      <c r="AC21" s="81"/>
      <c r="AE21" s="80" t="s">
        <v>3648</v>
      </c>
      <c r="AG21" s="81"/>
      <c r="AI21" s="80" t="s">
        <v>3648</v>
      </c>
      <c r="AK21" s="81"/>
      <c r="AM21" s="80" t="s">
        <v>3648</v>
      </c>
      <c r="AN21" s="16"/>
      <c r="AO21" s="81"/>
      <c r="AQ21" s="80" t="s">
        <v>3648</v>
      </c>
      <c r="AS21" s="81"/>
    </row>
    <row r="22" spans="1:45" ht="15.75" thickBot="1" x14ac:dyDescent="0.3">
      <c r="A22" s="86">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6" t="str">
        <f>IFERROR(IF(AND(B17&lt;&gt;0,A22=0),"ERROR",""),"")</f>
        <v/>
      </c>
      <c r="C22" s="81"/>
      <c r="K22" s="86">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6" t="str">
        <f>IFERROR(IF(AND(L17&lt;&gt;0,K22=0),"ERROR",""),"")</f>
        <v/>
      </c>
      <c r="M22" s="81"/>
      <c r="O22" s="86">
        <f>IF(OR(
   O23="",
   P17="",
   Q16="Liquid fuel: please change unit of measurement, select one among m³ and L",
   Q16="Gaseous fuel: please change unit of measurement, select one among m³ and L",
   Q16="Solid fuel: please change unit of measurement, select one among Gg, t, Kg and g"
),
"-",
IFERROR(O23*277.778, "")
)</f>
        <v>5347.3376112000005</v>
      </c>
      <c r="P22" s="16" t="str">
        <f>IFERROR(IF(AND(P17&lt;&gt;0,O22=0),"ERROR",""),"")</f>
        <v/>
      </c>
      <c r="Q22" s="81"/>
      <c r="S22" s="86"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6" t="str">
        <f>IFERROR(IF(AND(T17&lt;&gt;0,S22=0),"ERROR",""),"")</f>
        <v/>
      </c>
      <c r="U22" s="81"/>
      <c r="W22" s="86"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6" t="str">
        <f>IFERROR(IF(AND(X17&lt;&gt;0,W22=0),"ERROR",""),"")</f>
        <v/>
      </c>
      <c r="Y22" s="81"/>
      <c r="AA22" s="86"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6" t="str">
        <f>IFERROR(IF(AND(AB17&lt;&gt;0,AA22=0),"ERROR",""),"")</f>
        <v/>
      </c>
      <c r="AC22" s="81"/>
      <c r="AE22" s="86"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6" t="str">
        <f>IFERROR(IF(AND(AF17&lt;&gt;0,AE22=0),"ERROR",""),"")</f>
        <v/>
      </c>
      <c r="AG22" s="81"/>
      <c r="AI22" s="86"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6" t="str">
        <f>IFERROR(IF(AND(AJ17&lt;&gt;0,AI22=0),"ERROR",""),"")</f>
        <v/>
      </c>
      <c r="AK22" s="81"/>
      <c r="AM22" s="86"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6" t="str">
        <f>IFERROR(IF(AND(AN17&lt;&gt;0,AM22=0),"ERROR",""),"")</f>
        <v/>
      </c>
      <c r="AO22" s="81"/>
      <c r="AQ22" s="86"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6" t="str">
        <f>IFERROR(IF(AND(AR17&lt;&gt;0,AQ22=0),"ERROR",""),"")</f>
        <v/>
      </c>
      <c r="AS22" s="81"/>
    </row>
    <row r="23" spans="1:45" x14ac:dyDescent="0.25">
      <c r="A23" s="338">
        <f>IFERROR(A26, "")</f>
        <v>0.27539999999999998</v>
      </c>
      <c r="B23" s="127"/>
      <c r="C23" s="339"/>
      <c r="K23" s="340">
        <f>IFERROR(K26, "")</f>
        <v>7.7049999999999997E-7</v>
      </c>
      <c r="L23" s="127"/>
      <c r="M23" s="339"/>
      <c r="O23" s="340">
        <f>IFERROR(O26, "")</f>
        <v>19.250399999999999</v>
      </c>
      <c r="P23" s="127"/>
      <c r="Q23" s="339"/>
      <c r="S23" s="340" t="str">
        <f>IFERROR(S26, "")</f>
        <v/>
      </c>
      <c r="T23" s="127"/>
      <c r="U23" s="339"/>
      <c r="W23" s="340" t="str">
        <f>IFERROR(W26, "")</f>
        <v/>
      </c>
      <c r="X23" s="127"/>
      <c r="Y23" s="339"/>
      <c r="AA23" s="340" t="str">
        <f>IFERROR(AA26, "")</f>
        <v/>
      </c>
      <c r="AB23" s="127"/>
      <c r="AC23" s="339"/>
      <c r="AE23" s="340" t="str">
        <f>IFERROR(AE26, "")</f>
        <v/>
      </c>
      <c r="AF23" s="127"/>
      <c r="AG23" s="339"/>
      <c r="AI23" s="340" t="str">
        <f>IFERROR(AI26, "")</f>
        <v/>
      </c>
      <c r="AJ23" s="127"/>
      <c r="AK23" s="339"/>
      <c r="AM23" s="340" t="str">
        <f>IFERROR(AM26, "")</f>
        <v/>
      </c>
      <c r="AN23" s="127"/>
      <c r="AO23" s="339"/>
      <c r="AQ23" s="340" t="str">
        <f>IFERROR(AQ26, "")</f>
        <v/>
      </c>
      <c r="AR23" s="127"/>
      <c r="AS23" s="339"/>
    </row>
    <row r="24" spans="1:45" x14ac:dyDescent="0.25">
      <c r="A24" s="89">
        <f>IFERROR(
    IF(AND(B11="Solid"),B18,
        IF(AND(B11="Liquid"),B18*_xlfn.XLOOKUP(B10,'Fuel Conversion Parameters'!$A$2:$A$51,'Fuel Conversion Parameters'!$D$2:$D$51)*10^(-6),
            IF(AND(B11="Gaseous"),B18*_xlfn.XLOOKUP(B10,'Fuel Conversion Parameters'!$A$2:$A$51,'Fuel Conversion Parameters'!$E$2:$E$51)*10^(-3)*10^(-6),"")
        )
    ),
    ""
)</f>
        <v>1.0199999999999999E-2</v>
      </c>
      <c r="B24" s="16"/>
      <c r="K24" s="89">
        <f>IFERROR(
    IF(AND(L11="Solid"),L18,
        IF(AND(L11="Liquid"),L18*_xlfn.XLOOKUP(L10,'Fuel Conversion Parameters'!$A$2:$A$51,'Fuel Conversion Parameters'!$D$2:$D$51)*10^(-6),
            IF(AND(L11="Gaseous"),L18*_xlfn.XLOOKUP(L10,'Fuel Conversion Parameters'!$A$2:$A$51,'Fuel Conversion Parameters'!$E$2:$E$51)*10^(-3)*10^(-6),"")
        )
    ),
    ""
)</f>
        <v>1.541E-8</v>
      </c>
      <c r="O24" s="89">
        <f>IFERROR(
    IF(AND(P11="Solid"),P18,
        IF(AND(P11="Liquid"),P18*_xlfn.XLOOKUP(P10,'Fuel Conversion Parameters'!$A$2:$A$51,'Fuel Conversion Parameters'!$D$2:$D$51)*10^(-6),
            IF(AND(P11="Gaseous"),P18*_xlfn.XLOOKUP(P10,'Fuel Conversion Parameters'!$A$2:$A$51,'Fuel Conversion Parameters'!$E$2:$E$51)*10^(-3)*10^(-6),"")
        )
    ),
    ""
)</f>
        <v>1.234</v>
      </c>
      <c r="S24" s="89" t="str">
        <f>IFERROR(
    IF(AND(T11="Solid"),T18,
        IF(AND(T11="Liquid"),T18*_xlfn.XLOOKUP(T10,'Fuel Conversion Parameters'!$A$2:$A$51,'Fuel Conversion Parameters'!$D$2:$D$51)*10^(-6),
            IF(AND(T11="Gaseous"),T18*_xlfn.XLOOKUP(T10,'Fuel Conversion Parameters'!$A$2:$A$51,'Fuel Conversion Parameters'!$E$2:$E$51)*10^(-3)*10^(-6),"")
        )
    ),
    ""
)</f>
        <v/>
      </c>
      <c r="W24" s="89" t="str">
        <f>IFERROR(
    IF(AND(X11="Solid"),X18,
        IF(AND(X11="Liquid"),X18*_xlfn.XLOOKUP(X10,'Fuel Conversion Parameters'!$A$2:$A$51,'Fuel Conversion Parameters'!$D$2:$D$51)*10^(-6),
            IF(AND(X11="Gaseous"),X18*_xlfn.XLOOKUP(X10,'Fuel Conversion Parameters'!$A$2:$A$51,'Fuel Conversion Parameters'!$E$2:$E$51)*10^(-3)*10^(-6),"")
        )
    ),
    ""
)</f>
        <v/>
      </c>
      <c r="AA24" s="89" t="str">
        <f>IFERROR(
    IF(AND(AB11="Solid"),AB18,
        IF(AND(AB11="Liquid"),AB18*_xlfn.XLOOKUP(AB10,'Fuel Conversion Parameters'!$A$2:$A$51,'Fuel Conversion Parameters'!$D$2:$D$51)*10^(-6),
            IF(AND(AB11="Gaseous"),AB18*_xlfn.XLOOKUP(AB10,'Fuel Conversion Parameters'!$A$2:$A$51,'Fuel Conversion Parameters'!$E$2:$E$51)*10^(-3)*10^(-6),"")
        )
    ),
    ""
)</f>
        <v/>
      </c>
      <c r="AE24" s="89" t="str">
        <f>IFERROR(
    IF(AND(AF11="Solid"),AF18,
        IF(AND(AF11="Liquid"),AF18*_xlfn.XLOOKUP(AF10,'Fuel Conversion Parameters'!$A$2:$A$51,'Fuel Conversion Parameters'!$D$2:$D$51)*10^(-6),
            IF(AND(AF11="Gaseous"),AF18*_xlfn.XLOOKUP(AF10,'Fuel Conversion Parameters'!$A$2:$A$51,'Fuel Conversion Parameters'!$E$2:$E$51)*10^(-3)*10^(-6),"")
        )
    ),
    ""
)</f>
        <v/>
      </c>
      <c r="AI24" s="89" t="str">
        <f>IFERROR(
    IF(AND(AJ11="Solid"),AJ18,
        IF(AND(AJ11="Liquid"),AJ18*_xlfn.XLOOKUP(AJ10,'Fuel Conversion Parameters'!$A$2:$A$51,'Fuel Conversion Parameters'!$D$2:$D$51)*10^(-6),
            IF(AND(AJ11="Gaseous"),AJ18*_xlfn.XLOOKUP(AJ10,'Fuel Conversion Parameters'!$A$2:$A$51,'Fuel Conversion Parameters'!$E$2:$E$51)*10^(-3)*10^(-6),"")
        )
    ),
    ""
)</f>
        <v/>
      </c>
      <c r="AK24" s="16"/>
      <c r="AM24" s="89" t="str">
        <f>IFERROR(
    IF(AND(AN11="Solid"),AN18,
        IF(AND(AN11="Liquid"),AN18*_xlfn.XLOOKUP(AN10,'Fuel Conversion Parameters'!$A$2:$A$51,'Fuel Conversion Parameters'!$D$2:$D$51)*10^(-6),
            IF(AND(AN11="Gaseous"),AN18*_xlfn.XLOOKUP(AN10,'Fuel Conversion Parameters'!$A$2:$A$51,'Fuel Conversion Parameters'!$E$2:$E$51)*10^(-3)*10^(-6),"")
        )
    ),
    ""
)</f>
        <v/>
      </c>
      <c r="AN24" s="16"/>
      <c r="AO24" s="16"/>
      <c r="AQ24" s="89"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25">
      <c r="A25" s="89">
        <f>IFERROR(VLOOKUP(B10, 'Fuel Conversion Parameters'!$A:$C, 3, FALSE), "")</f>
        <v>27</v>
      </c>
      <c r="B25" s="16"/>
      <c r="K25" s="89">
        <f>IFERROR(VLOOKUP(L10, 'Fuel Conversion Parameters'!$A:$C, 3, FALSE), "")</f>
        <v>50</v>
      </c>
      <c r="O25" s="89">
        <f>IFERROR(VLOOKUP(P10, 'Fuel Conversion Parameters'!$A:$C, 3, FALSE), "")</f>
        <v>15.6</v>
      </c>
      <c r="S25" s="89" t="str">
        <f>IFERROR(VLOOKUP(T10, 'Fuel Conversion Parameters'!$A:$C, 3, FALSE), "")</f>
        <v/>
      </c>
      <c r="W25" s="89" t="str">
        <f>IFERROR(VLOOKUP(X10, 'Fuel Conversion Parameters'!$A:$C, 3, FALSE), "")</f>
        <v/>
      </c>
      <c r="AA25" s="89" t="str">
        <f>IFERROR(VLOOKUP(AB10, 'Fuel Conversion Parameters'!$A:$C, 3, FALSE), "")</f>
        <v/>
      </c>
      <c r="AE25" s="89" t="str">
        <f>IFERROR(VLOOKUP(AF10, 'Fuel Conversion Parameters'!$A:$C, 3, FALSE), "")</f>
        <v/>
      </c>
      <c r="AI25" s="89" t="str">
        <f>IFERROR(VLOOKUP(AJ10, 'Fuel Conversion Parameters'!$A:$C, 3, FALSE), "")</f>
        <v/>
      </c>
      <c r="AK25" s="16"/>
      <c r="AM25" s="89" t="str">
        <f>IFERROR(VLOOKUP(AN10, 'Fuel Conversion Parameters'!$A:$C, 3, FALSE), "")</f>
        <v/>
      </c>
      <c r="AN25" s="16"/>
      <c r="AO25" s="16"/>
      <c r="AQ25" s="89" t="str">
        <f>IFERROR(VLOOKUP(AR10, 'Fuel Conversion Parameters'!$A:$C, 3, FALSE), "")</f>
        <v/>
      </c>
    </row>
    <row r="26" spans="1:45" x14ac:dyDescent="0.25">
      <c r="A26" s="241">
        <f>IFERROR(IF(OR(A24="", A25=""), "", A24*A25), "")</f>
        <v>0.27539999999999998</v>
      </c>
      <c r="B26" s="89" t="str">
        <f>IF(B24="m³ - cubic meters",B25*1000,
IF(B24="L - Liter",B25*1,
""))</f>
        <v/>
      </c>
      <c r="K26" s="241">
        <f>IFERROR(IF(OR(K24="", K25=""), "", K24*K25), "")</f>
        <v>7.7049999999999997E-7</v>
      </c>
      <c r="L26" s="89" t="str">
        <f>IF(L24="m³ - cubic meters",L25*1000,
IF(L24="L - Liter",L25*1,
""))</f>
        <v/>
      </c>
      <c r="O26" s="241">
        <f>IFERROR(IF(OR(O24="", O25=""), "", O24*O25), "")</f>
        <v>19.250399999999999</v>
      </c>
      <c r="P26" s="89" t="str">
        <f>IF(P24="m³ - cubic meters",P25*1000,
IF(P24="L - Liter",P25*1,
""))</f>
        <v/>
      </c>
      <c r="S26" s="241" t="str">
        <f>IFERROR(IF(OR(S24="", S25=""), "", S24*S25), "")</f>
        <v/>
      </c>
      <c r="T26" s="89" t="str">
        <f>IF(T24="m³ - cubic meters",T25*1000,
IF(T24="L - Liter",T25*1,
""))</f>
        <v/>
      </c>
      <c r="W26" s="241" t="str">
        <f>IFERROR(IF(OR(W24="", W25=""), "", W24*W25), "")</f>
        <v/>
      </c>
      <c r="X26" s="89" t="str">
        <f>IF(X24="m³ - cubic meters",X25*1000,
IF(X24="L - Liter",X25*1,
""))</f>
        <v/>
      </c>
      <c r="AA26" s="241" t="str">
        <f>IFERROR(IF(OR(AA24="", AA25=""), "", AA24*AA25), "")</f>
        <v/>
      </c>
      <c r="AB26" s="89" t="str">
        <f>IF(AB24="m³ - cubic meters",AB25*1000,
IF(AB24="L - Liter",AB25*1,
""))</f>
        <v/>
      </c>
      <c r="AE26" s="241" t="str">
        <f>IFERROR(IF(OR(AE24="", AE25=""), "", AE24*AE25), "")</f>
        <v/>
      </c>
      <c r="AF26" s="89" t="str">
        <f>IF(AF24="m³ - cubic meters",AF25*1000,
IF(AF24="L - Liter",AF25*1,
""))</f>
        <v/>
      </c>
      <c r="AI26" s="241" t="str">
        <f>IFERROR(IF(OR(AI24="", AI25=""), "", AI24*AI25), "")</f>
        <v/>
      </c>
      <c r="AJ26" s="89" t="str">
        <f>IF(AJ24="m³ - cubic meters",AJ25*1000,
IF(AJ24="L - Liter",AJ25*1,
""))</f>
        <v/>
      </c>
      <c r="AK26" s="16"/>
      <c r="AM26" s="241" t="str">
        <f>IFERROR(IF(OR(AM24="", AM25=""), "", AM24*AM25), "")</f>
        <v/>
      </c>
      <c r="AN26" s="89" t="str">
        <f>IF(AN24="m³ - cubic meters",AN25*1000,
IF(AN24="L - Liter",AN25*1,
""))</f>
        <v/>
      </c>
      <c r="AO26" s="16"/>
      <c r="AQ26" s="241" t="str">
        <f>IFERROR(IF(OR(AQ24="", AQ25=""), "", AQ24*AQ25), "")</f>
        <v/>
      </c>
      <c r="AR26" s="89" t="str">
        <f>IF(AR24="m³ - cubic meters",AR25*1000,
IF(AR24="L - Liter",AR25*1,
""))</f>
        <v/>
      </c>
    </row>
    <row r="27" spans="1:45" ht="15.75" thickBot="1" x14ac:dyDescent="0.3">
      <c r="A27" s="16"/>
      <c r="B27" s="16"/>
      <c r="AK27" s="16"/>
      <c r="AM27" s="16"/>
      <c r="AN27" s="16"/>
      <c r="AO27" s="16"/>
    </row>
    <row r="28" spans="1:45" ht="15.75" thickBot="1" x14ac:dyDescent="0.3">
      <c r="A28" s="1041" t="s">
        <v>4521</v>
      </c>
      <c r="B28" s="1042"/>
      <c r="AK28" s="16"/>
      <c r="AM28" s="16"/>
      <c r="AN28" s="16"/>
      <c r="AO28" s="16"/>
    </row>
    <row r="29" spans="1:45" ht="15.75" thickBot="1" x14ac:dyDescent="0.3">
      <c r="A29" s="1043">
        <f>IFERROR(A32+B32, "-")</f>
        <v>76.500275227949004</v>
      </c>
      <c r="B29" s="1044"/>
      <c r="AK29" s="16"/>
      <c r="AM29" s="16"/>
      <c r="AN29" s="16"/>
      <c r="AO29" s="16"/>
    </row>
    <row r="30" spans="1:45" ht="15.75" thickBot="1" x14ac:dyDescent="0.3">
      <c r="A30" s="16"/>
      <c r="B30" s="16"/>
      <c r="K30" s="241">
        <f>IFERROR(K33, "")</f>
        <v>1150</v>
      </c>
      <c r="AK30" s="16"/>
      <c r="AM30" s="16"/>
      <c r="AN30" s="16"/>
      <c r="AO30" s="16"/>
    </row>
    <row r="31" spans="1:45" ht="15.75" thickBot="1" x14ac:dyDescent="0.3">
      <c r="A31" s="80" t="s">
        <v>4475</v>
      </c>
      <c r="B31" s="67" t="s">
        <v>4476</v>
      </c>
      <c r="K31" s="241">
        <f>IFERROR(
    IF(AND(L17&lt;&gt;"",L21="",L25=""),L18,
        IF(AND(L17="",L21&lt;&gt;"",L25=""),L22*_xlfn.XLOOKUP(L10,'Fuel Conversion Parameters'!$A$2:$A$51,'Fuel Conversion Parameters'!$D$2:$D$51)*10^(-6),
            IF(AND(L17="",L21="",L25&lt;&gt;""),L26*_xlfn.XLOOKUP(L10,'Fuel Conversion Parameters'!$A$2:$A$51,'Fuel Conversion Parameters'!$E$2:$E$51)*10^(-3)*10^(-6),"")
        )
    ),
    ""
)</f>
        <v>23</v>
      </c>
      <c r="AK31" s="16"/>
      <c r="AM31" s="16"/>
      <c r="AN31" s="16"/>
      <c r="AO31" s="16"/>
    </row>
    <row r="32" spans="1:45" ht="15.75" thickBot="1" x14ac:dyDescent="0.3">
      <c r="A32" s="86">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86">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41">
        <f>IFERROR(VLOOKUP(L10, 'Fuel Conversion Parameters'!$A:$C, 3, FALSE), "")</f>
        <v>50</v>
      </c>
      <c r="AK32" s="16"/>
      <c r="AM32" s="16"/>
      <c r="AN32" s="16"/>
      <c r="AO32" s="16"/>
    </row>
    <row r="33" spans="1:41" x14ac:dyDescent="0.25">
      <c r="A33" s="241"/>
      <c r="B33" s="16"/>
      <c r="K33" s="241">
        <f>IFERROR(IF(OR(K31="", K32=""), "", K31*K32), "")</f>
        <v>1150</v>
      </c>
      <c r="AK33" s="16"/>
      <c r="AM33" s="16"/>
      <c r="AN33" s="16"/>
      <c r="AO33" s="16"/>
    </row>
    <row r="34" spans="1:41" x14ac:dyDescent="0.25">
      <c r="A34" s="16"/>
      <c r="B34" s="16"/>
      <c r="AK34" s="16"/>
      <c r="AM34" s="16"/>
      <c r="AN34" s="16"/>
      <c r="AO34" s="16"/>
    </row>
    <row r="35" spans="1:41" x14ac:dyDescent="0.25">
      <c r="A35" s="16"/>
      <c r="B35" s="16"/>
      <c r="AK35" s="16"/>
      <c r="AM35" s="16"/>
      <c r="AN35" s="16"/>
      <c r="AO35" s="16"/>
    </row>
    <row r="36" spans="1:41" x14ac:dyDescent="0.25">
      <c r="A36" s="33" t="s">
        <v>4651</v>
      </c>
      <c r="B36" s="16"/>
      <c r="AK36" s="16"/>
      <c r="AM36" s="16"/>
      <c r="AN36" s="16"/>
      <c r="AO36" s="16"/>
    </row>
    <row r="37" spans="1:41" ht="227.45" customHeight="1" x14ac:dyDescent="0.25">
      <c r="A37" s="1045" t="s">
        <v>4650</v>
      </c>
      <c r="B37" s="1045"/>
      <c r="AK37" s="16"/>
      <c r="AM37" s="16"/>
      <c r="AN37" s="16"/>
      <c r="AO37" s="16"/>
    </row>
    <row r="38" spans="1:41" x14ac:dyDescent="0.25">
      <c r="A38" s="16"/>
      <c r="B38" s="16"/>
      <c r="AK38" s="16"/>
      <c r="AM38" s="16"/>
      <c r="AN38" s="16"/>
      <c r="AO38" s="16"/>
    </row>
    <row r="39" spans="1:41" x14ac:dyDescent="0.25">
      <c r="A39" s="16"/>
      <c r="B39" s="16"/>
      <c r="AK39" s="16"/>
      <c r="AM39" s="16"/>
      <c r="AN39" s="16"/>
      <c r="AO39" s="16"/>
    </row>
    <row r="40" spans="1:41" x14ac:dyDescent="0.25">
      <c r="A40" s="1040"/>
      <c r="B40" s="1040"/>
      <c r="AK40" s="16"/>
      <c r="AM40" s="16"/>
      <c r="AN40" s="16"/>
      <c r="AO40" s="16"/>
    </row>
    <row r="41" spans="1:41" x14ac:dyDescent="0.25">
      <c r="A41" s="16"/>
      <c r="B41" s="16"/>
      <c r="AK41" s="16"/>
      <c r="AM41" s="16"/>
      <c r="AN41" s="16"/>
      <c r="AO41" s="16"/>
    </row>
    <row r="42" spans="1:41" x14ac:dyDescent="0.25">
      <c r="A42" s="16"/>
      <c r="B42" s="16"/>
      <c r="AK42" s="16"/>
      <c r="AM42" s="16"/>
      <c r="AN42" s="16"/>
      <c r="AO42" s="16"/>
    </row>
    <row r="43" spans="1:41" x14ac:dyDescent="0.25">
      <c r="A43" s="16"/>
      <c r="B43" s="16"/>
      <c r="AK43" s="16"/>
      <c r="AM43" s="16"/>
      <c r="AN43" s="16"/>
      <c r="AO43" s="16"/>
    </row>
    <row r="44" spans="1:41" x14ac:dyDescent="0.25">
      <c r="A44" s="16"/>
      <c r="B44" s="16"/>
      <c r="AK44" s="16"/>
      <c r="AM44" s="16"/>
      <c r="AN44" s="16"/>
      <c r="AO44" s="16"/>
    </row>
    <row r="45" spans="1:41" x14ac:dyDescent="0.25">
      <c r="A45" s="16"/>
      <c r="B45" s="16"/>
      <c r="AK45" s="16"/>
      <c r="AM45" s="16"/>
      <c r="AN45" s="16"/>
      <c r="AO45" s="16"/>
    </row>
    <row r="46" spans="1:41" x14ac:dyDescent="0.25">
      <c r="A46" s="16"/>
      <c r="B46" s="16"/>
      <c r="AK46" s="16"/>
      <c r="AM46" s="16"/>
      <c r="AN46" s="16"/>
      <c r="AO46" s="16"/>
    </row>
    <row r="47" spans="1:41" x14ac:dyDescent="0.25">
      <c r="A47" s="16"/>
      <c r="B47" s="16"/>
      <c r="AK47" s="16"/>
      <c r="AM47" s="16"/>
      <c r="AN47" s="16"/>
      <c r="AO47" s="16"/>
    </row>
    <row r="48" spans="1:41" x14ac:dyDescent="0.25">
      <c r="A48" s="16"/>
      <c r="B48" s="16"/>
      <c r="AK48" s="16"/>
      <c r="AM48" s="16"/>
      <c r="AN48" s="16"/>
      <c r="AO48" s="16"/>
    </row>
    <row r="49" s="16" customFormat="1" x14ac:dyDescent="0.25"/>
    <row r="50" s="16" customFormat="1" x14ac:dyDescent="0.25"/>
    <row r="51" s="16" customFormat="1" x14ac:dyDescent="0.25"/>
    <row r="52" s="16" customFormat="1" x14ac:dyDescent="0.25"/>
    <row r="53" s="16" customFormat="1" x14ac:dyDescent="0.25"/>
    <row r="54" s="16" customFormat="1" x14ac:dyDescent="0.25"/>
    <row r="55" s="16" customFormat="1" x14ac:dyDescent="0.25"/>
    <row r="56" s="16" customFormat="1" x14ac:dyDescent="0.25"/>
    <row r="57" s="16" customFormat="1" x14ac:dyDescent="0.25"/>
    <row r="58" s="16" customFormat="1" x14ac:dyDescent="0.25"/>
    <row r="59" s="16" customFormat="1" x14ac:dyDescent="0.25"/>
    <row r="60" s="16" customFormat="1" x14ac:dyDescent="0.25"/>
    <row r="61" s="16" customFormat="1" x14ac:dyDescent="0.25"/>
    <row r="62" s="16" customFormat="1" x14ac:dyDescent="0.25"/>
    <row r="63" s="16" customFormat="1" x14ac:dyDescent="0.25"/>
    <row r="64" s="16" customFormat="1" x14ac:dyDescent="0.25"/>
    <row r="65" s="16" customFormat="1" x14ac:dyDescent="0.25"/>
    <row r="66" s="16" customFormat="1" x14ac:dyDescent="0.25"/>
    <row r="67" s="16" customFormat="1" x14ac:dyDescent="0.25"/>
    <row r="68" s="16" customFormat="1" x14ac:dyDescent="0.25"/>
    <row r="69" s="16" customFormat="1" x14ac:dyDescent="0.25"/>
    <row r="70" s="16" customFormat="1" x14ac:dyDescent="0.25"/>
    <row r="71" s="16" customFormat="1" x14ac:dyDescent="0.25"/>
    <row r="72" s="16" customFormat="1" x14ac:dyDescent="0.25"/>
    <row r="73" s="16" customFormat="1" x14ac:dyDescent="0.25"/>
    <row r="74" s="16" customFormat="1" x14ac:dyDescent="0.25"/>
    <row r="75" s="16" customFormat="1" x14ac:dyDescent="0.25"/>
    <row r="76" s="16" customFormat="1" x14ac:dyDescent="0.25"/>
    <row r="77" s="16" customFormat="1" x14ac:dyDescent="0.25"/>
    <row r="78" s="16" customFormat="1" x14ac:dyDescent="0.25"/>
    <row r="79" s="16" customFormat="1" x14ac:dyDescent="0.25"/>
    <row r="80" s="16" customFormat="1" x14ac:dyDescent="0.25"/>
    <row r="81" s="16" customFormat="1" x14ac:dyDescent="0.25"/>
    <row r="82" s="16" customFormat="1" x14ac:dyDescent="0.25"/>
    <row r="83" s="16" customFormat="1" x14ac:dyDescent="0.25"/>
    <row r="84" s="16" customFormat="1" x14ac:dyDescent="0.25"/>
    <row r="85" s="16" customFormat="1" x14ac:dyDescent="0.25"/>
    <row r="86" s="16" customFormat="1" x14ac:dyDescent="0.25"/>
    <row r="87" s="16" customFormat="1" x14ac:dyDescent="0.25"/>
    <row r="88" s="16" customFormat="1" x14ac:dyDescent="0.25"/>
    <row r="89" s="16" customFormat="1" x14ac:dyDescent="0.25"/>
    <row r="90" s="16" customFormat="1" x14ac:dyDescent="0.25"/>
    <row r="91" s="16" customFormat="1" x14ac:dyDescent="0.25"/>
    <row r="92" s="16" customFormat="1" x14ac:dyDescent="0.25"/>
    <row r="93" s="16" customFormat="1" x14ac:dyDescent="0.25"/>
    <row r="94" s="16" customFormat="1" x14ac:dyDescent="0.25"/>
    <row r="95" s="16" customFormat="1" x14ac:dyDescent="0.25"/>
    <row r="96" s="16" customFormat="1" x14ac:dyDescent="0.25"/>
    <row r="97" s="16" customFormat="1" x14ac:dyDescent="0.25"/>
    <row r="98" s="16" customFormat="1" x14ac:dyDescent="0.25"/>
    <row r="99" s="16" customFormat="1" x14ac:dyDescent="0.25"/>
    <row r="100" s="16" customFormat="1" x14ac:dyDescent="0.25"/>
    <row r="101" s="16" customFormat="1" x14ac:dyDescent="0.25"/>
    <row r="102" s="16" customFormat="1" x14ac:dyDescent="0.25"/>
    <row r="103" s="16" customFormat="1" x14ac:dyDescent="0.25"/>
    <row r="104" s="16" customFormat="1" x14ac:dyDescent="0.25"/>
    <row r="105" s="16" customFormat="1" x14ac:dyDescent="0.25"/>
    <row r="106" s="16" customFormat="1" x14ac:dyDescent="0.25"/>
    <row r="107" s="16" customFormat="1" x14ac:dyDescent="0.25"/>
    <row r="108" s="16" customFormat="1" x14ac:dyDescent="0.25"/>
    <row r="109" s="16" customFormat="1" x14ac:dyDescent="0.25"/>
    <row r="110" s="16" customFormat="1" x14ac:dyDescent="0.25"/>
    <row r="111" s="16" customFormat="1" x14ac:dyDescent="0.25"/>
    <row r="112" s="16" customFormat="1" x14ac:dyDescent="0.25"/>
    <row r="113" s="16" customFormat="1" x14ac:dyDescent="0.25"/>
    <row r="114" s="16" customFormat="1" x14ac:dyDescent="0.25"/>
    <row r="115" s="16" customFormat="1" x14ac:dyDescent="0.25"/>
    <row r="116" s="16" customFormat="1" x14ac:dyDescent="0.25"/>
    <row r="117" s="16" customFormat="1" x14ac:dyDescent="0.25"/>
    <row r="118" s="16" customFormat="1" x14ac:dyDescent="0.25"/>
    <row r="119" s="16" customFormat="1" x14ac:dyDescent="0.25"/>
    <row r="120" s="16" customFormat="1" x14ac:dyDescent="0.25"/>
    <row r="121" s="16" customFormat="1" x14ac:dyDescent="0.25"/>
    <row r="122" s="16" customFormat="1" x14ac:dyDescent="0.25"/>
    <row r="123" s="16" customFormat="1" x14ac:dyDescent="0.25"/>
    <row r="124" s="16" customFormat="1" x14ac:dyDescent="0.25"/>
    <row r="125" s="16" customFormat="1" x14ac:dyDescent="0.25"/>
    <row r="126" s="16" customFormat="1" x14ac:dyDescent="0.25"/>
    <row r="127" s="16" customFormat="1" x14ac:dyDescent="0.25"/>
    <row r="128" s="16" customFormat="1" x14ac:dyDescent="0.25"/>
    <row r="129" s="16" customFormat="1" x14ac:dyDescent="0.25"/>
    <row r="130" s="16" customFormat="1" x14ac:dyDescent="0.25"/>
    <row r="131" s="16" customFormat="1" x14ac:dyDescent="0.25"/>
    <row r="132" s="16" customFormat="1" x14ac:dyDescent="0.25"/>
    <row r="133" s="16" customFormat="1" x14ac:dyDescent="0.25"/>
    <row r="134" s="16" customFormat="1" x14ac:dyDescent="0.25"/>
    <row r="135" s="16" customFormat="1" x14ac:dyDescent="0.25"/>
    <row r="136" s="16" customFormat="1" x14ac:dyDescent="0.25"/>
    <row r="137" s="16" customFormat="1" x14ac:dyDescent="0.25"/>
    <row r="138" s="16" customFormat="1" x14ac:dyDescent="0.25"/>
    <row r="139" s="16" customFormat="1" x14ac:dyDescent="0.25"/>
    <row r="140" s="16" customFormat="1" x14ac:dyDescent="0.25"/>
  </sheetData>
  <sheetProtection formatColumn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election activeCell="W3" sqref="W3"/>
    </sheetView>
  </sheetViews>
  <sheetFormatPr defaultRowHeight="15" x14ac:dyDescent="0.25"/>
  <cols>
    <col min="1" max="1" width="82.42578125" customWidth="1"/>
    <col min="2" max="2" width="14.140625" bestFit="1" customWidth="1"/>
    <col min="3" max="3" width="18.7109375" bestFit="1" customWidth="1"/>
    <col min="4" max="4" width="20.5703125" bestFit="1" customWidth="1"/>
    <col min="5" max="5" width="21.140625" bestFit="1" customWidth="1"/>
    <col min="6" max="6" width="25.42578125" bestFit="1" customWidth="1"/>
    <col min="7" max="8" width="15.28515625" hidden="1" customWidth="1"/>
    <col min="9" max="9" width="20.42578125" hidden="1" customWidth="1"/>
    <col min="10" max="11" width="8.85546875" hidden="1" customWidth="1"/>
    <col min="12" max="12" width="23.85546875" hidden="1" customWidth="1"/>
    <col min="13" max="13" width="20.7109375" hidden="1" customWidth="1"/>
    <col min="14" max="14" width="17.7109375" hidden="1" customWidth="1"/>
    <col min="15" max="15" width="14.7109375" hidden="1" customWidth="1"/>
    <col min="16" max="16" width="27.140625" hidden="1" customWidth="1"/>
    <col min="17" max="17" width="23.85546875" hidden="1" customWidth="1"/>
    <col min="18" max="18" width="20.7109375" hidden="1" customWidth="1"/>
    <col min="19" max="19" width="17.7109375" hidden="1" customWidth="1"/>
    <col min="20" max="21" width="8.85546875" hidden="1" customWidth="1"/>
    <col min="22" max="22" width="38.5703125" hidden="1" customWidth="1"/>
    <col min="23" max="24" width="42.7109375" hidden="1" customWidth="1"/>
    <col min="25" max="25" width="48.7109375" hidden="1" customWidth="1"/>
    <col min="26" max="26" width="33.42578125" hidden="1" customWidth="1"/>
    <col min="27" max="27" width="36.42578125" hidden="1" customWidth="1"/>
    <col min="28" max="28" width="39.5703125" hidden="1" customWidth="1"/>
    <col min="29" max="29" width="42.5703125" hidden="1" customWidth="1"/>
    <col min="30" max="30" width="27.42578125" hidden="1" customWidth="1"/>
    <col min="31" max="31" width="30.42578125" hidden="1" customWidth="1"/>
    <col min="32" max="32" width="33.5703125" hidden="1" customWidth="1"/>
    <col min="33" max="33" width="36.7109375" hidden="1" customWidth="1"/>
    <col min="34" max="34" width="24.28515625" hidden="1" customWidth="1"/>
    <col min="35" max="35" width="27.140625" hidden="1" customWidth="1"/>
    <col min="36" max="36" width="30.42578125" hidden="1" customWidth="1"/>
    <col min="37" max="37" width="33.28515625" hidden="1" customWidth="1"/>
    <col min="38" max="39" width="8.85546875" hidden="1" customWidth="1"/>
    <col min="40" max="40" width="28" hidden="1" customWidth="1"/>
    <col min="41" max="41" width="29" hidden="1" customWidth="1"/>
    <col min="42" max="42" width="26" hidden="1" customWidth="1"/>
    <col min="43" max="43" width="24.85546875" hidden="1" customWidth="1"/>
    <col min="44" max="45" width="21.85546875" hidden="1" customWidth="1"/>
    <col min="46" max="46" width="24.7109375" hidden="1" customWidth="1"/>
    <col min="47" max="47" width="18.140625" hidden="1" customWidth="1"/>
    <col min="48" max="48" width="21.28515625" hidden="1" customWidth="1"/>
    <col min="49" max="49" width="13.42578125" hidden="1" customWidth="1"/>
    <col min="50" max="50" width="22.5703125" hidden="1" customWidth="1"/>
    <col min="51" max="51" width="7.140625" customWidth="1"/>
    <col min="52" max="52" width="9.140625" customWidth="1"/>
  </cols>
  <sheetData>
    <row r="1" spans="1:51" ht="30.75" thickBot="1" x14ac:dyDescent="0.3">
      <c r="A1" s="243" t="s">
        <v>3657</v>
      </c>
      <c r="B1" s="244" t="s">
        <v>3747</v>
      </c>
      <c r="C1" s="245" t="s">
        <v>3811</v>
      </c>
      <c r="D1" s="246" t="s">
        <v>3812</v>
      </c>
      <c r="E1" s="247" t="s">
        <v>3813</v>
      </c>
      <c r="F1" s="301" t="s">
        <v>4545</v>
      </c>
      <c r="G1" s="38" t="s">
        <v>3658</v>
      </c>
      <c r="H1" s="130" t="s">
        <v>3659</v>
      </c>
      <c r="I1" s="38" t="s">
        <v>3660</v>
      </c>
      <c r="J1" s="38" t="s">
        <v>4643</v>
      </c>
      <c r="K1" s="39" t="s">
        <v>3661</v>
      </c>
      <c r="L1" s="39" t="s">
        <v>3662</v>
      </c>
      <c r="M1" s="39" t="s">
        <v>3663</v>
      </c>
      <c r="N1" s="39" t="s">
        <v>3664</v>
      </c>
      <c r="O1" s="39" t="s">
        <v>3665</v>
      </c>
      <c r="P1" s="39" t="s">
        <v>3666</v>
      </c>
      <c r="Q1" s="39" t="s">
        <v>3667</v>
      </c>
      <c r="R1" s="39" t="s">
        <v>3668</v>
      </c>
      <c r="S1" s="39" t="s">
        <v>3669</v>
      </c>
      <c r="T1" s="20"/>
      <c r="U1" s="39" t="s">
        <v>3661</v>
      </c>
      <c r="V1" s="39" t="s">
        <v>3670</v>
      </c>
      <c r="W1" s="39" t="s">
        <v>3671</v>
      </c>
      <c r="X1" s="39" t="s">
        <v>3672</v>
      </c>
      <c r="Y1" s="39" t="s">
        <v>3673</v>
      </c>
      <c r="Z1" s="39" t="s">
        <v>3748</v>
      </c>
      <c r="AA1" s="39" t="s">
        <v>3749</v>
      </c>
      <c r="AB1" s="39" t="s">
        <v>3750</v>
      </c>
      <c r="AC1" s="39" t="s">
        <v>3751</v>
      </c>
      <c r="AD1" s="39" t="s">
        <v>3674</v>
      </c>
      <c r="AE1" s="39" t="s">
        <v>3675</v>
      </c>
      <c r="AF1" s="39" t="s">
        <v>3676</v>
      </c>
      <c r="AG1" s="39" t="s">
        <v>3677</v>
      </c>
      <c r="AH1" s="39" t="s">
        <v>3678</v>
      </c>
      <c r="AI1" s="39" t="s">
        <v>3679</v>
      </c>
      <c r="AJ1" s="39" t="s">
        <v>3680</v>
      </c>
      <c r="AK1" s="39" t="s">
        <v>3681</v>
      </c>
      <c r="AL1" s="14"/>
      <c r="AM1" s="269" t="s">
        <v>3661</v>
      </c>
      <c r="AN1" s="270" t="s">
        <v>4523</v>
      </c>
      <c r="AO1" s="270" t="s">
        <v>4530</v>
      </c>
      <c r="AP1" s="270" t="s">
        <v>4524</v>
      </c>
      <c r="AQ1" s="270" t="s">
        <v>4525</v>
      </c>
      <c r="AR1" s="270" t="s">
        <v>4526</v>
      </c>
      <c r="AS1" s="270" t="s">
        <v>4527</v>
      </c>
      <c r="AT1" s="270" t="s">
        <v>4528</v>
      </c>
      <c r="AU1" s="270" t="s">
        <v>4529</v>
      </c>
      <c r="AW1" s="245" t="s">
        <v>3747</v>
      </c>
      <c r="AX1" s="301" t="s">
        <v>4545</v>
      </c>
      <c r="AY1" s="245" t="s">
        <v>4658</v>
      </c>
    </row>
    <row r="2" spans="1:51" ht="15.75" thickBot="1" x14ac:dyDescent="0.3">
      <c r="A2" s="248" t="s">
        <v>3682</v>
      </c>
      <c r="B2" s="249" t="s">
        <v>3683</v>
      </c>
      <c r="C2" s="250">
        <v>26.7</v>
      </c>
      <c r="D2" s="251"/>
      <c r="E2" s="252"/>
      <c r="F2" s="306" t="s">
        <v>3782</v>
      </c>
      <c r="G2" s="304" t="s">
        <v>3684</v>
      </c>
      <c r="H2" s="76" t="s">
        <v>3685</v>
      </c>
      <c r="I2" s="8" t="s">
        <v>3686</v>
      </c>
      <c r="J2" s="1" t="s">
        <v>3684</v>
      </c>
      <c r="K2" s="40" t="s">
        <v>3662</v>
      </c>
      <c r="L2" s="41">
        <v>1</v>
      </c>
      <c r="M2" s="42">
        <v>1E-3</v>
      </c>
      <c r="N2" s="42">
        <v>9.9999999999999995E-7</v>
      </c>
      <c r="O2" s="42">
        <v>1.0000000000000001E-9</v>
      </c>
      <c r="P2" s="42">
        <v>1000</v>
      </c>
      <c r="Q2" s="42">
        <v>1</v>
      </c>
      <c r="R2" s="42">
        <v>1E-3</v>
      </c>
      <c r="S2" s="43">
        <v>9.9999999999999995E-7</v>
      </c>
      <c r="U2" s="40" t="s">
        <v>3670</v>
      </c>
      <c r="V2" s="54">
        <v>1</v>
      </c>
      <c r="W2" s="55">
        <v>1000</v>
      </c>
      <c r="X2" s="55">
        <v>1000000</v>
      </c>
      <c r="Y2" s="55">
        <v>1000000000</v>
      </c>
      <c r="Z2" s="55">
        <v>1E-3</v>
      </c>
      <c r="AA2" s="55">
        <v>1</v>
      </c>
      <c r="AB2" s="55">
        <v>1000</v>
      </c>
      <c r="AC2" s="55">
        <v>1000000</v>
      </c>
      <c r="AD2" s="55">
        <v>9.9999999999999998E-13</v>
      </c>
      <c r="AE2" s="55">
        <v>1.0000000000000001E-9</v>
      </c>
      <c r="AF2" s="55">
        <v>9.9999999999999995E-7</v>
      </c>
      <c r="AG2" s="55">
        <v>1E-3</v>
      </c>
      <c r="AH2" s="60">
        <v>2.7799999999999998E-13</v>
      </c>
      <c r="AI2" s="60">
        <v>2.7800000000000002E-10</v>
      </c>
      <c r="AJ2" s="60">
        <v>2.7799999999999997E-7</v>
      </c>
      <c r="AK2" s="61">
        <v>2.7799999999999998E-4</v>
      </c>
      <c r="AM2" s="271" t="s">
        <v>4523</v>
      </c>
      <c r="AN2" s="272">
        <v>1</v>
      </c>
      <c r="AO2" s="272">
        <v>0.1</v>
      </c>
      <c r="AP2" s="273">
        <v>0.01</v>
      </c>
      <c r="AQ2" s="273">
        <v>1E-3</v>
      </c>
      <c r="AR2" s="273">
        <v>9.9999999999999995E-7</v>
      </c>
      <c r="AS2" s="273">
        <v>9.9999999999999995E-7</v>
      </c>
      <c r="AT2" s="273">
        <v>1.0000000000000001E-9</v>
      </c>
      <c r="AU2" s="274">
        <v>9.9999999999999998E-13</v>
      </c>
      <c r="AW2" s="8" t="s">
        <v>3683</v>
      </c>
      <c r="AX2" s="8" t="s">
        <v>3781</v>
      </c>
      <c r="AY2" s="311"/>
    </row>
    <row r="3" spans="1:51" ht="15.75" thickBot="1" x14ac:dyDescent="0.3">
      <c r="A3" s="253" t="s">
        <v>3687</v>
      </c>
      <c r="B3" s="249" t="s">
        <v>3688</v>
      </c>
      <c r="C3" s="254">
        <v>44.3</v>
      </c>
      <c r="D3" s="207">
        <v>0.71</v>
      </c>
      <c r="E3" s="255"/>
      <c r="F3" s="307" t="s">
        <v>3782</v>
      </c>
      <c r="G3" s="305" t="s">
        <v>3689</v>
      </c>
      <c r="H3" s="13" t="s">
        <v>3690</v>
      </c>
      <c r="I3" s="1" t="s">
        <v>3691</v>
      </c>
      <c r="J3" s="1" t="s">
        <v>3689</v>
      </c>
      <c r="K3" s="44" t="s">
        <v>3663</v>
      </c>
      <c r="L3" s="45">
        <v>1000</v>
      </c>
      <c r="M3" s="46">
        <v>1</v>
      </c>
      <c r="N3" s="46">
        <v>1E-3</v>
      </c>
      <c r="O3" s="46">
        <v>9.9999999999999995E-7</v>
      </c>
      <c r="P3" s="46">
        <v>1000000</v>
      </c>
      <c r="Q3" s="46">
        <v>1000</v>
      </c>
      <c r="R3" s="46">
        <v>1</v>
      </c>
      <c r="S3" s="47">
        <v>1E-3</v>
      </c>
      <c r="U3" s="44" t="s">
        <v>3671</v>
      </c>
      <c r="V3" s="53">
        <v>1E-3</v>
      </c>
      <c r="W3" s="52">
        <v>1</v>
      </c>
      <c r="X3" s="52">
        <v>1000</v>
      </c>
      <c r="Y3" s="52">
        <v>1000000</v>
      </c>
      <c r="Z3" s="52">
        <v>9.9999999999999995E-7</v>
      </c>
      <c r="AA3" s="52">
        <v>1E-3</v>
      </c>
      <c r="AB3" s="52">
        <v>1</v>
      </c>
      <c r="AC3" s="52">
        <v>1000</v>
      </c>
      <c r="AD3" s="52">
        <v>1.0000000000000001E-15</v>
      </c>
      <c r="AE3" s="52">
        <v>9.9999999999999998E-13</v>
      </c>
      <c r="AF3" s="52">
        <v>1.0000000000000001E-9</v>
      </c>
      <c r="AG3" s="52">
        <v>9.9999999999999995E-7</v>
      </c>
      <c r="AH3" s="58">
        <v>2.7799999999999998E-16</v>
      </c>
      <c r="AI3" s="58">
        <v>2.7800000000000002E-10</v>
      </c>
      <c r="AJ3" s="58">
        <v>2.7799999999999997E-7</v>
      </c>
      <c r="AK3" s="62">
        <v>2.7799999999999998E-4</v>
      </c>
      <c r="AM3" s="271" t="s">
        <v>4530</v>
      </c>
      <c r="AN3" s="275">
        <v>10</v>
      </c>
      <c r="AO3" s="275">
        <v>1</v>
      </c>
      <c r="AP3" s="276">
        <v>0.1</v>
      </c>
      <c r="AQ3" s="276">
        <v>0.01</v>
      </c>
      <c r="AR3" s="276">
        <v>1.0000000000000001E-5</v>
      </c>
      <c r="AS3" s="276">
        <v>1.0000000000000001E-5</v>
      </c>
      <c r="AT3" s="276">
        <v>1E-8</v>
      </c>
      <c r="AU3" s="277">
        <v>9.9999999999999994E-12</v>
      </c>
      <c r="AW3" s="1" t="s">
        <v>3688</v>
      </c>
      <c r="AX3" s="1" t="s">
        <v>3782</v>
      </c>
      <c r="AY3" s="311"/>
    </row>
    <row r="4" spans="1:51" ht="15.75" thickBot="1" x14ac:dyDescent="0.3">
      <c r="A4" s="253" t="s">
        <v>3692</v>
      </c>
      <c r="B4" s="249" t="s">
        <v>3688</v>
      </c>
      <c r="C4" s="254">
        <v>27</v>
      </c>
      <c r="D4" s="207">
        <v>0.85</v>
      </c>
      <c r="E4" s="255"/>
      <c r="F4" s="307" t="s">
        <v>3781</v>
      </c>
      <c r="G4" s="305" t="s">
        <v>3693</v>
      </c>
      <c r="J4" s="1" t="s">
        <v>3693</v>
      </c>
      <c r="K4" s="44" t="s">
        <v>3664</v>
      </c>
      <c r="L4" s="45">
        <v>1000000</v>
      </c>
      <c r="M4" s="46">
        <v>1000</v>
      </c>
      <c r="N4" s="46">
        <v>1</v>
      </c>
      <c r="O4" s="46">
        <v>1E-3</v>
      </c>
      <c r="P4" s="46">
        <v>1000000000</v>
      </c>
      <c r="Q4" s="46">
        <v>1000000</v>
      </c>
      <c r="R4" s="46">
        <v>1000</v>
      </c>
      <c r="S4" s="47">
        <v>1</v>
      </c>
      <c r="U4" s="44" t="s">
        <v>3672</v>
      </c>
      <c r="V4" s="53">
        <v>9.9999999999999995E-7</v>
      </c>
      <c r="W4" s="52">
        <v>1E-3</v>
      </c>
      <c r="X4" s="52">
        <v>1</v>
      </c>
      <c r="Y4" s="52">
        <v>1000</v>
      </c>
      <c r="Z4" s="52">
        <v>1.0000000000000001E-9</v>
      </c>
      <c r="AA4" s="52">
        <v>9.9999999999999995E-7</v>
      </c>
      <c r="AB4" s="52">
        <v>1</v>
      </c>
      <c r="AC4" s="52">
        <v>1000</v>
      </c>
      <c r="AD4" s="52">
        <v>1.0000000000000001E-18</v>
      </c>
      <c r="AE4" s="52">
        <v>1.0000000000000001E-15</v>
      </c>
      <c r="AF4" s="52">
        <v>9.9999999999999998E-13</v>
      </c>
      <c r="AG4" s="52">
        <v>1.0000000000000001E-9</v>
      </c>
      <c r="AH4" s="58">
        <v>2.7799999999999998E-19</v>
      </c>
      <c r="AI4" s="58">
        <v>2.7799999999999998E-13</v>
      </c>
      <c r="AJ4" s="58">
        <v>2.7800000000000002E-10</v>
      </c>
      <c r="AK4" s="62">
        <v>2.7799999999999997E-7</v>
      </c>
      <c r="AM4" s="271" t="s">
        <v>4524</v>
      </c>
      <c r="AN4" s="275">
        <v>100</v>
      </c>
      <c r="AO4" s="275">
        <v>10</v>
      </c>
      <c r="AP4" s="276">
        <v>1</v>
      </c>
      <c r="AQ4" s="276">
        <v>0.1</v>
      </c>
      <c r="AR4" s="276">
        <v>1E-4</v>
      </c>
      <c r="AS4" s="276">
        <v>1E-4</v>
      </c>
      <c r="AT4" s="276">
        <v>9.9999999999999995E-8</v>
      </c>
      <c r="AU4" s="277">
        <v>1E-10</v>
      </c>
      <c r="AW4" s="1" t="s">
        <v>4547</v>
      </c>
      <c r="AX4" s="1"/>
      <c r="AY4" s="311"/>
    </row>
    <row r="5" spans="1:51" ht="15.75" thickBot="1" x14ac:dyDescent="0.3">
      <c r="A5" s="253" t="s">
        <v>3694</v>
      </c>
      <c r="B5" s="249" t="s">
        <v>3688</v>
      </c>
      <c r="C5" s="254">
        <v>27</v>
      </c>
      <c r="D5" s="300">
        <v>0.75</v>
      </c>
      <c r="E5" s="256"/>
      <c r="F5" s="307" t="s">
        <v>3781</v>
      </c>
      <c r="G5" s="305" t="s">
        <v>3695</v>
      </c>
      <c r="J5" s="1" t="s">
        <v>3695</v>
      </c>
      <c r="K5" s="44" t="s">
        <v>3665</v>
      </c>
      <c r="L5" s="45">
        <v>1000000000</v>
      </c>
      <c r="M5" s="46">
        <v>1000000</v>
      </c>
      <c r="N5" s="46">
        <v>1000</v>
      </c>
      <c r="O5" s="46">
        <v>1</v>
      </c>
      <c r="P5" s="46">
        <v>1000000000000</v>
      </c>
      <c r="Q5" s="46">
        <v>1000000000</v>
      </c>
      <c r="R5" s="46">
        <v>1000000</v>
      </c>
      <c r="S5" s="47">
        <v>1000</v>
      </c>
      <c r="U5" s="44" t="s">
        <v>3673</v>
      </c>
      <c r="V5" s="53">
        <v>1.0000000000000001E-9</v>
      </c>
      <c r="W5" s="52">
        <v>9.9999999999999995E-7</v>
      </c>
      <c r="X5" s="52">
        <v>1E-3</v>
      </c>
      <c r="Y5" s="52">
        <v>1</v>
      </c>
      <c r="Z5" s="52">
        <v>9.9999999999999998E-13</v>
      </c>
      <c r="AA5" s="52">
        <v>9.9999999999999995E-7</v>
      </c>
      <c r="AB5" s="52">
        <v>1E-3</v>
      </c>
      <c r="AC5" s="52">
        <v>1</v>
      </c>
      <c r="AD5" s="52">
        <v>9.9999999999999991E-22</v>
      </c>
      <c r="AE5" s="52">
        <v>1.0000000000000001E-18</v>
      </c>
      <c r="AF5" s="52">
        <v>1.0000000000000001E-15</v>
      </c>
      <c r="AG5" s="52">
        <v>9.9999999999999998E-13</v>
      </c>
      <c r="AH5" s="58">
        <v>2.7800000000000001E-22</v>
      </c>
      <c r="AI5" s="58">
        <v>2.7799999999999998E-16</v>
      </c>
      <c r="AJ5" s="58">
        <v>2.7799999999999998E-13</v>
      </c>
      <c r="AK5" s="62">
        <v>2.7800000000000002E-10</v>
      </c>
      <c r="AM5" s="271" t="s">
        <v>4525</v>
      </c>
      <c r="AN5" s="275">
        <v>1000</v>
      </c>
      <c r="AO5" s="275">
        <v>100</v>
      </c>
      <c r="AP5" s="276">
        <v>10</v>
      </c>
      <c r="AQ5" s="276">
        <v>1</v>
      </c>
      <c r="AR5" s="276">
        <v>1E-3</v>
      </c>
      <c r="AS5" s="276">
        <v>1E-3</v>
      </c>
      <c r="AT5" s="276">
        <v>9.9999999999999995E-7</v>
      </c>
      <c r="AU5" s="277">
        <v>1.0000000000000001E-9</v>
      </c>
      <c r="AW5" s="1"/>
      <c r="AX5" s="64"/>
      <c r="AY5" s="312" t="s">
        <v>4553</v>
      </c>
    </row>
    <row r="6" spans="1:51" ht="15.75" thickBot="1" x14ac:dyDescent="0.3">
      <c r="A6" s="253" t="s">
        <v>3696</v>
      </c>
      <c r="B6" s="249" t="s">
        <v>3688</v>
      </c>
      <c r="C6" s="254">
        <v>40.200000000000003</v>
      </c>
      <c r="D6" s="300">
        <v>1.0349999999999999</v>
      </c>
      <c r="E6" s="255"/>
      <c r="F6" s="307" t="s">
        <v>3782</v>
      </c>
      <c r="J6" s="1" t="s">
        <v>3685</v>
      </c>
      <c r="K6" s="44" t="s">
        <v>3666</v>
      </c>
      <c r="L6" s="45">
        <v>1E-3</v>
      </c>
      <c r="M6" s="46">
        <v>9.9999999999999995E-7</v>
      </c>
      <c r="N6" s="46">
        <v>1.0000000000000001E-9</v>
      </c>
      <c r="O6" s="46">
        <v>9.9999999999999998E-13</v>
      </c>
      <c r="P6" s="46">
        <v>1</v>
      </c>
      <c r="Q6" s="46">
        <v>1E-3</v>
      </c>
      <c r="R6" s="46">
        <v>9.9999999999999995E-7</v>
      </c>
      <c r="S6" s="47">
        <v>1.0000000000000001E-9</v>
      </c>
      <c r="U6" s="44" t="s">
        <v>3748</v>
      </c>
      <c r="V6" s="53">
        <v>1000</v>
      </c>
      <c r="W6" s="52">
        <v>1000000</v>
      </c>
      <c r="X6" s="52">
        <v>1000000000</v>
      </c>
      <c r="Y6" s="52">
        <v>1000000000000</v>
      </c>
      <c r="Z6" s="52">
        <v>1</v>
      </c>
      <c r="AA6" s="52">
        <v>1000</v>
      </c>
      <c r="AB6" s="52">
        <v>1000000</v>
      </c>
      <c r="AC6" s="52">
        <v>1000000000</v>
      </c>
      <c r="AD6" s="52">
        <v>1.0000000000000001E-9</v>
      </c>
      <c r="AE6" s="52">
        <v>9.9999999999999995E-7</v>
      </c>
      <c r="AF6" s="52">
        <v>1E-3</v>
      </c>
      <c r="AG6" s="52">
        <v>1</v>
      </c>
      <c r="AH6" s="58">
        <v>2.7800000000000002E-10</v>
      </c>
      <c r="AI6" s="58">
        <v>2.7799999999999997E-7</v>
      </c>
      <c r="AJ6" s="58">
        <v>2.7799999999999998E-4</v>
      </c>
      <c r="AK6" s="62">
        <v>0.27800000000000002</v>
      </c>
      <c r="AM6" s="271" t="s">
        <v>4526</v>
      </c>
      <c r="AN6" s="275">
        <v>1000000</v>
      </c>
      <c r="AO6" s="275">
        <v>100000</v>
      </c>
      <c r="AP6" s="276">
        <v>10000</v>
      </c>
      <c r="AQ6" s="276">
        <v>1000</v>
      </c>
      <c r="AR6" s="276">
        <v>1</v>
      </c>
      <c r="AS6" s="276">
        <v>1</v>
      </c>
      <c r="AT6" s="276">
        <v>1E-3</v>
      </c>
      <c r="AU6" s="277">
        <v>9.9999999999999995E-7</v>
      </c>
      <c r="AY6" s="312" t="s">
        <v>4554</v>
      </c>
    </row>
    <row r="7" spans="1:51" ht="15.75" thickBot="1" x14ac:dyDescent="0.3">
      <c r="A7" s="253" t="s">
        <v>3697</v>
      </c>
      <c r="B7" s="249" t="s">
        <v>4547</v>
      </c>
      <c r="C7" s="254">
        <v>2.4700000000000002</v>
      </c>
      <c r="D7" s="257"/>
      <c r="E7" s="302">
        <v>1.25</v>
      </c>
      <c r="F7" s="307" t="s">
        <v>3782</v>
      </c>
      <c r="J7" s="1" t="s">
        <v>3690</v>
      </c>
      <c r="K7" s="44" t="s">
        <v>3667</v>
      </c>
      <c r="L7" s="45">
        <v>1</v>
      </c>
      <c r="M7" s="46">
        <v>1E-3</v>
      </c>
      <c r="N7" s="46">
        <v>9.9999999999999995E-7</v>
      </c>
      <c r="O7" s="46">
        <v>1.0000000000000001E-9</v>
      </c>
      <c r="P7" s="46">
        <v>1000</v>
      </c>
      <c r="Q7" s="46">
        <v>1</v>
      </c>
      <c r="R7" s="46">
        <v>1E-3</v>
      </c>
      <c r="S7" s="47">
        <v>9.9999999999999995E-7</v>
      </c>
      <c r="U7" s="44" t="s">
        <v>3749</v>
      </c>
      <c r="V7" s="53">
        <v>1</v>
      </c>
      <c r="W7" s="52">
        <v>1000</v>
      </c>
      <c r="X7" s="52">
        <v>1000000</v>
      </c>
      <c r="Y7" s="52">
        <v>1000000000</v>
      </c>
      <c r="Z7" s="52">
        <v>1E-3</v>
      </c>
      <c r="AA7" s="52">
        <v>1</v>
      </c>
      <c r="AB7" s="52">
        <v>1000</v>
      </c>
      <c r="AC7" s="52">
        <v>1000000</v>
      </c>
      <c r="AD7" s="52">
        <v>9.9999999999999998E-13</v>
      </c>
      <c r="AE7" s="52">
        <v>1.0000000000000001E-9</v>
      </c>
      <c r="AF7" s="52">
        <v>9.9999999999999995E-7</v>
      </c>
      <c r="AG7" s="52">
        <v>1E-3</v>
      </c>
      <c r="AH7" s="58">
        <v>2.7799999999999998E-13</v>
      </c>
      <c r="AI7" s="58">
        <v>2.7800000000000002E-10</v>
      </c>
      <c r="AJ7" s="58">
        <v>2.7799999999999997E-7</v>
      </c>
      <c r="AK7" s="62">
        <v>2.7799999999999998E-4</v>
      </c>
      <c r="AM7" s="271" t="s">
        <v>4527</v>
      </c>
      <c r="AN7" s="275">
        <v>1000000</v>
      </c>
      <c r="AO7" s="275">
        <v>100000</v>
      </c>
      <c r="AP7" s="276">
        <v>10000</v>
      </c>
      <c r="AQ7" s="276">
        <v>1000</v>
      </c>
      <c r="AR7" s="276">
        <v>1</v>
      </c>
      <c r="AS7" s="276">
        <v>1</v>
      </c>
      <c r="AT7" s="276">
        <v>1E-3</v>
      </c>
      <c r="AU7" s="277">
        <v>9.9999999999999995E-7</v>
      </c>
      <c r="AY7" s="312" t="s">
        <v>4555</v>
      </c>
    </row>
    <row r="8" spans="1:51" ht="15.75" thickBot="1" x14ac:dyDescent="0.3">
      <c r="A8" s="253" t="s">
        <v>3698</v>
      </c>
      <c r="B8" s="249" t="s">
        <v>3683</v>
      </c>
      <c r="C8" s="254">
        <v>20.7</v>
      </c>
      <c r="D8" s="257"/>
      <c r="E8" s="255"/>
      <c r="F8" s="307" t="s">
        <v>3782</v>
      </c>
      <c r="K8" s="44" t="s">
        <v>3668</v>
      </c>
      <c r="L8" s="45">
        <v>1000</v>
      </c>
      <c r="M8" s="46">
        <v>1</v>
      </c>
      <c r="N8" s="46">
        <v>1E-3</v>
      </c>
      <c r="O8" s="46">
        <v>1E-3</v>
      </c>
      <c r="P8" s="46">
        <v>1000000</v>
      </c>
      <c r="Q8" s="46">
        <v>1000</v>
      </c>
      <c r="R8" s="46">
        <v>1</v>
      </c>
      <c r="S8" s="47">
        <v>1E-3</v>
      </c>
      <c r="U8" s="44" t="s">
        <v>3750</v>
      </c>
      <c r="V8" s="53">
        <v>1E-3</v>
      </c>
      <c r="W8" s="52">
        <v>1</v>
      </c>
      <c r="X8" s="52">
        <v>1000</v>
      </c>
      <c r="Y8" s="52">
        <v>1000000</v>
      </c>
      <c r="Z8" s="52">
        <v>9.9999999999999995E-7</v>
      </c>
      <c r="AA8" s="52">
        <v>1E-3</v>
      </c>
      <c r="AB8" s="52">
        <v>1</v>
      </c>
      <c r="AC8" s="52">
        <v>1000</v>
      </c>
      <c r="AD8" s="52">
        <v>1.0000000000000001E-15</v>
      </c>
      <c r="AE8" s="52">
        <v>9.9999999999999998E-13</v>
      </c>
      <c r="AF8" s="52">
        <v>1.0000000000000001E-9</v>
      </c>
      <c r="AG8" s="52">
        <v>9.9999999999999995E-7</v>
      </c>
      <c r="AH8" s="58">
        <v>2.7799999999999998E-16</v>
      </c>
      <c r="AI8" s="58">
        <v>2.7800000000000002E-10</v>
      </c>
      <c r="AJ8" s="58">
        <v>2.7799999999999997E-7</v>
      </c>
      <c r="AK8" s="62">
        <v>2.7799999999999998E-4</v>
      </c>
      <c r="AM8" s="271" t="s">
        <v>4528</v>
      </c>
      <c r="AN8" s="275">
        <v>1000000000</v>
      </c>
      <c r="AO8" s="275">
        <v>100000000</v>
      </c>
      <c r="AP8" s="276">
        <v>10000000</v>
      </c>
      <c r="AQ8" s="276">
        <v>1000000</v>
      </c>
      <c r="AR8" s="276">
        <v>1000</v>
      </c>
      <c r="AS8" s="276">
        <v>1000</v>
      </c>
      <c r="AT8" s="276">
        <v>1</v>
      </c>
      <c r="AU8" s="277">
        <v>1E-3</v>
      </c>
      <c r="AY8" s="313"/>
    </row>
    <row r="9" spans="1:51" ht="15.75" thickBot="1" x14ac:dyDescent="0.3">
      <c r="A9" s="253" t="s">
        <v>4546</v>
      </c>
      <c r="B9" s="249" t="s">
        <v>4547</v>
      </c>
      <c r="C9" s="300">
        <v>45.57</v>
      </c>
      <c r="D9" s="257"/>
      <c r="E9" s="258">
        <v>2.5</v>
      </c>
      <c r="F9" s="307" t="s">
        <v>3782</v>
      </c>
      <c r="K9" s="44" t="s">
        <v>3669</v>
      </c>
      <c r="L9" s="48">
        <v>1000000</v>
      </c>
      <c r="M9" s="49">
        <v>1000</v>
      </c>
      <c r="N9" s="49">
        <v>1</v>
      </c>
      <c r="O9" s="49">
        <v>1E-3</v>
      </c>
      <c r="P9" s="49">
        <v>1000000000</v>
      </c>
      <c r="Q9" s="49">
        <v>1000000</v>
      </c>
      <c r="R9" s="49">
        <v>1000</v>
      </c>
      <c r="S9" s="50">
        <v>1</v>
      </c>
      <c r="U9" s="44" t="s">
        <v>3751</v>
      </c>
      <c r="V9" s="53">
        <v>9.9999999999999995E-7</v>
      </c>
      <c r="W9" s="52">
        <v>1E-3</v>
      </c>
      <c r="X9" s="52">
        <v>1</v>
      </c>
      <c r="Y9" s="52">
        <v>1000</v>
      </c>
      <c r="Z9" s="52">
        <v>1.0000000000000001E-9</v>
      </c>
      <c r="AA9" s="52">
        <v>9.9999999999999995E-7</v>
      </c>
      <c r="AB9" s="52">
        <v>1</v>
      </c>
      <c r="AC9" s="52">
        <v>1000</v>
      </c>
      <c r="AD9" s="52">
        <v>1.0000000000000001E-18</v>
      </c>
      <c r="AE9" s="52">
        <v>1.0000000000000001E-15</v>
      </c>
      <c r="AF9" s="52">
        <v>9.9999999999999998E-13</v>
      </c>
      <c r="AG9" s="52">
        <v>1.0000000000000001E-9</v>
      </c>
      <c r="AH9" s="58">
        <v>2.7799999999999998E-19</v>
      </c>
      <c r="AI9" s="58">
        <v>2.7799999999999998E-13</v>
      </c>
      <c r="AJ9" s="58">
        <v>2.7800000000000002E-10</v>
      </c>
      <c r="AK9" s="62">
        <v>2.7799999999999997E-7</v>
      </c>
      <c r="AM9" s="271" t="s">
        <v>4529</v>
      </c>
      <c r="AN9" s="278">
        <v>1000000000000</v>
      </c>
      <c r="AO9" s="278">
        <v>100000000000</v>
      </c>
      <c r="AP9" s="279">
        <v>10000000000</v>
      </c>
      <c r="AQ9" s="279">
        <v>1000000000</v>
      </c>
      <c r="AR9" s="279">
        <v>1000000</v>
      </c>
      <c r="AS9" s="279">
        <v>1000000</v>
      </c>
      <c r="AT9" s="279">
        <v>1000</v>
      </c>
      <c r="AU9" s="280">
        <v>1</v>
      </c>
      <c r="AY9" s="312" t="s">
        <v>4556</v>
      </c>
    </row>
    <row r="10" spans="1:51" ht="15.75" thickBot="1" x14ac:dyDescent="0.3">
      <c r="A10" s="253" t="s">
        <v>3699</v>
      </c>
      <c r="B10" s="249" t="s">
        <v>4547</v>
      </c>
      <c r="C10" s="254">
        <v>28.2</v>
      </c>
      <c r="D10" s="257"/>
      <c r="E10" s="255"/>
      <c r="F10" s="307" t="s">
        <v>3782</v>
      </c>
      <c r="U10" s="44" t="s">
        <v>3676</v>
      </c>
      <c r="V10" s="53">
        <v>1000000</v>
      </c>
      <c r="W10" s="52">
        <v>1000000000</v>
      </c>
      <c r="X10" s="52">
        <v>1000000000000</v>
      </c>
      <c r="Y10" s="52">
        <v>1000000000000000</v>
      </c>
      <c r="Z10" s="52">
        <v>1000</v>
      </c>
      <c r="AA10" s="52">
        <v>1000000</v>
      </c>
      <c r="AB10" s="52">
        <v>1000000000</v>
      </c>
      <c r="AC10" s="52">
        <v>1000000000000</v>
      </c>
      <c r="AD10" s="52">
        <v>9.9999999999999995E-7</v>
      </c>
      <c r="AE10" s="52">
        <v>1E-3</v>
      </c>
      <c r="AF10" s="52">
        <v>1</v>
      </c>
      <c r="AG10" s="52">
        <v>1000</v>
      </c>
      <c r="AH10" s="58">
        <v>2.7780000000000001E-7</v>
      </c>
      <c r="AI10" s="58">
        <v>2.777778E-4</v>
      </c>
      <c r="AJ10" s="58">
        <v>0.27777777780000001</v>
      </c>
      <c r="AK10" s="62">
        <v>277.77777780000002</v>
      </c>
      <c r="AY10" s="313"/>
    </row>
    <row r="11" spans="1:51" ht="15.75" thickBot="1" x14ac:dyDescent="0.3">
      <c r="A11" s="253" t="s">
        <v>3700</v>
      </c>
      <c r="B11" s="249" t="s">
        <v>4547</v>
      </c>
      <c r="C11" s="254">
        <v>38.700000000000003</v>
      </c>
      <c r="D11" s="257"/>
      <c r="E11" s="302">
        <v>0.47499999999999998</v>
      </c>
      <c r="F11" s="307" t="s">
        <v>3782</v>
      </c>
      <c r="U11" s="44" t="s">
        <v>3677</v>
      </c>
      <c r="V11" s="53">
        <v>1000</v>
      </c>
      <c r="W11" s="52">
        <v>1000000</v>
      </c>
      <c r="X11" s="52">
        <v>1000000000</v>
      </c>
      <c r="Y11" s="52">
        <v>1000000000000</v>
      </c>
      <c r="Z11" s="52">
        <v>1</v>
      </c>
      <c r="AA11" s="52">
        <v>1000</v>
      </c>
      <c r="AB11" s="52">
        <v>1000000</v>
      </c>
      <c r="AC11" s="52">
        <v>1000000000</v>
      </c>
      <c r="AD11" s="52">
        <v>1.0000000000000001E-9</v>
      </c>
      <c r="AE11" s="52">
        <v>9.9999999999999995E-7</v>
      </c>
      <c r="AF11" s="52">
        <v>1E-3</v>
      </c>
      <c r="AG11" s="52">
        <v>1</v>
      </c>
      <c r="AH11" s="58">
        <v>2.7800000000000002E-10</v>
      </c>
      <c r="AI11" s="58">
        <v>2.7780000000000001E-7</v>
      </c>
      <c r="AJ11" s="58">
        <v>2.777778E-4</v>
      </c>
      <c r="AK11" s="62">
        <v>0.27777777780000001</v>
      </c>
      <c r="AY11" s="312" t="s">
        <v>4557</v>
      </c>
    </row>
    <row r="12" spans="1:51" ht="15.75" thickBot="1" x14ac:dyDescent="0.3">
      <c r="A12" s="253" t="s">
        <v>3701</v>
      </c>
      <c r="B12" s="249" t="s">
        <v>3683</v>
      </c>
      <c r="C12" s="254">
        <v>28.2</v>
      </c>
      <c r="D12" s="257"/>
      <c r="E12" s="255"/>
      <c r="F12" s="307" t="s">
        <v>3782</v>
      </c>
      <c r="U12" s="38" t="s">
        <v>3678</v>
      </c>
      <c r="V12" s="59">
        <v>3600000000000</v>
      </c>
      <c r="W12" s="58">
        <v>3600000000000000</v>
      </c>
      <c r="X12" s="58">
        <v>3.6E+18</v>
      </c>
      <c r="Y12" s="58">
        <v>3.6E+21</v>
      </c>
      <c r="Z12" s="58">
        <v>3600000000</v>
      </c>
      <c r="AA12" s="58">
        <v>3600000000000</v>
      </c>
      <c r="AB12" s="58">
        <v>3600000000000000</v>
      </c>
      <c r="AC12" s="58">
        <v>3.6E+18</v>
      </c>
      <c r="AD12" s="58">
        <v>3.6</v>
      </c>
      <c r="AE12" s="58">
        <v>3600</v>
      </c>
      <c r="AF12" s="58">
        <v>3600000</v>
      </c>
      <c r="AG12" s="58">
        <v>3600000000</v>
      </c>
      <c r="AH12" s="58">
        <v>1</v>
      </c>
      <c r="AI12" s="58">
        <v>1000</v>
      </c>
      <c r="AJ12" s="58">
        <v>1000000</v>
      </c>
      <c r="AK12" s="62">
        <v>1000000000</v>
      </c>
      <c r="AY12" s="311"/>
    </row>
    <row r="13" spans="1:51" ht="15.75" thickBot="1" x14ac:dyDescent="0.3">
      <c r="A13" s="253" t="s">
        <v>4550</v>
      </c>
      <c r="B13" s="249" t="s">
        <v>3688</v>
      </c>
      <c r="C13" s="254">
        <v>42.3</v>
      </c>
      <c r="D13" s="207">
        <v>0.8</v>
      </c>
      <c r="E13" s="255"/>
      <c r="F13" s="307" t="s">
        <v>3782</v>
      </c>
      <c r="U13" s="38" t="s">
        <v>3679</v>
      </c>
      <c r="V13" s="59">
        <v>3600000000</v>
      </c>
      <c r="W13" s="58">
        <v>3600000000000</v>
      </c>
      <c r="X13" s="58">
        <v>3600000000000000</v>
      </c>
      <c r="Y13" s="58">
        <v>3.6E+18</v>
      </c>
      <c r="Z13" s="58">
        <v>3600000</v>
      </c>
      <c r="AA13" s="58">
        <v>3600000000</v>
      </c>
      <c r="AB13" s="58">
        <v>3600000000000</v>
      </c>
      <c r="AC13" s="58">
        <v>3600000000000000</v>
      </c>
      <c r="AD13" s="58">
        <v>3.5999999999999999E-3</v>
      </c>
      <c r="AE13" s="58">
        <v>3.6</v>
      </c>
      <c r="AF13" s="58">
        <v>3600</v>
      </c>
      <c r="AG13" s="58">
        <v>3600000</v>
      </c>
      <c r="AH13" s="58">
        <v>1E-3</v>
      </c>
      <c r="AI13" s="58">
        <v>1</v>
      </c>
      <c r="AJ13" s="58">
        <v>1000</v>
      </c>
      <c r="AK13" s="62">
        <v>1000000</v>
      </c>
      <c r="AY13" s="311"/>
    </row>
    <row r="14" spans="1:51" x14ac:dyDescent="0.25">
      <c r="A14" s="253" t="s">
        <v>3702</v>
      </c>
      <c r="B14" s="249" t="s">
        <v>4547</v>
      </c>
      <c r="C14" s="254">
        <v>46.4</v>
      </c>
      <c r="D14" s="257"/>
      <c r="E14" s="258">
        <v>1.3</v>
      </c>
      <c r="F14" s="307" t="s">
        <v>3782</v>
      </c>
      <c r="AY14" s="311"/>
    </row>
    <row r="15" spans="1:51" x14ac:dyDescent="0.25">
      <c r="A15" s="253" t="s">
        <v>3703</v>
      </c>
      <c r="B15" s="249" t="s">
        <v>4547</v>
      </c>
      <c r="C15" s="254">
        <v>28.2</v>
      </c>
      <c r="D15" s="257"/>
      <c r="E15" s="302">
        <v>0.54</v>
      </c>
      <c r="F15" s="307" t="s">
        <v>3782</v>
      </c>
      <c r="AY15" s="312" t="s">
        <v>4558</v>
      </c>
    </row>
    <row r="16" spans="1:51" x14ac:dyDescent="0.25">
      <c r="A16" s="253" t="s">
        <v>3704</v>
      </c>
      <c r="B16" s="249" t="s">
        <v>3688</v>
      </c>
      <c r="C16" s="254">
        <v>43</v>
      </c>
      <c r="D16" s="259">
        <v>0.84</v>
      </c>
      <c r="E16" s="260"/>
      <c r="F16" s="307" t="s">
        <v>3782</v>
      </c>
      <c r="AY16" s="313"/>
    </row>
    <row r="17" spans="1:51" x14ac:dyDescent="0.25">
      <c r="A17" s="253" t="s">
        <v>3705</v>
      </c>
      <c r="B17" s="249" t="s">
        <v>3688</v>
      </c>
      <c r="C17" s="254">
        <v>44.3</v>
      </c>
      <c r="D17" s="300">
        <v>0.81</v>
      </c>
      <c r="E17" s="255"/>
      <c r="F17" s="307" t="s">
        <v>3782</v>
      </c>
      <c r="AY17" s="312" t="s">
        <v>4559</v>
      </c>
    </row>
    <row r="18" spans="1:51" x14ac:dyDescent="0.25">
      <c r="A18" s="253" t="s">
        <v>3706</v>
      </c>
      <c r="B18" s="249" t="s">
        <v>3688</v>
      </c>
      <c r="C18" s="254">
        <v>44.1</v>
      </c>
      <c r="D18" s="207">
        <v>0.79</v>
      </c>
      <c r="E18" s="255"/>
      <c r="F18" s="307" t="s">
        <v>3782</v>
      </c>
      <c r="AY18" s="311"/>
    </row>
    <row r="19" spans="1:51" x14ac:dyDescent="0.25">
      <c r="A19" s="253" t="s">
        <v>4549</v>
      </c>
      <c r="B19" s="249" t="s">
        <v>3688</v>
      </c>
      <c r="C19" s="254">
        <v>43.8</v>
      </c>
      <c r="D19" s="207">
        <v>0.8</v>
      </c>
      <c r="E19" s="255"/>
      <c r="F19" s="307" t="s">
        <v>3782</v>
      </c>
      <c r="AY19" s="311"/>
    </row>
    <row r="20" spans="1:51" x14ac:dyDescent="0.25">
      <c r="A20" s="253" t="s">
        <v>3707</v>
      </c>
      <c r="B20" s="249" t="s">
        <v>4547</v>
      </c>
      <c r="C20" s="254">
        <v>50.4</v>
      </c>
      <c r="D20" s="257"/>
      <c r="E20" s="258">
        <v>0.9</v>
      </c>
      <c r="F20" s="307" t="s">
        <v>3781</v>
      </c>
      <c r="AY20" s="311"/>
    </row>
    <row r="21" spans="1:51" x14ac:dyDescent="0.25">
      <c r="A21" s="253" t="s">
        <v>3708</v>
      </c>
      <c r="B21" s="249" t="s">
        <v>3683</v>
      </c>
      <c r="C21" s="254">
        <v>11.9</v>
      </c>
      <c r="D21" s="257"/>
      <c r="E21" s="255"/>
      <c r="F21" s="307" t="s">
        <v>3782</v>
      </c>
      <c r="AY21" s="311"/>
    </row>
    <row r="22" spans="1:51" x14ac:dyDescent="0.25">
      <c r="A22" s="253" t="s">
        <v>3709</v>
      </c>
      <c r="B22" s="249" t="s">
        <v>3688</v>
      </c>
      <c r="C22" s="254">
        <v>47.3</v>
      </c>
      <c r="D22" s="207">
        <v>0.54</v>
      </c>
      <c r="E22" s="255"/>
      <c r="F22" s="307" t="s">
        <v>3782</v>
      </c>
      <c r="AY22" s="311"/>
    </row>
    <row r="23" spans="1:51" x14ac:dyDescent="0.25">
      <c r="A23" s="253" t="s">
        <v>3710</v>
      </c>
      <c r="B23" s="249" t="s">
        <v>3688</v>
      </c>
      <c r="C23" s="254">
        <v>40.200000000000003</v>
      </c>
      <c r="D23" s="207">
        <v>1</v>
      </c>
      <c r="E23" s="255"/>
      <c r="F23" s="307" t="s">
        <v>3782</v>
      </c>
      <c r="AY23" s="311"/>
    </row>
    <row r="24" spans="1:51" x14ac:dyDescent="0.25">
      <c r="A24" s="253" t="s">
        <v>3711</v>
      </c>
      <c r="B24" s="249" t="s">
        <v>4547</v>
      </c>
      <c r="C24" s="300">
        <v>50</v>
      </c>
      <c r="D24" s="257"/>
      <c r="E24" s="258">
        <v>0.67</v>
      </c>
      <c r="F24" s="307" t="s">
        <v>3782</v>
      </c>
      <c r="AY24" s="312" t="s">
        <v>4560</v>
      </c>
    </row>
    <row r="25" spans="1:51" x14ac:dyDescent="0.25">
      <c r="A25" s="253" t="s">
        <v>3712</v>
      </c>
      <c r="B25" s="249" t="s">
        <v>3688</v>
      </c>
      <c r="C25" s="254">
        <v>44.3</v>
      </c>
      <c r="D25" s="207">
        <v>0.74</v>
      </c>
      <c r="E25" s="255"/>
      <c r="F25" s="307" t="s">
        <v>3782</v>
      </c>
      <c r="AY25" s="311"/>
    </row>
    <row r="26" spans="1:51" x14ac:dyDescent="0.25">
      <c r="A26" s="253" t="s">
        <v>3713</v>
      </c>
      <c r="B26" s="249" t="s">
        <v>3683</v>
      </c>
      <c r="C26" s="254">
        <v>11.6</v>
      </c>
      <c r="D26" s="257"/>
      <c r="E26" s="255"/>
      <c r="F26" s="307" t="s">
        <v>3781</v>
      </c>
      <c r="AY26" s="311"/>
    </row>
    <row r="27" spans="1:51" x14ac:dyDescent="0.25">
      <c r="A27" s="261" t="s">
        <v>3714</v>
      </c>
      <c r="B27" s="249" t="s">
        <v>3683</v>
      </c>
      <c r="C27" s="254">
        <v>10</v>
      </c>
      <c r="D27" s="257"/>
      <c r="E27" s="255"/>
      <c r="F27" s="307" t="s">
        <v>3782</v>
      </c>
      <c r="AY27" s="311"/>
    </row>
    <row r="28" spans="1:51" x14ac:dyDescent="0.25">
      <c r="A28" s="253" t="s">
        <v>3715</v>
      </c>
      <c r="B28" s="249" t="s">
        <v>3688</v>
      </c>
      <c r="C28" s="254">
        <v>44.5</v>
      </c>
      <c r="D28" s="207">
        <v>0.77</v>
      </c>
      <c r="E28" s="255"/>
      <c r="F28" s="307" t="s">
        <v>3782</v>
      </c>
      <c r="AY28" s="311"/>
    </row>
    <row r="29" spans="1:51" x14ac:dyDescent="0.25">
      <c r="A29" s="253" t="s">
        <v>3716</v>
      </c>
      <c r="B29" s="249" t="s">
        <v>4547</v>
      </c>
      <c r="C29" s="254">
        <v>48</v>
      </c>
      <c r="D29" s="257"/>
      <c r="E29" s="258">
        <v>0.7</v>
      </c>
      <c r="F29" s="307" t="s">
        <v>3782</v>
      </c>
      <c r="AY29" s="311"/>
    </row>
    <row r="30" spans="1:51" x14ac:dyDescent="0.25">
      <c r="A30" s="253" t="s">
        <v>4548</v>
      </c>
      <c r="B30" s="249" t="s">
        <v>3688</v>
      </c>
      <c r="C30" s="254">
        <v>44.2</v>
      </c>
      <c r="D30" s="207">
        <v>0.47</v>
      </c>
      <c r="E30" s="255"/>
      <c r="F30" s="307" t="s">
        <v>3782</v>
      </c>
      <c r="AY30" s="311"/>
    </row>
    <row r="31" spans="1:51" x14ac:dyDescent="0.25">
      <c r="A31" s="253" t="s">
        <v>3717</v>
      </c>
      <c r="B31" s="249" t="s">
        <v>3688</v>
      </c>
      <c r="C31" s="254">
        <v>8.9</v>
      </c>
      <c r="D31" s="300">
        <v>0.95</v>
      </c>
      <c r="E31" s="255"/>
      <c r="F31" s="307" t="s">
        <v>3782</v>
      </c>
      <c r="AY31" s="312" t="s">
        <v>4561</v>
      </c>
    </row>
    <row r="32" spans="1:51" x14ac:dyDescent="0.25">
      <c r="A32" s="253" t="s">
        <v>3718</v>
      </c>
      <c r="B32" s="249" t="s">
        <v>3688</v>
      </c>
      <c r="C32" s="254">
        <v>27.5</v>
      </c>
      <c r="D32" s="300">
        <v>1.1299999999999999</v>
      </c>
      <c r="E32" s="255"/>
      <c r="F32" s="307" t="s">
        <v>3782</v>
      </c>
      <c r="AY32" s="312" t="s">
        <v>4571</v>
      </c>
    </row>
    <row r="33" spans="1:51" x14ac:dyDescent="0.25">
      <c r="A33" s="253" t="s">
        <v>3719</v>
      </c>
      <c r="B33" s="249" t="s">
        <v>4547</v>
      </c>
      <c r="C33" s="254">
        <v>7.06</v>
      </c>
      <c r="D33" s="257"/>
      <c r="E33" s="302">
        <v>1.33</v>
      </c>
      <c r="F33" s="307" t="s">
        <v>3782</v>
      </c>
      <c r="AY33" s="312" t="s">
        <v>4572</v>
      </c>
    </row>
    <row r="34" spans="1:51" x14ac:dyDescent="0.25">
      <c r="A34" s="253" t="s">
        <v>3720</v>
      </c>
      <c r="B34" s="249" t="s">
        <v>3683</v>
      </c>
      <c r="C34" s="254">
        <v>40.200000000000003</v>
      </c>
      <c r="D34" s="257"/>
      <c r="E34" s="255"/>
      <c r="F34" s="307" t="s">
        <v>3782</v>
      </c>
      <c r="AY34" s="311"/>
    </row>
    <row r="35" spans="1:51" x14ac:dyDescent="0.25">
      <c r="A35" s="253" t="s">
        <v>3721</v>
      </c>
      <c r="B35" s="249" t="s">
        <v>3683</v>
      </c>
      <c r="C35" s="254">
        <v>20.7</v>
      </c>
      <c r="D35" s="257"/>
      <c r="E35" s="255"/>
      <c r="F35" s="307" t="s">
        <v>3782</v>
      </c>
      <c r="AY35" s="311"/>
    </row>
    <row r="36" spans="1:51" x14ac:dyDescent="0.25">
      <c r="A36" s="253" t="s">
        <v>3722</v>
      </c>
      <c r="B36" s="249" t="s">
        <v>3683</v>
      </c>
      <c r="C36" s="254">
        <v>9.76</v>
      </c>
      <c r="D36" s="257"/>
      <c r="E36" s="255"/>
      <c r="F36" s="307" t="s">
        <v>3782</v>
      </c>
      <c r="AY36" s="311"/>
    </row>
    <row r="37" spans="1:51" x14ac:dyDescent="0.25">
      <c r="A37" s="253" t="s">
        <v>3723</v>
      </c>
      <c r="B37" s="249" t="s">
        <v>3683</v>
      </c>
      <c r="C37" s="254">
        <v>32.5</v>
      </c>
      <c r="D37" s="257"/>
      <c r="E37" s="255"/>
      <c r="F37" s="307" t="s">
        <v>3782</v>
      </c>
      <c r="AY37" s="311"/>
    </row>
    <row r="38" spans="1:51" x14ac:dyDescent="0.25">
      <c r="A38" s="253" t="s">
        <v>3724</v>
      </c>
      <c r="B38" s="249" t="s">
        <v>4547</v>
      </c>
      <c r="C38" s="300">
        <v>46.32</v>
      </c>
      <c r="D38" s="257"/>
      <c r="E38" s="258">
        <v>1.9</v>
      </c>
      <c r="F38" s="307" t="s">
        <v>3782</v>
      </c>
      <c r="AY38" s="312" t="s">
        <v>4562</v>
      </c>
    </row>
    <row r="39" spans="1:51" x14ac:dyDescent="0.25">
      <c r="A39" s="253" t="s">
        <v>3725</v>
      </c>
      <c r="B39" s="249" t="s">
        <v>3688</v>
      </c>
      <c r="C39" s="254">
        <v>43</v>
      </c>
      <c r="D39" s="300">
        <v>0.82499999999999996</v>
      </c>
      <c r="E39" s="255"/>
      <c r="F39" s="307" t="s">
        <v>3782</v>
      </c>
      <c r="AY39" s="312" t="s">
        <v>4563</v>
      </c>
    </row>
    <row r="40" spans="1:51" x14ac:dyDescent="0.25">
      <c r="A40" s="253" t="s">
        <v>3726</v>
      </c>
      <c r="B40" s="249" t="s">
        <v>4547</v>
      </c>
      <c r="C40" s="254">
        <v>49.5</v>
      </c>
      <c r="D40" s="257"/>
      <c r="E40" s="302">
        <v>0.88</v>
      </c>
      <c r="F40" s="307" t="s">
        <v>3782</v>
      </c>
      <c r="AY40" s="312" t="s">
        <v>4564</v>
      </c>
    </row>
    <row r="41" spans="1:51" x14ac:dyDescent="0.25">
      <c r="A41" s="253" t="s">
        <v>3727</v>
      </c>
      <c r="B41" s="249" t="s">
        <v>3688</v>
      </c>
      <c r="C41" s="254">
        <v>40.4</v>
      </c>
      <c r="D41" s="207">
        <v>0.94</v>
      </c>
      <c r="E41" s="255"/>
      <c r="F41" s="307" t="s">
        <v>3782</v>
      </c>
      <c r="AY41" s="311"/>
    </row>
    <row r="42" spans="1:51" x14ac:dyDescent="0.25">
      <c r="A42" s="253" t="s">
        <v>3728</v>
      </c>
      <c r="B42" s="249" t="s">
        <v>3688</v>
      </c>
      <c r="C42" s="254">
        <v>38.1</v>
      </c>
      <c r="D42" s="207">
        <v>1</v>
      </c>
      <c r="E42" s="255"/>
      <c r="F42" s="307" t="s">
        <v>3782</v>
      </c>
      <c r="AY42" s="311"/>
    </row>
    <row r="43" spans="1:51" x14ac:dyDescent="0.25">
      <c r="A43" s="253" t="s">
        <v>3729</v>
      </c>
      <c r="B43" s="249" t="s">
        <v>4547</v>
      </c>
      <c r="C43" s="254">
        <v>50.4</v>
      </c>
      <c r="D43" s="257"/>
      <c r="E43" s="258">
        <v>0.67</v>
      </c>
      <c r="F43" s="307" t="s">
        <v>3781</v>
      </c>
      <c r="AY43" s="311"/>
    </row>
    <row r="44" spans="1:51" x14ac:dyDescent="0.25">
      <c r="A44" s="253" t="s">
        <v>3730</v>
      </c>
      <c r="B44" s="249" t="s">
        <v>3683</v>
      </c>
      <c r="C44" s="254">
        <v>18.899999999999999</v>
      </c>
      <c r="D44" s="257"/>
      <c r="E44" s="255"/>
      <c r="F44" s="307" t="s">
        <v>3782</v>
      </c>
      <c r="AY44" s="311"/>
    </row>
    <row r="45" spans="1:51" x14ac:dyDescent="0.25">
      <c r="A45" s="253" t="s">
        <v>4573</v>
      </c>
      <c r="B45" s="249" t="s">
        <v>3688</v>
      </c>
      <c r="C45" s="254">
        <v>11.8</v>
      </c>
      <c r="D45" s="300">
        <v>1.2</v>
      </c>
      <c r="E45" s="255"/>
      <c r="F45" s="307" t="s">
        <v>3781</v>
      </c>
      <c r="AY45" s="312" t="s">
        <v>4565</v>
      </c>
    </row>
    <row r="46" spans="1:51" x14ac:dyDescent="0.25">
      <c r="A46" s="253" t="s">
        <v>3731</v>
      </c>
      <c r="B46" s="249" t="s">
        <v>3688</v>
      </c>
      <c r="C46" s="300">
        <v>44.4</v>
      </c>
      <c r="D46" s="207">
        <v>0.87</v>
      </c>
      <c r="E46" s="255"/>
      <c r="F46" s="307" t="s">
        <v>3781</v>
      </c>
      <c r="AY46" s="312" t="s">
        <v>4566</v>
      </c>
    </row>
    <row r="47" spans="1:51" x14ac:dyDescent="0.25">
      <c r="A47" s="253" t="s">
        <v>3732</v>
      </c>
      <c r="B47" s="249" t="s">
        <v>3688</v>
      </c>
      <c r="C47" s="300">
        <v>37.799999999999997</v>
      </c>
      <c r="D47" s="207">
        <v>0.9</v>
      </c>
      <c r="E47" s="255"/>
      <c r="F47" s="307" t="s">
        <v>3782</v>
      </c>
      <c r="AY47" s="312" t="s">
        <v>4567</v>
      </c>
    </row>
    <row r="48" spans="1:51" x14ac:dyDescent="0.25">
      <c r="A48" s="253" t="s">
        <v>3733</v>
      </c>
      <c r="B48" s="249" t="s">
        <v>3688</v>
      </c>
      <c r="C48" s="254">
        <v>40.200000000000003</v>
      </c>
      <c r="D48" s="300">
        <v>0.8</v>
      </c>
      <c r="E48" s="255"/>
      <c r="F48" s="307" t="s">
        <v>3782</v>
      </c>
      <c r="AY48" s="312" t="s">
        <v>4568</v>
      </c>
    </row>
    <row r="49" spans="1:51" x14ac:dyDescent="0.25">
      <c r="A49" s="253" t="s">
        <v>3734</v>
      </c>
      <c r="B49" s="249" t="s">
        <v>4547</v>
      </c>
      <c r="C49" s="300">
        <v>35</v>
      </c>
      <c r="D49" s="257"/>
      <c r="E49" s="258">
        <v>0.9</v>
      </c>
      <c r="F49" s="307" t="s">
        <v>3781</v>
      </c>
      <c r="AY49" s="312" t="s">
        <v>4569</v>
      </c>
    </row>
    <row r="50" spans="1:51" x14ac:dyDescent="0.25">
      <c r="A50" s="253" t="s">
        <v>3735</v>
      </c>
      <c r="B50" s="249" t="s">
        <v>3688</v>
      </c>
      <c r="C50" s="254">
        <v>40.200000000000003</v>
      </c>
      <c r="D50" s="300">
        <v>0.75</v>
      </c>
      <c r="E50" s="255"/>
      <c r="F50" s="307" t="s">
        <v>3782</v>
      </c>
      <c r="AY50" s="312" t="s">
        <v>4570</v>
      </c>
    </row>
    <row r="51" spans="1:51" x14ac:dyDescent="0.25">
      <c r="A51" s="262" t="s">
        <v>3736</v>
      </c>
      <c r="B51" s="249" t="s">
        <v>3683</v>
      </c>
      <c r="C51" s="263">
        <v>15.6</v>
      </c>
      <c r="D51" s="264"/>
      <c r="E51" s="265"/>
      <c r="F51" s="307" t="s">
        <v>3781</v>
      </c>
      <c r="AY51" s="311"/>
    </row>
    <row r="52" spans="1:51" x14ac:dyDescent="0.25">
      <c r="A52" s="266" t="s">
        <v>3814</v>
      </c>
      <c r="B52" s="267"/>
      <c r="C52" s="267"/>
      <c r="D52" s="267"/>
      <c r="E52" s="303"/>
      <c r="F52" s="267"/>
      <c r="AY52" s="311"/>
    </row>
    <row r="53" spans="1:51" x14ac:dyDescent="0.25">
      <c r="A53" s="266" t="s">
        <v>3815</v>
      </c>
      <c r="B53" s="267"/>
      <c r="C53" s="267"/>
      <c r="D53" s="267"/>
      <c r="E53" s="303"/>
      <c r="F53" s="267"/>
      <c r="AY53" s="311"/>
    </row>
    <row r="54" spans="1:51" x14ac:dyDescent="0.25">
      <c r="A54" s="266" t="s">
        <v>3816</v>
      </c>
      <c r="B54" s="267"/>
      <c r="C54" s="267"/>
      <c r="D54" s="267"/>
      <c r="E54" s="303"/>
      <c r="F54" s="267"/>
      <c r="AY54" s="311"/>
    </row>
    <row r="55" spans="1:51" x14ac:dyDescent="0.25">
      <c r="A55" s="266" t="s">
        <v>3817</v>
      </c>
      <c r="B55" s="267"/>
      <c r="C55" s="267"/>
      <c r="D55" s="267"/>
      <c r="E55" s="303"/>
      <c r="F55" s="267"/>
      <c r="AY55" s="311"/>
    </row>
    <row r="56" spans="1:51" x14ac:dyDescent="0.25">
      <c r="A56" s="266" t="s">
        <v>3818</v>
      </c>
      <c r="B56" s="267"/>
      <c r="C56" s="267"/>
      <c r="D56" s="267"/>
      <c r="E56" s="303"/>
      <c r="F56" s="267"/>
      <c r="AY56" s="311"/>
    </row>
    <row r="57" spans="1:51" x14ac:dyDescent="0.25">
      <c r="A57" s="266" t="s">
        <v>3819</v>
      </c>
      <c r="B57" s="267"/>
      <c r="C57" s="267"/>
      <c r="D57" s="267"/>
      <c r="E57" s="303"/>
      <c r="F57" s="267"/>
      <c r="AY57" s="311"/>
    </row>
    <row r="58" spans="1:51" x14ac:dyDescent="0.25">
      <c r="A58" s="266" t="s">
        <v>3820</v>
      </c>
      <c r="B58" s="267"/>
      <c r="C58" s="267"/>
      <c r="D58" s="267"/>
      <c r="E58" s="303"/>
      <c r="F58" s="267"/>
      <c r="AY58" s="311"/>
    </row>
    <row r="59" spans="1:51" x14ac:dyDescent="0.25">
      <c r="A59" s="266" t="s">
        <v>3821</v>
      </c>
      <c r="B59" s="267"/>
      <c r="C59" s="267"/>
      <c r="D59" s="267"/>
      <c r="E59" s="303"/>
      <c r="F59" s="267"/>
      <c r="AY59" s="311"/>
    </row>
    <row r="60" spans="1:51" x14ac:dyDescent="0.25">
      <c r="A60" s="266" t="s">
        <v>3822</v>
      </c>
      <c r="B60" s="267"/>
      <c r="C60" s="267"/>
      <c r="D60" s="267"/>
      <c r="E60" s="303"/>
      <c r="F60" s="267"/>
      <c r="AY60" s="311"/>
    </row>
    <row r="61" spans="1:51" ht="15.75" thickBot="1" x14ac:dyDescent="0.3">
      <c r="A61" s="308" t="s">
        <v>3823</v>
      </c>
      <c r="B61" s="267"/>
      <c r="C61" s="309"/>
      <c r="D61" s="309"/>
      <c r="E61" s="310"/>
      <c r="F61" s="267"/>
      <c r="AY61" s="311"/>
    </row>
    <row r="62" spans="1:51" x14ac:dyDescent="0.25">
      <c r="A62" s="1070" t="s">
        <v>4551</v>
      </c>
      <c r="B62" s="1071"/>
      <c r="C62" s="1071"/>
      <c r="D62" s="1071"/>
      <c r="E62" s="1071"/>
      <c r="F62" s="1071"/>
      <c r="G62" s="1071"/>
      <c r="H62" s="1071"/>
      <c r="I62" s="1071"/>
      <c r="J62" s="1071"/>
      <c r="K62" s="1071"/>
      <c r="L62" s="1071"/>
      <c r="M62" s="1071"/>
      <c r="N62" s="1071"/>
      <c r="O62" s="1071"/>
      <c r="P62" s="1071"/>
      <c r="Q62" s="1071"/>
      <c r="R62" s="1071"/>
      <c r="S62" s="1071"/>
      <c r="T62" s="1071"/>
      <c r="U62" s="1071"/>
      <c r="V62" s="1071"/>
      <c r="W62" s="1071"/>
      <c r="X62" s="1071"/>
      <c r="Y62" s="1071"/>
      <c r="Z62" s="1071"/>
      <c r="AA62" s="1071"/>
      <c r="AB62" s="1071"/>
      <c r="AC62" s="1071"/>
      <c r="AD62" s="1071"/>
      <c r="AE62" s="1071"/>
      <c r="AF62" s="1071"/>
      <c r="AG62" s="1071"/>
      <c r="AH62" s="1071"/>
      <c r="AI62" s="1071"/>
      <c r="AJ62" s="1071"/>
      <c r="AK62" s="1071"/>
      <c r="AL62" s="1071"/>
      <c r="AM62" s="1071"/>
      <c r="AN62" s="1071"/>
      <c r="AO62" s="1071"/>
      <c r="AP62" s="1071"/>
      <c r="AQ62" s="1071"/>
      <c r="AR62" s="1071"/>
      <c r="AS62" s="1071"/>
      <c r="AT62" s="1071"/>
      <c r="AU62" s="1071"/>
      <c r="AV62" s="1071"/>
      <c r="AW62" s="1071"/>
      <c r="AX62" s="1071"/>
      <c r="AY62" s="1072"/>
    </row>
    <row r="63" spans="1:51" ht="43.9" customHeight="1" x14ac:dyDescent="0.25">
      <c r="A63" s="1073" t="s">
        <v>4587</v>
      </c>
      <c r="B63" s="1074"/>
      <c r="C63" s="1074"/>
      <c r="D63" s="1074"/>
      <c r="E63" s="1074"/>
      <c r="F63" s="1074"/>
      <c r="G63" s="1074"/>
      <c r="H63" s="1074"/>
      <c r="I63" s="1074"/>
      <c r="J63" s="1074"/>
      <c r="K63" s="1074"/>
      <c r="L63" s="1074"/>
      <c r="M63" s="1074"/>
      <c r="N63" s="1074"/>
      <c r="O63" s="1074"/>
      <c r="P63" s="1074"/>
      <c r="Q63" s="1074"/>
      <c r="R63" s="1074"/>
      <c r="S63" s="1074"/>
      <c r="T63" s="1074"/>
      <c r="U63" s="1074"/>
      <c r="V63" s="1074"/>
      <c r="W63" s="1074"/>
      <c r="X63" s="1074"/>
      <c r="Y63" s="1074"/>
      <c r="Z63" s="1074"/>
      <c r="AA63" s="1074"/>
      <c r="AB63" s="1074"/>
      <c r="AC63" s="1074"/>
      <c r="AD63" s="1074"/>
      <c r="AE63" s="1074"/>
      <c r="AF63" s="1074"/>
      <c r="AG63" s="1074"/>
      <c r="AH63" s="1074"/>
      <c r="AI63" s="1074"/>
      <c r="AJ63" s="1074"/>
      <c r="AK63" s="1074"/>
      <c r="AL63" s="1074"/>
      <c r="AM63" s="1074"/>
      <c r="AN63" s="1074"/>
      <c r="AO63" s="1074"/>
      <c r="AP63" s="1074"/>
      <c r="AQ63" s="1074"/>
      <c r="AR63" s="1074"/>
      <c r="AS63" s="1074"/>
      <c r="AT63" s="1074"/>
      <c r="AU63" s="1074"/>
      <c r="AV63" s="1074"/>
      <c r="AW63" s="1074"/>
      <c r="AX63" s="1074"/>
      <c r="AY63" s="1075"/>
    </row>
    <row r="64" spans="1:51" x14ac:dyDescent="0.25">
      <c r="A64" s="1076" t="s">
        <v>4588</v>
      </c>
      <c r="B64" s="1077"/>
      <c r="C64" s="1077"/>
      <c r="D64" s="1077"/>
      <c r="E64" s="1077"/>
      <c r="F64" s="1077"/>
      <c r="G64" s="1077"/>
      <c r="H64" s="1077"/>
      <c r="I64" s="1077"/>
      <c r="J64" s="1077"/>
      <c r="K64" s="1077"/>
      <c r="L64" s="1077"/>
      <c r="M64" s="1077"/>
      <c r="N64" s="1077"/>
      <c r="O64" s="1077"/>
      <c r="P64" s="1077"/>
      <c r="Q64" s="1077"/>
      <c r="R64" s="1077"/>
      <c r="S64" s="1077"/>
      <c r="T64" s="1077"/>
      <c r="U64" s="1077"/>
      <c r="V64" s="1077"/>
      <c r="W64" s="1077"/>
      <c r="X64" s="1077"/>
      <c r="Y64" s="1077"/>
      <c r="Z64" s="1077"/>
      <c r="AA64" s="1077"/>
      <c r="AB64" s="1077"/>
      <c r="AC64" s="1077"/>
      <c r="AD64" s="1077"/>
      <c r="AE64" s="1077"/>
      <c r="AF64" s="1077"/>
      <c r="AG64" s="1077"/>
      <c r="AH64" s="1077"/>
      <c r="AI64" s="1077"/>
      <c r="AJ64" s="1077"/>
      <c r="AK64" s="1077"/>
      <c r="AL64" s="1077"/>
      <c r="AM64" s="1077"/>
      <c r="AN64" s="1077"/>
      <c r="AO64" s="1077"/>
      <c r="AP64" s="1077"/>
      <c r="AQ64" s="1077"/>
      <c r="AR64" s="1077"/>
      <c r="AS64" s="1077"/>
      <c r="AT64" s="1077"/>
      <c r="AU64" s="1077"/>
      <c r="AV64" s="1077"/>
      <c r="AW64" s="1077"/>
      <c r="AX64" s="1077"/>
      <c r="AY64" s="1078"/>
    </row>
    <row r="65" spans="1:51" x14ac:dyDescent="0.25">
      <c r="A65" s="1067" t="s">
        <v>4552</v>
      </c>
      <c r="B65" s="1068"/>
      <c r="C65" s="1068"/>
      <c r="D65" s="1068"/>
      <c r="E65" s="1068"/>
      <c r="F65" s="1068"/>
      <c r="G65" s="1068"/>
      <c r="H65" s="1068"/>
      <c r="I65" s="1068"/>
      <c r="J65" s="1068"/>
      <c r="K65" s="1068"/>
      <c r="L65" s="1068"/>
      <c r="M65" s="1068"/>
      <c r="N65" s="1068"/>
      <c r="O65" s="1068"/>
      <c r="P65" s="1068"/>
      <c r="Q65" s="1068"/>
      <c r="R65" s="1068"/>
      <c r="S65" s="1068"/>
      <c r="T65" s="1068"/>
      <c r="U65" s="1068"/>
      <c r="V65" s="1068"/>
      <c r="W65" s="1068"/>
      <c r="X65" s="1068"/>
      <c r="Y65" s="1068"/>
      <c r="Z65" s="1068"/>
      <c r="AA65" s="1068"/>
      <c r="AB65" s="1068"/>
      <c r="AC65" s="1068"/>
      <c r="AD65" s="1068"/>
      <c r="AE65" s="1068"/>
      <c r="AF65" s="1068"/>
      <c r="AG65" s="1068"/>
      <c r="AH65" s="1068"/>
      <c r="AI65" s="1068"/>
      <c r="AJ65" s="1068"/>
      <c r="AK65" s="1068"/>
      <c r="AL65" s="1068"/>
      <c r="AM65" s="1068"/>
      <c r="AN65" s="1068"/>
      <c r="AO65" s="1068"/>
      <c r="AP65" s="1068"/>
      <c r="AQ65" s="1068"/>
      <c r="AR65" s="1068"/>
      <c r="AS65" s="1068"/>
      <c r="AT65" s="1068"/>
      <c r="AU65" s="1068"/>
      <c r="AV65" s="1068"/>
      <c r="AW65" s="1068"/>
      <c r="AX65" s="1068"/>
      <c r="AY65" s="1069"/>
    </row>
    <row r="66" spans="1:51" x14ac:dyDescent="0.25">
      <c r="A66" s="1046" t="s">
        <v>4589</v>
      </c>
      <c r="B66" s="1047"/>
      <c r="C66" s="1047"/>
      <c r="D66" s="1047"/>
      <c r="E66" s="1047"/>
      <c r="F66" s="1047"/>
      <c r="G66" s="1047"/>
      <c r="H66" s="1047"/>
      <c r="I66" s="1047"/>
      <c r="J66" s="1047"/>
      <c r="K66" s="1047"/>
      <c r="L66" s="1047"/>
      <c r="M66" s="1047"/>
      <c r="N66" s="1047"/>
      <c r="O66" s="1047"/>
      <c r="P66" s="1047"/>
      <c r="Q66" s="1047"/>
      <c r="R66" s="1047"/>
      <c r="S66" s="1047"/>
      <c r="T66" s="1047"/>
      <c r="U66" s="1047"/>
      <c r="V66" s="1047"/>
      <c r="W66" s="1047"/>
      <c r="X66" s="1047"/>
      <c r="Y66" s="1047"/>
      <c r="Z66" s="1047"/>
      <c r="AA66" s="1047"/>
      <c r="AB66" s="1047"/>
      <c r="AC66" s="1047"/>
      <c r="AD66" s="1047"/>
      <c r="AE66" s="1047"/>
      <c r="AF66" s="1047"/>
      <c r="AG66" s="1047"/>
      <c r="AH66" s="1047"/>
      <c r="AI66" s="1047"/>
      <c r="AJ66" s="1047"/>
      <c r="AK66" s="1047"/>
      <c r="AL66" s="1047"/>
      <c r="AM66" s="1047"/>
      <c r="AN66" s="1047"/>
      <c r="AO66" s="1047"/>
      <c r="AP66" s="1047"/>
      <c r="AQ66" s="1047"/>
      <c r="AR66" s="1047"/>
      <c r="AS66" s="1047"/>
      <c r="AT66" s="1047"/>
      <c r="AU66" s="1047"/>
      <c r="AV66" s="1047"/>
      <c r="AW66" s="1047"/>
      <c r="AX66" s="1047"/>
      <c r="AY66" s="1048"/>
    </row>
    <row r="67" spans="1:51" x14ac:dyDescent="0.25">
      <c r="A67" s="1049" t="s">
        <v>4590</v>
      </c>
      <c r="B67" s="1065"/>
      <c r="C67" s="1065"/>
      <c r="D67" s="1065"/>
      <c r="E67" s="1065"/>
      <c r="F67" s="1065"/>
      <c r="G67" s="1065"/>
      <c r="H67" s="1065"/>
      <c r="I67" s="1065"/>
      <c r="J67" s="1065"/>
      <c r="K67" s="1065"/>
      <c r="L67" s="1065"/>
      <c r="M67" s="1065"/>
      <c r="N67" s="1065"/>
      <c r="O67" s="1065"/>
      <c r="P67" s="1065"/>
      <c r="Q67" s="1065"/>
      <c r="R67" s="1065"/>
      <c r="S67" s="1065"/>
      <c r="T67" s="1065"/>
      <c r="U67" s="1065"/>
      <c r="V67" s="1065"/>
      <c r="W67" s="1065"/>
      <c r="X67" s="1065"/>
      <c r="Y67" s="1065"/>
      <c r="Z67" s="1065"/>
      <c r="AA67" s="1065"/>
      <c r="AB67" s="1065"/>
      <c r="AC67" s="1065"/>
      <c r="AD67" s="1065"/>
      <c r="AE67" s="1065"/>
      <c r="AF67" s="1065"/>
      <c r="AG67" s="1065"/>
      <c r="AH67" s="1065"/>
      <c r="AI67" s="1065"/>
      <c r="AJ67" s="1065"/>
      <c r="AK67" s="1065"/>
      <c r="AL67" s="1065"/>
      <c r="AM67" s="1065"/>
      <c r="AN67" s="1065"/>
      <c r="AO67" s="1065"/>
      <c r="AP67" s="1065"/>
      <c r="AQ67" s="1065"/>
      <c r="AR67" s="1065"/>
      <c r="AS67" s="1065"/>
      <c r="AT67" s="1065"/>
      <c r="AU67" s="1065"/>
      <c r="AV67" s="1065"/>
      <c r="AW67" s="1065"/>
      <c r="AX67" s="1065"/>
      <c r="AY67" s="1066"/>
    </row>
    <row r="68" spans="1:51" x14ac:dyDescent="0.25">
      <c r="A68" s="1046" t="s">
        <v>4591</v>
      </c>
      <c r="B68" s="1047"/>
      <c r="C68" s="1047"/>
      <c r="D68" s="1047"/>
      <c r="E68" s="1047"/>
      <c r="F68" s="1047"/>
      <c r="G68" s="1047"/>
      <c r="H68" s="1047"/>
      <c r="I68" s="1047"/>
      <c r="J68" s="1047"/>
      <c r="K68" s="1047"/>
      <c r="L68" s="1047"/>
      <c r="M68" s="1047"/>
      <c r="N68" s="1047"/>
      <c r="O68" s="1047"/>
      <c r="P68" s="1047"/>
      <c r="Q68" s="1047"/>
      <c r="R68" s="1047"/>
      <c r="S68" s="1047"/>
      <c r="T68" s="1047"/>
      <c r="U68" s="1047"/>
      <c r="V68" s="1047"/>
      <c r="W68" s="1047"/>
      <c r="X68" s="1047"/>
      <c r="Y68" s="1047"/>
      <c r="Z68" s="1047"/>
      <c r="AA68" s="1047"/>
      <c r="AB68" s="1047"/>
      <c r="AC68" s="1047"/>
      <c r="AD68" s="1047"/>
      <c r="AE68" s="1047"/>
      <c r="AF68" s="1047"/>
      <c r="AG68" s="1047"/>
      <c r="AH68" s="1047"/>
      <c r="AI68" s="1047"/>
      <c r="AJ68" s="1047"/>
      <c r="AK68" s="1047"/>
      <c r="AL68" s="1047"/>
      <c r="AM68" s="1047"/>
      <c r="AN68" s="1047"/>
      <c r="AO68" s="1047"/>
      <c r="AP68" s="1047"/>
      <c r="AQ68" s="1047"/>
      <c r="AR68" s="1047"/>
      <c r="AS68" s="1047"/>
      <c r="AT68" s="1047"/>
      <c r="AU68" s="1047"/>
      <c r="AV68" s="1047"/>
      <c r="AW68" s="1047"/>
      <c r="AX68" s="1047"/>
      <c r="AY68" s="1048"/>
    </row>
    <row r="69" spans="1:51" x14ac:dyDescent="0.25">
      <c r="A69" s="1049" t="s">
        <v>4592</v>
      </c>
      <c r="B69" s="1065"/>
      <c r="C69" s="1065"/>
      <c r="D69" s="1065"/>
      <c r="E69" s="1065"/>
      <c r="F69" s="1065"/>
      <c r="G69" s="1065"/>
      <c r="H69" s="1065"/>
      <c r="I69" s="1065"/>
      <c r="J69" s="1065"/>
      <c r="K69" s="1065"/>
      <c r="L69" s="1065"/>
      <c r="M69" s="1065"/>
      <c r="N69" s="1065"/>
      <c r="O69" s="1065"/>
      <c r="P69" s="1065"/>
      <c r="Q69" s="1065"/>
      <c r="R69" s="1065"/>
      <c r="S69" s="1065"/>
      <c r="T69" s="1065"/>
      <c r="U69" s="1065"/>
      <c r="V69" s="1065"/>
      <c r="W69" s="1065"/>
      <c r="X69" s="1065"/>
      <c r="Y69" s="1065"/>
      <c r="Z69" s="1065"/>
      <c r="AA69" s="1065"/>
      <c r="AB69" s="1065"/>
      <c r="AC69" s="1065"/>
      <c r="AD69" s="1065"/>
      <c r="AE69" s="1065"/>
      <c r="AF69" s="1065"/>
      <c r="AG69" s="1065"/>
      <c r="AH69" s="1065"/>
      <c r="AI69" s="1065"/>
      <c r="AJ69" s="1065"/>
      <c r="AK69" s="1065"/>
      <c r="AL69" s="1065"/>
      <c r="AM69" s="1065"/>
      <c r="AN69" s="1065"/>
      <c r="AO69" s="1065"/>
      <c r="AP69" s="1065"/>
      <c r="AQ69" s="1065"/>
      <c r="AR69" s="1065"/>
      <c r="AS69" s="1065"/>
      <c r="AT69" s="1065"/>
      <c r="AU69" s="1065"/>
      <c r="AV69" s="1065"/>
      <c r="AW69" s="1065"/>
      <c r="AX69" s="1065"/>
      <c r="AY69" s="1066"/>
    </row>
    <row r="70" spans="1:51" x14ac:dyDescent="0.25">
      <c r="A70" s="1046" t="s">
        <v>4593</v>
      </c>
      <c r="B70" s="1047"/>
      <c r="C70" s="1047"/>
      <c r="D70" s="1047"/>
      <c r="E70" s="1047"/>
      <c r="F70" s="1047"/>
      <c r="G70" s="1047"/>
      <c r="H70" s="1047"/>
      <c r="I70" s="1047"/>
      <c r="J70" s="1047"/>
      <c r="K70" s="1047"/>
      <c r="L70" s="1047"/>
      <c r="M70" s="1047"/>
      <c r="N70" s="1047"/>
      <c r="O70" s="1047"/>
      <c r="P70" s="1047"/>
      <c r="Q70" s="1047"/>
      <c r="R70" s="1047"/>
      <c r="S70" s="1047"/>
      <c r="T70" s="1047"/>
      <c r="U70" s="1047"/>
      <c r="V70" s="1047"/>
      <c r="W70" s="1047"/>
      <c r="X70" s="1047"/>
      <c r="Y70" s="1047"/>
      <c r="Z70" s="1047"/>
      <c r="AA70" s="1047"/>
      <c r="AB70" s="1047"/>
      <c r="AC70" s="1047"/>
      <c r="AD70" s="1047"/>
      <c r="AE70" s="1047"/>
      <c r="AF70" s="1047"/>
      <c r="AG70" s="1047"/>
      <c r="AH70" s="1047"/>
      <c r="AI70" s="1047"/>
      <c r="AJ70" s="1047"/>
      <c r="AK70" s="1047"/>
      <c r="AL70" s="1047"/>
      <c r="AM70" s="1047"/>
      <c r="AN70" s="1047"/>
      <c r="AO70" s="1047"/>
      <c r="AP70" s="1047"/>
      <c r="AQ70" s="1047"/>
      <c r="AR70" s="1047"/>
      <c r="AS70" s="1047"/>
      <c r="AT70" s="1047"/>
      <c r="AU70" s="1047"/>
      <c r="AV70" s="1047"/>
      <c r="AW70" s="1047"/>
      <c r="AX70" s="1047"/>
      <c r="AY70" s="1048"/>
    </row>
    <row r="71" spans="1:51" x14ac:dyDescent="0.25">
      <c r="A71" s="1049" t="s">
        <v>4594</v>
      </c>
      <c r="B71" s="1065"/>
      <c r="C71" s="1065"/>
      <c r="D71" s="1065"/>
      <c r="E71" s="1065"/>
      <c r="F71" s="1065"/>
      <c r="G71" s="1065"/>
      <c r="H71" s="1065"/>
      <c r="I71" s="1065"/>
      <c r="J71" s="1065"/>
      <c r="K71" s="1065"/>
      <c r="L71" s="1065"/>
      <c r="M71" s="1065"/>
      <c r="N71" s="1065"/>
      <c r="O71" s="1065"/>
      <c r="P71" s="1065"/>
      <c r="Q71" s="1065"/>
      <c r="R71" s="1065"/>
      <c r="S71" s="1065"/>
      <c r="T71" s="1065"/>
      <c r="U71" s="1065"/>
      <c r="V71" s="1065"/>
      <c r="W71" s="1065"/>
      <c r="X71" s="1065"/>
      <c r="Y71" s="1065"/>
      <c r="Z71" s="1065"/>
      <c r="AA71" s="1065"/>
      <c r="AB71" s="1065"/>
      <c r="AC71" s="1065"/>
      <c r="AD71" s="1065"/>
      <c r="AE71" s="1065"/>
      <c r="AF71" s="1065"/>
      <c r="AG71" s="1065"/>
      <c r="AH71" s="1065"/>
      <c r="AI71" s="1065"/>
      <c r="AJ71" s="1065"/>
      <c r="AK71" s="1065"/>
      <c r="AL71" s="1065"/>
      <c r="AM71" s="1065"/>
      <c r="AN71" s="1065"/>
      <c r="AO71" s="1065"/>
      <c r="AP71" s="1065"/>
      <c r="AQ71" s="1065"/>
      <c r="AR71" s="1065"/>
      <c r="AS71" s="1065"/>
      <c r="AT71" s="1065"/>
      <c r="AU71" s="1065"/>
      <c r="AV71" s="1065"/>
      <c r="AW71" s="1065"/>
      <c r="AX71" s="1065"/>
      <c r="AY71" s="1066"/>
    </row>
    <row r="72" spans="1:51" x14ac:dyDescent="0.25">
      <c r="A72" s="1046" t="s">
        <v>4595</v>
      </c>
      <c r="B72" s="1047"/>
      <c r="C72" s="1047"/>
      <c r="D72" s="1047"/>
      <c r="E72" s="1047"/>
      <c r="F72" s="1047"/>
      <c r="G72" s="1047"/>
      <c r="H72" s="1047"/>
      <c r="I72" s="1047"/>
      <c r="J72" s="1047"/>
      <c r="K72" s="1047"/>
      <c r="L72" s="1047"/>
      <c r="M72" s="1047"/>
      <c r="N72" s="1047"/>
      <c r="O72" s="1047"/>
      <c r="P72" s="1047"/>
      <c r="Q72" s="1047"/>
      <c r="R72" s="1047"/>
      <c r="S72" s="1047"/>
      <c r="T72" s="1047"/>
      <c r="U72" s="1047"/>
      <c r="V72" s="1047"/>
      <c r="W72" s="1047"/>
      <c r="X72" s="1047"/>
      <c r="Y72" s="1047"/>
      <c r="Z72" s="1047"/>
      <c r="AA72" s="1047"/>
      <c r="AB72" s="1047"/>
      <c r="AC72" s="1047"/>
      <c r="AD72" s="1047"/>
      <c r="AE72" s="1047"/>
      <c r="AF72" s="1047"/>
      <c r="AG72" s="1047"/>
      <c r="AH72" s="1047"/>
      <c r="AI72" s="1047"/>
      <c r="AJ72" s="1047"/>
      <c r="AK72" s="1047"/>
      <c r="AL72" s="1047"/>
      <c r="AM72" s="1047"/>
      <c r="AN72" s="1047"/>
      <c r="AO72" s="1047"/>
      <c r="AP72" s="1047"/>
      <c r="AQ72" s="1047"/>
      <c r="AR72" s="1047"/>
      <c r="AS72" s="1047"/>
      <c r="AT72" s="1047"/>
      <c r="AU72" s="1047"/>
      <c r="AV72" s="1047"/>
      <c r="AW72" s="1047"/>
      <c r="AX72" s="1047"/>
      <c r="AY72" s="1048"/>
    </row>
    <row r="73" spans="1:51" x14ac:dyDescent="0.25">
      <c r="A73" s="1049" t="s">
        <v>4596</v>
      </c>
      <c r="B73" s="1065"/>
      <c r="C73" s="1065"/>
      <c r="D73" s="1065"/>
      <c r="E73" s="1065"/>
      <c r="F73" s="1065"/>
      <c r="G73" s="1065"/>
      <c r="H73" s="1065"/>
      <c r="I73" s="1065"/>
      <c r="J73" s="1065"/>
      <c r="K73" s="1065"/>
      <c r="L73" s="1065"/>
      <c r="M73" s="1065"/>
      <c r="N73" s="1065"/>
      <c r="O73" s="1065"/>
      <c r="P73" s="1065"/>
      <c r="Q73" s="1065"/>
      <c r="R73" s="1065"/>
      <c r="S73" s="1065"/>
      <c r="T73" s="1065"/>
      <c r="U73" s="1065"/>
      <c r="V73" s="1065"/>
      <c r="W73" s="1065"/>
      <c r="X73" s="1065"/>
      <c r="Y73" s="1065"/>
      <c r="Z73" s="1065"/>
      <c r="AA73" s="1065"/>
      <c r="AB73" s="1065"/>
      <c r="AC73" s="1065"/>
      <c r="AD73" s="1065"/>
      <c r="AE73" s="1065"/>
      <c r="AF73" s="1065"/>
      <c r="AG73" s="1065"/>
      <c r="AH73" s="1065"/>
      <c r="AI73" s="1065"/>
      <c r="AJ73" s="1065"/>
      <c r="AK73" s="1065"/>
      <c r="AL73" s="1065"/>
      <c r="AM73" s="1065"/>
      <c r="AN73" s="1065"/>
      <c r="AO73" s="1065"/>
      <c r="AP73" s="1065"/>
      <c r="AQ73" s="1065"/>
      <c r="AR73" s="1065"/>
      <c r="AS73" s="1065"/>
      <c r="AT73" s="1065"/>
      <c r="AU73" s="1065"/>
      <c r="AV73" s="1065"/>
      <c r="AW73" s="1065"/>
      <c r="AX73" s="1065"/>
      <c r="AY73" s="1066"/>
    </row>
    <row r="74" spans="1:51" x14ac:dyDescent="0.25">
      <c r="A74" s="1046" t="s">
        <v>4597</v>
      </c>
      <c r="B74" s="1047"/>
      <c r="C74" s="1047"/>
      <c r="D74" s="1047"/>
      <c r="E74" s="1047"/>
      <c r="F74" s="1047"/>
      <c r="G74" s="1047"/>
      <c r="H74" s="1047"/>
      <c r="I74" s="1047"/>
      <c r="J74" s="1047"/>
      <c r="K74" s="1047"/>
      <c r="L74" s="1047"/>
      <c r="M74" s="1047"/>
      <c r="N74" s="1047"/>
      <c r="O74" s="1047"/>
      <c r="P74" s="1047"/>
      <c r="Q74" s="1047"/>
      <c r="R74" s="1047"/>
      <c r="S74" s="1047"/>
      <c r="T74" s="1047"/>
      <c r="U74" s="1047"/>
      <c r="V74" s="1047"/>
      <c r="W74" s="1047"/>
      <c r="X74" s="1047"/>
      <c r="Y74" s="1047"/>
      <c r="Z74" s="1047"/>
      <c r="AA74" s="1047"/>
      <c r="AB74" s="1047"/>
      <c r="AC74" s="1047"/>
      <c r="AD74" s="1047"/>
      <c r="AE74" s="1047"/>
      <c r="AF74" s="1047"/>
      <c r="AG74" s="1047"/>
      <c r="AH74" s="1047"/>
      <c r="AI74" s="1047"/>
      <c r="AJ74" s="1047"/>
      <c r="AK74" s="1047"/>
      <c r="AL74" s="1047"/>
      <c r="AM74" s="1047"/>
      <c r="AN74" s="1047"/>
      <c r="AO74" s="1047"/>
      <c r="AP74" s="1047"/>
      <c r="AQ74" s="1047"/>
      <c r="AR74" s="1047"/>
      <c r="AS74" s="1047"/>
      <c r="AT74" s="1047"/>
      <c r="AU74" s="1047"/>
      <c r="AV74" s="1047"/>
      <c r="AW74" s="1047"/>
      <c r="AX74" s="1047"/>
      <c r="AY74" s="1048"/>
    </row>
    <row r="75" spans="1:51" x14ac:dyDescent="0.25">
      <c r="A75" s="1049" t="s">
        <v>4598</v>
      </c>
      <c r="B75" s="1065"/>
      <c r="C75" s="1065"/>
      <c r="D75" s="1065"/>
      <c r="E75" s="1065"/>
      <c r="F75" s="1065"/>
      <c r="G75" s="1065"/>
      <c r="H75" s="1065"/>
      <c r="I75" s="1065"/>
      <c r="J75" s="1065"/>
      <c r="K75" s="1065"/>
      <c r="L75" s="1065"/>
      <c r="M75" s="1065"/>
      <c r="N75" s="1065"/>
      <c r="O75" s="1065"/>
      <c r="P75" s="1065"/>
      <c r="Q75" s="1065"/>
      <c r="R75" s="1065"/>
      <c r="S75" s="1065"/>
      <c r="T75" s="1065"/>
      <c r="U75" s="1065"/>
      <c r="V75" s="1065"/>
      <c r="W75" s="1065"/>
      <c r="X75" s="1065"/>
      <c r="Y75" s="1065"/>
      <c r="Z75" s="1065"/>
      <c r="AA75" s="1065"/>
      <c r="AB75" s="1065"/>
      <c r="AC75" s="1065"/>
      <c r="AD75" s="1065"/>
      <c r="AE75" s="1065"/>
      <c r="AF75" s="1065"/>
      <c r="AG75" s="1065"/>
      <c r="AH75" s="1065"/>
      <c r="AI75" s="1065"/>
      <c r="AJ75" s="1065"/>
      <c r="AK75" s="1065"/>
      <c r="AL75" s="1065"/>
      <c r="AM75" s="1065"/>
      <c r="AN75" s="1065"/>
      <c r="AO75" s="1065"/>
      <c r="AP75" s="1065"/>
      <c r="AQ75" s="1065"/>
      <c r="AR75" s="1065"/>
      <c r="AS75" s="1065"/>
      <c r="AT75" s="1065"/>
      <c r="AU75" s="1065"/>
      <c r="AV75" s="1065"/>
      <c r="AW75" s="1065"/>
      <c r="AX75" s="1065"/>
      <c r="AY75" s="1066"/>
    </row>
    <row r="76" spans="1:51" x14ac:dyDescent="0.25">
      <c r="A76" s="1087" t="s">
        <v>4599</v>
      </c>
      <c r="B76" s="1088"/>
      <c r="C76" s="1088"/>
      <c r="D76" s="1088"/>
      <c r="E76" s="1088"/>
      <c r="F76" s="1088"/>
      <c r="G76" s="1088"/>
      <c r="H76" s="1088"/>
      <c r="I76" s="1088"/>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9"/>
    </row>
    <row r="77" spans="1:51" x14ac:dyDescent="0.25">
      <c r="A77" s="1084" t="s">
        <v>4600</v>
      </c>
      <c r="B77" s="1085"/>
      <c r="C77" s="1085"/>
      <c r="D77" s="1085"/>
      <c r="E77" s="1085"/>
      <c r="F77" s="1085"/>
      <c r="G77" s="1085"/>
      <c r="H77" s="1085"/>
      <c r="I77" s="1085"/>
      <c r="J77" s="1085"/>
      <c r="K77" s="1085"/>
      <c r="L77" s="1085"/>
      <c r="M77" s="1085"/>
      <c r="N77" s="1085"/>
      <c r="O77" s="1085"/>
      <c r="P77" s="1085"/>
      <c r="Q77" s="1085"/>
      <c r="R77" s="1085"/>
      <c r="S77" s="1085"/>
      <c r="T77" s="1085"/>
      <c r="U77" s="1085"/>
      <c r="V77" s="1085"/>
      <c r="W77" s="1085"/>
      <c r="X77" s="1085"/>
      <c r="Y77" s="1085"/>
      <c r="Z77" s="1085"/>
      <c r="AA77" s="1085"/>
      <c r="AB77" s="1085"/>
      <c r="AC77" s="1085"/>
      <c r="AD77" s="1085"/>
      <c r="AE77" s="1085"/>
      <c r="AF77" s="1085"/>
      <c r="AG77" s="1085"/>
      <c r="AH77" s="1085"/>
      <c r="AI77" s="1085"/>
      <c r="AJ77" s="1085"/>
      <c r="AK77" s="1085"/>
      <c r="AL77" s="1085"/>
      <c r="AM77" s="1085"/>
      <c r="AN77" s="1085"/>
      <c r="AO77" s="1085"/>
      <c r="AP77" s="1085"/>
      <c r="AQ77" s="1085"/>
      <c r="AR77" s="1085"/>
      <c r="AS77" s="1085"/>
      <c r="AT77" s="1085"/>
      <c r="AU77" s="1085"/>
      <c r="AV77" s="1085"/>
      <c r="AW77" s="1085"/>
      <c r="AX77" s="1085"/>
      <c r="AY77" s="1086"/>
    </row>
    <row r="78" spans="1:51" x14ac:dyDescent="0.25">
      <c r="A78" s="1059" t="s">
        <v>4601</v>
      </c>
      <c r="B78" s="1060"/>
      <c r="C78" s="1060"/>
      <c r="D78" s="1060"/>
      <c r="E78" s="1060"/>
      <c r="F78" s="1060"/>
      <c r="G78" s="1060"/>
      <c r="H78" s="1060"/>
      <c r="I78" s="1060"/>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1"/>
    </row>
    <row r="79" spans="1:51" x14ac:dyDescent="0.25">
      <c r="A79" s="1081" t="s">
        <v>4602</v>
      </c>
      <c r="B79" s="1082"/>
      <c r="C79" s="1082"/>
      <c r="D79" s="1082"/>
      <c r="E79" s="1082"/>
      <c r="F79" s="1082"/>
      <c r="G79" s="1082"/>
      <c r="H79" s="1082"/>
      <c r="I79" s="1082"/>
      <c r="J79" s="1082"/>
      <c r="K79" s="1082"/>
      <c r="L79" s="1082"/>
      <c r="M79" s="1082"/>
      <c r="N79" s="1082"/>
      <c r="O79" s="1082"/>
      <c r="P79" s="1082"/>
      <c r="Q79" s="1082"/>
      <c r="R79" s="1082"/>
      <c r="S79" s="1082"/>
      <c r="T79" s="1082"/>
      <c r="U79" s="1082"/>
      <c r="V79" s="1082"/>
      <c r="W79" s="1082"/>
      <c r="X79" s="1082"/>
      <c r="Y79" s="1082"/>
      <c r="Z79" s="1082"/>
      <c r="AA79" s="1082"/>
      <c r="AB79" s="1082"/>
      <c r="AC79" s="1082"/>
      <c r="AD79" s="1082"/>
      <c r="AE79" s="1082"/>
      <c r="AF79" s="1082"/>
      <c r="AG79" s="1082"/>
      <c r="AH79" s="1082"/>
      <c r="AI79" s="1082"/>
      <c r="AJ79" s="1082"/>
      <c r="AK79" s="1082"/>
      <c r="AL79" s="1082"/>
      <c r="AM79" s="1082"/>
      <c r="AN79" s="1082"/>
      <c r="AO79" s="1082"/>
      <c r="AP79" s="1082"/>
      <c r="AQ79" s="1082"/>
      <c r="AR79" s="1082"/>
      <c r="AS79" s="1082"/>
      <c r="AT79" s="1082"/>
      <c r="AU79" s="1082"/>
      <c r="AV79" s="1082"/>
      <c r="AW79" s="1082"/>
      <c r="AX79" s="1082"/>
      <c r="AY79" s="1083"/>
    </row>
    <row r="80" spans="1:51" x14ac:dyDescent="0.25">
      <c r="A80" s="1058" t="s">
        <v>4603</v>
      </c>
      <c r="B80" s="1079"/>
      <c r="C80" s="1079"/>
      <c r="D80" s="1079"/>
      <c r="E80" s="1079"/>
      <c r="F80" s="1079"/>
      <c r="G80" s="1079"/>
      <c r="H80" s="1079"/>
      <c r="I80" s="1079"/>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80"/>
    </row>
    <row r="81" spans="1:51" x14ac:dyDescent="0.25">
      <c r="A81" s="1059" t="s">
        <v>4604</v>
      </c>
      <c r="B81" s="1060"/>
      <c r="C81" s="1060"/>
      <c r="D81" s="1060"/>
      <c r="E81" s="1060"/>
      <c r="F81" s="1060"/>
      <c r="G81" s="1060"/>
      <c r="H81" s="1060"/>
      <c r="I81" s="1060"/>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1"/>
    </row>
    <row r="82" spans="1:51" x14ac:dyDescent="0.25">
      <c r="A82" s="1046" t="s">
        <v>4605</v>
      </c>
      <c r="B82" s="1047"/>
      <c r="C82" s="1047"/>
      <c r="D82" s="1047"/>
      <c r="E82" s="1047"/>
      <c r="F82" s="1047"/>
      <c r="G82" s="1047"/>
      <c r="H82" s="1047"/>
      <c r="I82" s="1047"/>
      <c r="J82" s="1047"/>
      <c r="K82" s="1047"/>
      <c r="L82" s="1047"/>
      <c r="M82" s="1047"/>
      <c r="N82" s="1047"/>
      <c r="O82" s="1047"/>
      <c r="P82" s="1047"/>
      <c r="Q82" s="1047"/>
      <c r="R82" s="1047"/>
      <c r="S82" s="1047"/>
      <c r="T82" s="1047"/>
      <c r="U82" s="1047"/>
      <c r="V82" s="1047"/>
      <c r="W82" s="1047"/>
      <c r="X82" s="1047"/>
      <c r="Y82" s="1047"/>
      <c r="Z82" s="1047"/>
      <c r="AA82" s="1047"/>
      <c r="AB82" s="1047"/>
      <c r="AC82" s="1047"/>
      <c r="AD82" s="1047"/>
      <c r="AE82" s="1047"/>
      <c r="AF82" s="1047"/>
      <c r="AG82" s="1047"/>
      <c r="AH82" s="1047"/>
      <c r="AI82" s="1047"/>
      <c r="AJ82" s="1047"/>
      <c r="AK82" s="1047"/>
      <c r="AL82" s="1047"/>
      <c r="AM82" s="1047"/>
      <c r="AN82" s="1047"/>
      <c r="AO82" s="1047"/>
      <c r="AP82" s="1047"/>
      <c r="AQ82" s="1047"/>
      <c r="AR82" s="1047"/>
      <c r="AS82" s="1047"/>
      <c r="AT82" s="1047"/>
      <c r="AU82" s="1047"/>
      <c r="AV82" s="1047"/>
      <c r="AW82" s="1047"/>
      <c r="AX82" s="1047"/>
      <c r="AY82" s="1048"/>
    </row>
    <row r="83" spans="1:51" x14ac:dyDescent="0.25">
      <c r="A83" s="1049" t="s">
        <v>4606</v>
      </c>
      <c r="B83" s="1065"/>
      <c r="C83" s="1065"/>
      <c r="D83" s="1065"/>
      <c r="E83" s="1065"/>
      <c r="F83" s="1065"/>
      <c r="G83" s="1065"/>
      <c r="H83" s="1065"/>
      <c r="I83" s="1065"/>
      <c r="J83" s="1065"/>
      <c r="K83" s="1065"/>
      <c r="L83" s="1065"/>
      <c r="M83" s="1065"/>
      <c r="N83" s="1065"/>
      <c r="O83" s="1065"/>
      <c r="P83" s="1065"/>
      <c r="Q83" s="1065"/>
      <c r="R83" s="1065"/>
      <c r="S83" s="1065"/>
      <c r="T83" s="1065"/>
      <c r="U83" s="1065"/>
      <c r="V83" s="1065"/>
      <c r="W83" s="1065"/>
      <c r="X83" s="1065"/>
      <c r="Y83" s="1065"/>
      <c r="Z83" s="1065"/>
      <c r="AA83" s="1065"/>
      <c r="AB83" s="1065"/>
      <c r="AC83" s="1065"/>
      <c r="AD83" s="1065"/>
      <c r="AE83" s="1065"/>
      <c r="AF83" s="1065"/>
      <c r="AG83" s="1065"/>
      <c r="AH83" s="1065"/>
      <c r="AI83" s="1065"/>
      <c r="AJ83" s="1065"/>
      <c r="AK83" s="1065"/>
      <c r="AL83" s="1065"/>
      <c r="AM83" s="1065"/>
      <c r="AN83" s="1065"/>
      <c r="AO83" s="1065"/>
      <c r="AP83" s="1065"/>
      <c r="AQ83" s="1065"/>
      <c r="AR83" s="1065"/>
      <c r="AS83" s="1065"/>
      <c r="AT83" s="1065"/>
      <c r="AU83" s="1065"/>
      <c r="AV83" s="1065"/>
      <c r="AW83" s="1065"/>
      <c r="AX83" s="1065"/>
      <c r="AY83" s="1066"/>
    </row>
    <row r="84" spans="1:51" x14ac:dyDescent="0.25">
      <c r="A84" s="323" t="s">
        <v>4607</v>
      </c>
      <c r="B84" s="324"/>
      <c r="C84" s="324"/>
      <c r="D84" s="324"/>
      <c r="E84" s="324"/>
      <c r="F84" s="324"/>
      <c r="G84" s="324"/>
      <c r="H84" s="324"/>
      <c r="I84" s="324"/>
      <c r="J84" s="324"/>
      <c r="K84" s="324"/>
      <c r="L84" s="324"/>
      <c r="M84" s="324"/>
      <c r="N84" s="324"/>
      <c r="O84" s="324"/>
      <c r="P84" s="324"/>
      <c r="Q84" s="324"/>
      <c r="R84" s="324"/>
      <c r="S84" s="324"/>
      <c r="T84" s="324"/>
      <c r="U84" s="324"/>
      <c r="V84" s="324"/>
      <c r="W84" s="324"/>
      <c r="X84" s="324"/>
      <c r="Y84" s="324"/>
      <c r="Z84" s="324"/>
      <c r="AA84" s="324"/>
      <c r="AB84" s="324"/>
      <c r="AC84" s="324"/>
      <c r="AD84" s="324"/>
      <c r="AE84" s="324"/>
      <c r="AF84" s="324"/>
      <c r="AG84" s="324"/>
      <c r="AH84" s="324"/>
      <c r="AI84" s="324"/>
      <c r="AJ84" s="324"/>
      <c r="AK84" s="324"/>
      <c r="AL84" s="324"/>
      <c r="AM84" s="324"/>
      <c r="AN84" s="324"/>
      <c r="AO84" s="324"/>
      <c r="AP84" s="324"/>
      <c r="AQ84" s="324"/>
      <c r="AR84" s="324"/>
      <c r="AS84" s="324"/>
      <c r="AT84" s="324"/>
      <c r="AU84" s="324"/>
      <c r="AV84" s="324"/>
      <c r="AW84" s="324"/>
      <c r="AX84" s="324"/>
      <c r="AY84" s="325"/>
    </row>
    <row r="85" spans="1:51" x14ac:dyDescent="0.25">
      <c r="A85" s="1058" t="s">
        <v>4608</v>
      </c>
      <c r="B85" s="1053"/>
      <c r="C85" s="1053"/>
      <c r="D85" s="1053"/>
      <c r="E85" s="1053"/>
      <c r="F85" s="1053"/>
      <c r="G85" s="1053"/>
      <c r="H85" s="1053"/>
      <c r="I85" s="1053"/>
      <c r="J85" s="1053"/>
      <c r="K85" s="1053"/>
      <c r="L85" s="1053"/>
      <c r="M85" s="1053"/>
      <c r="N85" s="1053"/>
      <c r="O85" s="1053"/>
      <c r="P85" s="1053"/>
      <c r="Q85" s="1053"/>
      <c r="R85" s="1053"/>
      <c r="S85" s="1053"/>
      <c r="T85" s="1053"/>
      <c r="U85" s="1053"/>
      <c r="V85" s="1053"/>
      <c r="W85" s="1053"/>
      <c r="X85" s="1053"/>
      <c r="Y85" s="1053"/>
      <c r="Z85" s="1053"/>
      <c r="AA85" s="1053"/>
      <c r="AB85" s="1053"/>
      <c r="AC85" s="1053"/>
      <c r="AD85" s="1053"/>
      <c r="AE85" s="1053"/>
      <c r="AF85" s="1053"/>
      <c r="AG85" s="1053"/>
      <c r="AH85" s="1053"/>
      <c r="AI85" s="1053"/>
      <c r="AJ85" s="1053"/>
      <c r="AK85" s="1053"/>
      <c r="AL85" s="1053"/>
      <c r="AM85" s="1053"/>
      <c r="AN85" s="1053"/>
      <c r="AO85" s="1053"/>
      <c r="AP85" s="1053"/>
      <c r="AQ85" s="1053"/>
      <c r="AR85" s="1053"/>
      <c r="AS85" s="1053"/>
      <c r="AT85" s="1053"/>
      <c r="AU85" s="1053"/>
      <c r="AV85" s="1053"/>
      <c r="AW85" s="1053"/>
      <c r="AX85" s="1053"/>
      <c r="AY85" s="1054"/>
    </row>
    <row r="86" spans="1:51" x14ac:dyDescent="0.25">
      <c r="A86" s="1059" t="s">
        <v>4609</v>
      </c>
      <c r="B86" s="1060"/>
      <c r="C86" s="1060"/>
      <c r="D86" s="1060"/>
      <c r="E86" s="1060"/>
      <c r="F86" s="1060"/>
      <c r="G86" s="1060"/>
      <c r="H86" s="1060"/>
      <c r="I86" s="1060"/>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1"/>
    </row>
    <row r="87" spans="1:51" x14ac:dyDescent="0.25">
      <c r="A87" s="1062" t="s">
        <v>4610</v>
      </c>
      <c r="B87" s="1063"/>
      <c r="C87" s="1063"/>
      <c r="D87" s="1063"/>
      <c r="E87" s="1063"/>
      <c r="F87" s="1063"/>
      <c r="G87" s="1063"/>
      <c r="H87" s="1063"/>
      <c r="I87" s="1063"/>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4"/>
    </row>
    <row r="88" spans="1:51" x14ac:dyDescent="0.25">
      <c r="A88" s="1049" t="s">
        <v>4611</v>
      </c>
      <c r="B88" s="1050"/>
      <c r="C88" s="1050"/>
      <c r="D88" s="1050"/>
      <c r="E88" s="1050"/>
      <c r="F88" s="1050"/>
      <c r="G88" s="1050"/>
      <c r="H88" s="1050"/>
      <c r="I88" s="1050"/>
      <c r="J88" s="1050"/>
      <c r="K88" s="1050"/>
      <c r="L88" s="1050"/>
      <c r="M88" s="1050"/>
      <c r="N88" s="1050"/>
      <c r="O88" s="1050"/>
      <c r="P88" s="1050"/>
      <c r="Q88" s="1050"/>
      <c r="R88" s="1050"/>
      <c r="S88" s="1050"/>
      <c r="T88" s="1050"/>
      <c r="U88" s="1050"/>
      <c r="V88" s="1050"/>
      <c r="W88" s="1050"/>
      <c r="X88" s="1050"/>
      <c r="Y88" s="1050"/>
      <c r="Z88" s="1050"/>
      <c r="AA88" s="1050"/>
      <c r="AB88" s="1050"/>
      <c r="AC88" s="1050"/>
      <c r="AD88" s="1050"/>
      <c r="AE88" s="1050"/>
      <c r="AF88" s="1050"/>
      <c r="AG88" s="1050"/>
      <c r="AH88" s="1050"/>
      <c r="AI88" s="1050"/>
      <c r="AJ88" s="1050"/>
      <c r="AK88" s="1050"/>
      <c r="AL88" s="1050"/>
      <c r="AM88" s="1050"/>
      <c r="AN88" s="1050"/>
      <c r="AO88" s="1050"/>
      <c r="AP88" s="1050"/>
      <c r="AQ88" s="1050"/>
      <c r="AR88" s="1050"/>
      <c r="AS88" s="1050"/>
      <c r="AT88" s="1050"/>
      <c r="AU88" s="1050"/>
      <c r="AV88" s="1050"/>
      <c r="AW88" s="1050"/>
      <c r="AX88" s="1050"/>
      <c r="AY88" s="1051"/>
    </row>
    <row r="89" spans="1:51" x14ac:dyDescent="0.25">
      <c r="A89" s="1046" t="s">
        <v>4612</v>
      </c>
      <c r="B89" s="1047"/>
      <c r="C89" s="1047"/>
      <c r="D89" s="1047"/>
      <c r="E89" s="1047"/>
      <c r="F89" s="1047"/>
      <c r="G89" s="1047"/>
      <c r="H89" s="1047"/>
      <c r="I89" s="1047"/>
      <c r="J89" s="1047"/>
      <c r="K89" s="1047"/>
      <c r="L89" s="1047"/>
      <c r="M89" s="1047"/>
      <c r="N89" s="1047"/>
      <c r="O89" s="1047"/>
      <c r="P89" s="1047"/>
      <c r="Q89" s="1047"/>
      <c r="R89" s="1047"/>
      <c r="S89" s="1047"/>
      <c r="T89" s="1047"/>
      <c r="U89" s="1047"/>
      <c r="V89" s="1047"/>
      <c r="W89" s="1047"/>
      <c r="X89" s="1047"/>
      <c r="Y89" s="1047"/>
      <c r="Z89" s="1047"/>
      <c r="AA89" s="1047"/>
      <c r="AB89" s="1047"/>
      <c r="AC89" s="1047"/>
      <c r="AD89" s="1047"/>
      <c r="AE89" s="1047"/>
      <c r="AF89" s="1047"/>
      <c r="AG89" s="1047"/>
      <c r="AH89" s="1047"/>
      <c r="AI89" s="1047"/>
      <c r="AJ89" s="1047"/>
      <c r="AK89" s="1047"/>
      <c r="AL89" s="1047"/>
      <c r="AM89" s="1047"/>
      <c r="AN89" s="1047"/>
      <c r="AO89" s="1047"/>
      <c r="AP89" s="1047"/>
      <c r="AQ89" s="1047"/>
      <c r="AR89" s="1047"/>
      <c r="AS89" s="1047"/>
      <c r="AT89" s="1047"/>
      <c r="AU89" s="1047"/>
      <c r="AV89" s="1047"/>
      <c r="AW89" s="1047"/>
      <c r="AX89" s="1047"/>
      <c r="AY89" s="1048"/>
    </row>
    <row r="90" spans="1:51" x14ac:dyDescent="0.25">
      <c r="A90" s="1049" t="s">
        <v>4613</v>
      </c>
      <c r="B90" s="1050"/>
      <c r="C90" s="1050"/>
      <c r="D90" s="1050"/>
      <c r="E90" s="1050"/>
      <c r="F90" s="1050"/>
      <c r="G90" s="1050"/>
      <c r="H90" s="1050"/>
      <c r="I90" s="1050"/>
      <c r="J90" s="1050"/>
      <c r="K90" s="1050"/>
      <c r="L90" s="1050"/>
      <c r="M90" s="1050"/>
      <c r="N90" s="1050"/>
      <c r="O90" s="1050"/>
      <c r="P90" s="1050"/>
      <c r="Q90" s="1050"/>
      <c r="R90" s="1050"/>
      <c r="S90" s="1050"/>
      <c r="T90" s="1050"/>
      <c r="U90" s="1050"/>
      <c r="V90" s="1050"/>
      <c r="W90" s="1050"/>
      <c r="X90" s="1050"/>
      <c r="Y90" s="1050"/>
      <c r="Z90" s="1050"/>
      <c r="AA90" s="1050"/>
      <c r="AB90" s="1050"/>
      <c r="AC90" s="1050"/>
      <c r="AD90" s="1050"/>
      <c r="AE90" s="1050"/>
      <c r="AF90" s="1050"/>
      <c r="AG90" s="1050"/>
      <c r="AH90" s="1050"/>
      <c r="AI90" s="1050"/>
      <c r="AJ90" s="1050"/>
      <c r="AK90" s="1050"/>
      <c r="AL90" s="1050"/>
      <c r="AM90" s="1050"/>
      <c r="AN90" s="1050"/>
      <c r="AO90" s="1050"/>
      <c r="AP90" s="1050"/>
      <c r="AQ90" s="1050"/>
      <c r="AR90" s="1050"/>
      <c r="AS90" s="1050"/>
      <c r="AT90" s="1050"/>
      <c r="AU90" s="1050"/>
      <c r="AV90" s="1050"/>
      <c r="AW90" s="1050"/>
      <c r="AX90" s="1050"/>
      <c r="AY90" s="1051"/>
    </row>
    <row r="91" spans="1:51" x14ac:dyDescent="0.25">
      <c r="A91" s="1046" t="s">
        <v>4614</v>
      </c>
      <c r="B91" s="1047"/>
      <c r="C91" s="1047"/>
      <c r="D91" s="1047"/>
      <c r="E91" s="1047"/>
      <c r="F91" s="1047"/>
      <c r="G91" s="1047"/>
      <c r="H91" s="1047"/>
      <c r="I91" s="1047"/>
      <c r="J91" s="1047"/>
      <c r="K91" s="1047"/>
      <c r="L91" s="1047"/>
      <c r="M91" s="1047"/>
      <c r="N91" s="1047"/>
      <c r="O91" s="1047"/>
      <c r="P91" s="1047"/>
      <c r="Q91" s="1047"/>
      <c r="R91" s="1047"/>
      <c r="S91" s="1047"/>
      <c r="T91" s="1047"/>
      <c r="U91" s="1047"/>
      <c r="V91" s="1047"/>
      <c r="W91" s="1047"/>
      <c r="X91" s="1047"/>
      <c r="Y91" s="1047"/>
      <c r="Z91" s="1047"/>
      <c r="AA91" s="1047"/>
      <c r="AB91" s="1047"/>
      <c r="AC91" s="1047"/>
      <c r="AD91" s="1047"/>
      <c r="AE91" s="1047"/>
      <c r="AF91" s="1047"/>
      <c r="AG91" s="1047"/>
      <c r="AH91" s="1047"/>
      <c r="AI91" s="1047"/>
      <c r="AJ91" s="1047"/>
      <c r="AK91" s="1047"/>
      <c r="AL91" s="1047"/>
      <c r="AM91" s="1047"/>
      <c r="AN91" s="1047"/>
      <c r="AO91" s="1047"/>
      <c r="AP91" s="1047"/>
      <c r="AQ91" s="1047"/>
      <c r="AR91" s="1047"/>
      <c r="AS91" s="1047"/>
      <c r="AT91" s="1047"/>
      <c r="AU91" s="1047"/>
      <c r="AV91" s="1047"/>
      <c r="AW91" s="1047"/>
      <c r="AX91" s="1047"/>
      <c r="AY91" s="1048"/>
    </row>
    <row r="92" spans="1:51" x14ac:dyDescent="0.25">
      <c r="A92" s="1049" t="s">
        <v>4615</v>
      </c>
      <c r="B92" s="1050"/>
      <c r="C92" s="1050"/>
      <c r="D92" s="1050"/>
      <c r="E92" s="1050"/>
      <c r="F92" s="1050"/>
      <c r="G92" s="1050"/>
      <c r="H92" s="1050"/>
      <c r="I92" s="1050"/>
      <c r="J92" s="1050"/>
      <c r="K92" s="1050"/>
      <c r="L92" s="1050"/>
      <c r="M92" s="1050"/>
      <c r="N92" s="1050"/>
      <c r="O92" s="1050"/>
      <c r="P92" s="1050"/>
      <c r="Q92" s="1050"/>
      <c r="R92" s="1050"/>
      <c r="S92" s="1050"/>
      <c r="T92" s="1050"/>
      <c r="U92" s="1050"/>
      <c r="V92" s="1050"/>
      <c r="W92" s="1050"/>
      <c r="X92" s="1050"/>
      <c r="Y92" s="1050"/>
      <c r="Z92" s="1050"/>
      <c r="AA92" s="1050"/>
      <c r="AB92" s="1050"/>
      <c r="AC92" s="1050"/>
      <c r="AD92" s="1050"/>
      <c r="AE92" s="1050"/>
      <c r="AF92" s="1050"/>
      <c r="AG92" s="1050"/>
      <c r="AH92" s="1050"/>
      <c r="AI92" s="1050"/>
      <c r="AJ92" s="1050"/>
      <c r="AK92" s="1050"/>
      <c r="AL92" s="1050"/>
      <c r="AM92" s="1050"/>
      <c r="AN92" s="1050"/>
      <c r="AO92" s="1050"/>
      <c r="AP92" s="1050"/>
      <c r="AQ92" s="1050"/>
      <c r="AR92" s="1050"/>
      <c r="AS92" s="1050"/>
      <c r="AT92" s="1050"/>
      <c r="AU92" s="1050"/>
      <c r="AV92" s="1050"/>
      <c r="AW92" s="1050"/>
      <c r="AX92" s="1050"/>
      <c r="AY92" s="1051"/>
    </row>
    <row r="93" spans="1:51" x14ac:dyDescent="0.25">
      <c r="A93" s="1046" t="s">
        <v>4616</v>
      </c>
      <c r="B93" s="1047"/>
      <c r="C93" s="1047"/>
      <c r="D93" s="1047"/>
      <c r="E93" s="1047"/>
      <c r="F93" s="1047"/>
      <c r="G93" s="1047"/>
      <c r="H93" s="1047"/>
      <c r="I93" s="1047"/>
      <c r="J93" s="1047"/>
      <c r="K93" s="1047"/>
      <c r="L93" s="1047"/>
      <c r="M93" s="1047"/>
      <c r="N93" s="1047"/>
      <c r="O93" s="1047"/>
      <c r="P93" s="1047"/>
      <c r="Q93" s="1047"/>
      <c r="R93" s="1047"/>
      <c r="S93" s="1047"/>
      <c r="T93" s="1047"/>
      <c r="U93" s="1047"/>
      <c r="V93" s="1047"/>
      <c r="W93" s="1047"/>
      <c r="X93" s="1047"/>
      <c r="Y93" s="1047"/>
      <c r="Z93" s="1047"/>
      <c r="AA93" s="1047"/>
      <c r="AB93" s="1047"/>
      <c r="AC93" s="1047"/>
      <c r="AD93" s="1047"/>
      <c r="AE93" s="1047"/>
      <c r="AF93" s="1047"/>
      <c r="AG93" s="1047"/>
      <c r="AH93" s="1047"/>
      <c r="AI93" s="1047"/>
      <c r="AJ93" s="1047"/>
      <c r="AK93" s="1047"/>
      <c r="AL93" s="1047"/>
      <c r="AM93" s="1047"/>
      <c r="AN93" s="1047"/>
      <c r="AO93" s="1047"/>
      <c r="AP93" s="1047"/>
      <c r="AQ93" s="1047"/>
      <c r="AR93" s="1047"/>
      <c r="AS93" s="1047"/>
      <c r="AT93" s="1047"/>
      <c r="AU93" s="1047"/>
      <c r="AV93" s="1047"/>
      <c r="AW93" s="1047"/>
      <c r="AX93" s="1047"/>
      <c r="AY93" s="1048"/>
    </row>
    <row r="94" spans="1:51" x14ac:dyDescent="0.25">
      <c r="A94" s="1049" t="s">
        <v>4617</v>
      </c>
      <c r="B94" s="1050"/>
      <c r="C94" s="1050"/>
      <c r="D94" s="1050"/>
      <c r="E94" s="1050"/>
      <c r="F94" s="1050"/>
      <c r="G94" s="1050"/>
      <c r="H94" s="1050"/>
      <c r="I94" s="1050"/>
      <c r="J94" s="1050"/>
      <c r="K94" s="1050"/>
      <c r="L94" s="1050"/>
      <c r="M94" s="1050"/>
      <c r="N94" s="1050"/>
      <c r="O94" s="1050"/>
      <c r="P94" s="1050"/>
      <c r="Q94" s="1050"/>
      <c r="R94" s="1050"/>
      <c r="S94" s="1050"/>
      <c r="T94" s="1050"/>
      <c r="U94" s="1050"/>
      <c r="V94" s="1050"/>
      <c r="W94" s="1050"/>
      <c r="X94" s="1050"/>
      <c r="Y94" s="1050"/>
      <c r="Z94" s="1050"/>
      <c r="AA94" s="1050"/>
      <c r="AB94" s="1050"/>
      <c r="AC94" s="1050"/>
      <c r="AD94" s="1050"/>
      <c r="AE94" s="1050"/>
      <c r="AF94" s="1050"/>
      <c r="AG94" s="1050"/>
      <c r="AH94" s="1050"/>
      <c r="AI94" s="1050"/>
      <c r="AJ94" s="1050"/>
      <c r="AK94" s="1050"/>
      <c r="AL94" s="1050"/>
      <c r="AM94" s="1050"/>
      <c r="AN94" s="1050"/>
      <c r="AO94" s="1050"/>
      <c r="AP94" s="1050"/>
      <c r="AQ94" s="1050"/>
      <c r="AR94" s="1050"/>
      <c r="AS94" s="1050"/>
      <c r="AT94" s="1050"/>
      <c r="AU94" s="1050"/>
      <c r="AV94" s="1050"/>
      <c r="AW94" s="1050"/>
      <c r="AX94" s="1050"/>
      <c r="AY94" s="1051"/>
    </row>
    <row r="95" spans="1:51" x14ac:dyDescent="0.25">
      <c r="A95" s="1046" t="s">
        <v>4618</v>
      </c>
      <c r="B95" s="1047"/>
      <c r="C95" s="1047"/>
      <c r="D95" s="1047"/>
      <c r="E95" s="1047"/>
      <c r="F95" s="1047"/>
      <c r="G95" s="1047"/>
      <c r="H95" s="1047"/>
      <c r="I95" s="1047"/>
      <c r="J95" s="1047"/>
      <c r="K95" s="1047"/>
      <c r="L95" s="1047"/>
      <c r="M95" s="1047"/>
      <c r="N95" s="1047"/>
      <c r="O95" s="1047"/>
      <c r="P95" s="1047"/>
      <c r="Q95" s="1047"/>
      <c r="R95" s="1047"/>
      <c r="S95" s="1047"/>
      <c r="T95" s="1047"/>
      <c r="U95" s="1047"/>
      <c r="V95" s="1047"/>
      <c r="W95" s="1047"/>
      <c r="X95" s="1047"/>
      <c r="Y95" s="1047"/>
      <c r="Z95" s="1047"/>
      <c r="AA95" s="1047"/>
      <c r="AB95" s="1047"/>
      <c r="AC95" s="1047"/>
      <c r="AD95" s="1047"/>
      <c r="AE95" s="1047"/>
      <c r="AF95" s="1047"/>
      <c r="AG95" s="1047"/>
      <c r="AH95" s="1047"/>
      <c r="AI95" s="1047"/>
      <c r="AJ95" s="1047"/>
      <c r="AK95" s="1047"/>
      <c r="AL95" s="1047"/>
      <c r="AM95" s="1047"/>
      <c r="AN95" s="1047"/>
      <c r="AO95" s="1047"/>
      <c r="AP95" s="1047"/>
      <c r="AQ95" s="1047"/>
      <c r="AR95" s="1047"/>
      <c r="AS95" s="1047"/>
      <c r="AT95" s="1047"/>
      <c r="AU95" s="1047"/>
      <c r="AV95" s="1047"/>
      <c r="AW95" s="1047"/>
      <c r="AX95" s="1047"/>
      <c r="AY95" s="1048"/>
    </row>
    <row r="96" spans="1:51" x14ac:dyDescent="0.25">
      <c r="A96" s="1049" t="s">
        <v>4619</v>
      </c>
      <c r="B96" s="1050"/>
      <c r="C96" s="1050"/>
      <c r="D96" s="1050"/>
      <c r="E96" s="1050"/>
      <c r="F96" s="1050"/>
      <c r="G96" s="1050"/>
      <c r="H96" s="1050"/>
      <c r="I96" s="1050"/>
      <c r="J96" s="1050"/>
      <c r="K96" s="1050"/>
      <c r="L96" s="1050"/>
      <c r="M96" s="1050"/>
      <c r="N96" s="1050"/>
      <c r="O96" s="1050"/>
      <c r="P96" s="1050"/>
      <c r="Q96" s="1050"/>
      <c r="R96" s="1050"/>
      <c r="S96" s="1050"/>
      <c r="T96" s="1050"/>
      <c r="U96" s="1050"/>
      <c r="V96" s="1050"/>
      <c r="W96" s="1050"/>
      <c r="X96" s="1050"/>
      <c r="Y96" s="1050"/>
      <c r="Z96" s="1050"/>
      <c r="AA96" s="1050"/>
      <c r="AB96" s="1050"/>
      <c r="AC96" s="1050"/>
      <c r="AD96" s="1050"/>
      <c r="AE96" s="1050"/>
      <c r="AF96" s="1050"/>
      <c r="AG96" s="1050"/>
      <c r="AH96" s="1050"/>
      <c r="AI96" s="1050"/>
      <c r="AJ96" s="1050"/>
      <c r="AK96" s="1050"/>
      <c r="AL96" s="1050"/>
      <c r="AM96" s="1050"/>
      <c r="AN96" s="1050"/>
      <c r="AO96" s="1050"/>
      <c r="AP96" s="1050"/>
      <c r="AQ96" s="1050"/>
      <c r="AR96" s="1050"/>
      <c r="AS96" s="1050"/>
      <c r="AT96" s="1050"/>
      <c r="AU96" s="1050"/>
      <c r="AV96" s="1050"/>
      <c r="AW96" s="1050"/>
      <c r="AX96" s="1050"/>
      <c r="AY96" s="1051"/>
    </row>
    <row r="97" spans="1:51" x14ac:dyDescent="0.25">
      <c r="A97" s="1046" t="s">
        <v>4620</v>
      </c>
      <c r="B97" s="1047"/>
      <c r="C97" s="1047"/>
      <c r="D97" s="1047"/>
      <c r="E97" s="1047"/>
      <c r="F97" s="1047"/>
      <c r="G97" s="1047"/>
      <c r="H97" s="1047"/>
      <c r="I97" s="1047"/>
      <c r="J97" s="1047"/>
      <c r="K97" s="1047"/>
      <c r="L97" s="1047"/>
      <c r="M97" s="1047"/>
      <c r="N97" s="1047"/>
      <c r="O97" s="1047"/>
      <c r="P97" s="1047"/>
      <c r="Q97" s="1047"/>
      <c r="R97" s="1047"/>
      <c r="S97" s="1047"/>
      <c r="T97" s="1047"/>
      <c r="U97" s="1047"/>
      <c r="V97" s="1047"/>
      <c r="W97" s="1047"/>
      <c r="X97" s="1047"/>
      <c r="Y97" s="1047"/>
      <c r="Z97" s="1047"/>
      <c r="AA97" s="1047"/>
      <c r="AB97" s="1047"/>
      <c r="AC97" s="1047"/>
      <c r="AD97" s="1047"/>
      <c r="AE97" s="1047"/>
      <c r="AF97" s="1047"/>
      <c r="AG97" s="1047"/>
      <c r="AH97" s="1047"/>
      <c r="AI97" s="1047"/>
      <c r="AJ97" s="1047"/>
      <c r="AK97" s="1047"/>
      <c r="AL97" s="1047"/>
      <c r="AM97" s="1047"/>
      <c r="AN97" s="1047"/>
      <c r="AO97" s="1047"/>
      <c r="AP97" s="1047"/>
      <c r="AQ97" s="1047"/>
      <c r="AR97" s="1047"/>
      <c r="AS97" s="1047"/>
      <c r="AT97" s="1047"/>
      <c r="AU97" s="1047"/>
      <c r="AV97" s="1047"/>
      <c r="AW97" s="1047"/>
      <c r="AX97" s="1047"/>
      <c r="AY97" s="1048"/>
    </row>
    <row r="98" spans="1:51" x14ac:dyDescent="0.25">
      <c r="A98" s="1049" t="s">
        <v>4621</v>
      </c>
      <c r="B98" s="1050"/>
      <c r="C98" s="1050"/>
      <c r="D98" s="1050"/>
      <c r="E98" s="1050"/>
      <c r="F98" s="1050"/>
      <c r="G98" s="1050"/>
      <c r="H98" s="1050"/>
      <c r="I98" s="1050"/>
      <c r="J98" s="1050"/>
      <c r="K98" s="1050"/>
      <c r="L98" s="1050"/>
      <c r="M98" s="1050"/>
      <c r="N98" s="1050"/>
      <c r="O98" s="1050"/>
      <c r="P98" s="1050"/>
      <c r="Q98" s="1050"/>
      <c r="R98" s="1050"/>
      <c r="S98" s="1050"/>
      <c r="T98" s="1050"/>
      <c r="U98" s="1050"/>
      <c r="V98" s="1050"/>
      <c r="W98" s="1050"/>
      <c r="X98" s="1050"/>
      <c r="Y98" s="1050"/>
      <c r="Z98" s="1050"/>
      <c r="AA98" s="1050"/>
      <c r="AB98" s="1050"/>
      <c r="AC98" s="1050"/>
      <c r="AD98" s="1050"/>
      <c r="AE98" s="1050"/>
      <c r="AF98" s="1050"/>
      <c r="AG98" s="1050"/>
      <c r="AH98" s="1050"/>
      <c r="AI98" s="1050"/>
      <c r="AJ98" s="1050"/>
      <c r="AK98" s="1050"/>
      <c r="AL98" s="1050"/>
      <c r="AM98" s="1050"/>
      <c r="AN98" s="1050"/>
      <c r="AO98" s="1050"/>
      <c r="AP98" s="1050"/>
      <c r="AQ98" s="1050"/>
      <c r="AR98" s="1050"/>
      <c r="AS98" s="1050"/>
      <c r="AT98" s="1050"/>
      <c r="AU98" s="1050"/>
      <c r="AV98" s="1050"/>
      <c r="AW98" s="1050"/>
      <c r="AX98" s="1050"/>
      <c r="AY98" s="1051"/>
    </row>
    <row r="99" spans="1:51" x14ac:dyDescent="0.25">
      <c r="A99" s="1046" t="s">
        <v>4622</v>
      </c>
      <c r="B99" s="1047"/>
      <c r="C99" s="1047"/>
      <c r="D99" s="1047"/>
      <c r="E99" s="1047"/>
      <c r="F99" s="1047"/>
      <c r="G99" s="1047"/>
      <c r="H99" s="1047"/>
      <c r="I99" s="1047"/>
      <c r="J99" s="1047"/>
      <c r="K99" s="1047"/>
      <c r="L99" s="1047"/>
      <c r="M99" s="1047"/>
      <c r="N99" s="1047"/>
      <c r="O99" s="1047"/>
      <c r="P99" s="1047"/>
      <c r="Q99" s="1047"/>
      <c r="R99" s="1047"/>
      <c r="S99" s="1047"/>
      <c r="T99" s="1047"/>
      <c r="U99" s="1047"/>
      <c r="V99" s="1047"/>
      <c r="W99" s="1047"/>
      <c r="X99" s="1047"/>
      <c r="Y99" s="1047"/>
      <c r="Z99" s="1047"/>
      <c r="AA99" s="1047"/>
      <c r="AB99" s="1047"/>
      <c r="AC99" s="1047"/>
      <c r="AD99" s="1047"/>
      <c r="AE99" s="1047"/>
      <c r="AF99" s="1047"/>
      <c r="AG99" s="1047"/>
      <c r="AH99" s="1047"/>
      <c r="AI99" s="1047"/>
      <c r="AJ99" s="1047"/>
      <c r="AK99" s="1047"/>
      <c r="AL99" s="1047"/>
      <c r="AM99" s="1047"/>
      <c r="AN99" s="1047"/>
      <c r="AO99" s="1047"/>
      <c r="AP99" s="1047"/>
      <c r="AQ99" s="1047"/>
      <c r="AR99" s="1047"/>
      <c r="AS99" s="1047"/>
      <c r="AT99" s="1047"/>
      <c r="AU99" s="1047"/>
      <c r="AV99" s="1047"/>
      <c r="AW99" s="1047"/>
      <c r="AX99" s="1047"/>
      <c r="AY99" s="1048"/>
    </row>
    <row r="100" spans="1:51" x14ac:dyDescent="0.25">
      <c r="A100" s="1049" t="s">
        <v>4623</v>
      </c>
      <c r="B100" s="1050"/>
      <c r="C100" s="1050"/>
      <c r="D100" s="1050"/>
      <c r="E100" s="1050"/>
      <c r="F100" s="1050"/>
      <c r="G100" s="1050"/>
      <c r="H100" s="1050"/>
      <c r="I100" s="1050"/>
      <c r="J100" s="1050"/>
      <c r="K100" s="1050"/>
      <c r="L100" s="1050"/>
      <c r="M100" s="1050"/>
      <c r="N100" s="1050"/>
      <c r="O100" s="1050"/>
      <c r="P100" s="1050"/>
      <c r="Q100" s="1050"/>
      <c r="R100" s="1050"/>
      <c r="S100" s="1050"/>
      <c r="T100" s="1050"/>
      <c r="U100" s="1050"/>
      <c r="V100" s="1050"/>
      <c r="W100" s="1050"/>
      <c r="X100" s="1050"/>
      <c r="Y100" s="1050"/>
      <c r="Z100" s="1050"/>
      <c r="AA100" s="1050"/>
      <c r="AB100" s="1050"/>
      <c r="AC100" s="1050"/>
      <c r="AD100" s="1050"/>
      <c r="AE100" s="1050"/>
      <c r="AF100" s="1050"/>
      <c r="AG100" s="1050"/>
      <c r="AH100" s="1050"/>
      <c r="AI100" s="1050"/>
      <c r="AJ100" s="1050"/>
      <c r="AK100" s="1050"/>
      <c r="AL100" s="1050"/>
      <c r="AM100" s="1050"/>
      <c r="AN100" s="1050"/>
      <c r="AO100" s="1050"/>
      <c r="AP100" s="1050"/>
      <c r="AQ100" s="1050"/>
      <c r="AR100" s="1050"/>
      <c r="AS100" s="1050"/>
      <c r="AT100" s="1050"/>
      <c r="AU100" s="1050"/>
      <c r="AV100" s="1050"/>
      <c r="AW100" s="1050"/>
      <c r="AX100" s="1050"/>
      <c r="AY100" s="1051"/>
    </row>
    <row r="101" spans="1:51" x14ac:dyDescent="0.25">
      <c r="A101" s="1046" t="s">
        <v>4624</v>
      </c>
      <c r="B101" s="1047"/>
      <c r="C101" s="1047"/>
      <c r="D101" s="1047"/>
      <c r="E101" s="1047"/>
      <c r="F101" s="1047"/>
      <c r="G101" s="1047"/>
      <c r="H101" s="1047"/>
      <c r="I101" s="1047"/>
      <c r="J101" s="1047"/>
      <c r="K101" s="1047"/>
      <c r="L101" s="1047"/>
      <c r="M101" s="1047"/>
      <c r="N101" s="1047"/>
      <c r="O101" s="1047"/>
      <c r="P101" s="1047"/>
      <c r="Q101" s="1047"/>
      <c r="R101" s="1047"/>
      <c r="S101" s="1047"/>
      <c r="T101" s="1047"/>
      <c r="U101" s="1047"/>
      <c r="V101" s="1047"/>
      <c r="W101" s="1047"/>
      <c r="X101" s="1047"/>
      <c r="Y101" s="1047"/>
      <c r="Z101" s="1047"/>
      <c r="AA101" s="1047"/>
      <c r="AB101" s="1047"/>
      <c r="AC101" s="1047"/>
      <c r="AD101" s="1047"/>
      <c r="AE101" s="1047"/>
      <c r="AF101" s="1047"/>
      <c r="AG101" s="1047"/>
      <c r="AH101" s="1047"/>
      <c r="AI101" s="1047"/>
      <c r="AJ101" s="1047"/>
      <c r="AK101" s="1047"/>
      <c r="AL101" s="1047"/>
      <c r="AM101" s="1047"/>
      <c r="AN101" s="1047"/>
      <c r="AO101" s="1047"/>
      <c r="AP101" s="1047"/>
      <c r="AQ101" s="1047"/>
      <c r="AR101" s="1047"/>
      <c r="AS101" s="1047"/>
      <c r="AT101" s="1047"/>
      <c r="AU101" s="1047"/>
      <c r="AV101" s="1047"/>
      <c r="AW101" s="1047"/>
      <c r="AX101" s="1047"/>
      <c r="AY101" s="1048"/>
    </row>
    <row r="102" spans="1:51" x14ac:dyDescent="0.25">
      <c r="A102" s="1049" t="s">
        <v>4625</v>
      </c>
      <c r="B102" s="1050"/>
      <c r="C102" s="1050"/>
      <c r="D102" s="1050"/>
      <c r="E102" s="1050"/>
      <c r="F102" s="1050"/>
      <c r="G102" s="1050"/>
      <c r="H102" s="1050"/>
      <c r="I102" s="1050"/>
      <c r="J102" s="1050"/>
      <c r="K102" s="1050"/>
      <c r="L102" s="1050"/>
      <c r="M102" s="1050"/>
      <c r="N102" s="1050"/>
      <c r="O102" s="1050"/>
      <c r="P102" s="1050"/>
      <c r="Q102" s="1050"/>
      <c r="R102" s="1050"/>
      <c r="S102" s="1050"/>
      <c r="T102" s="1050"/>
      <c r="U102" s="1050"/>
      <c r="V102" s="1050"/>
      <c r="W102" s="1050"/>
      <c r="X102" s="1050"/>
      <c r="Y102" s="1050"/>
      <c r="Z102" s="1050"/>
      <c r="AA102" s="1050"/>
      <c r="AB102" s="1050"/>
      <c r="AC102" s="1050"/>
      <c r="AD102" s="1050"/>
      <c r="AE102" s="1050"/>
      <c r="AF102" s="1050"/>
      <c r="AG102" s="1050"/>
      <c r="AH102" s="1050"/>
      <c r="AI102" s="1050"/>
      <c r="AJ102" s="1050"/>
      <c r="AK102" s="1050"/>
      <c r="AL102" s="1050"/>
      <c r="AM102" s="1050"/>
      <c r="AN102" s="1050"/>
      <c r="AO102" s="1050"/>
      <c r="AP102" s="1050"/>
      <c r="AQ102" s="1050"/>
      <c r="AR102" s="1050"/>
      <c r="AS102" s="1050"/>
      <c r="AT102" s="1050"/>
      <c r="AU102" s="1050"/>
      <c r="AV102" s="1050"/>
      <c r="AW102" s="1050"/>
      <c r="AX102" s="1050"/>
      <c r="AY102" s="1051"/>
    </row>
    <row r="103" spans="1:51" x14ac:dyDescent="0.25">
      <c r="A103" s="1046" t="s">
        <v>4626</v>
      </c>
      <c r="B103" s="1047"/>
      <c r="C103" s="1047"/>
      <c r="D103" s="1047"/>
      <c r="E103" s="1047"/>
      <c r="F103" s="1047"/>
      <c r="G103" s="1047"/>
      <c r="H103" s="1047"/>
      <c r="I103" s="1047"/>
      <c r="J103" s="1047"/>
      <c r="K103" s="1047"/>
      <c r="L103" s="1047"/>
      <c r="M103" s="1047"/>
      <c r="N103" s="1047"/>
      <c r="O103" s="1047"/>
      <c r="P103" s="1047"/>
      <c r="Q103" s="1047"/>
      <c r="R103" s="1047"/>
      <c r="S103" s="1047"/>
      <c r="T103" s="1047"/>
      <c r="U103" s="1047"/>
      <c r="V103" s="1047"/>
      <c r="W103" s="1047"/>
      <c r="X103" s="1047"/>
      <c r="Y103" s="1047"/>
      <c r="Z103" s="1047"/>
      <c r="AA103" s="1047"/>
      <c r="AB103" s="1047"/>
      <c r="AC103" s="1047"/>
      <c r="AD103" s="1047"/>
      <c r="AE103" s="1047"/>
      <c r="AF103" s="1047"/>
      <c r="AG103" s="1047"/>
      <c r="AH103" s="1047"/>
      <c r="AI103" s="1047"/>
      <c r="AJ103" s="1047"/>
      <c r="AK103" s="1047"/>
      <c r="AL103" s="1047"/>
      <c r="AM103" s="1047"/>
      <c r="AN103" s="1047"/>
      <c r="AO103" s="1047"/>
      <c r="AP103" s="1047"/>
      <c r="AQ103" s="1047"/>
      <c r="AR103" s="1047"/>
      <c r="AS103" s="1047"/>
      <c r="AT103" s="1047"/>
      <c r="AU103" s="1047"/>
      <c r="AV103" s="1047"/>
      <c r="AW103" s="1047"/>
      <c r="AX103" s="1047"/>
      <c r="AY103" s="1048"/>
    </row>
    <row r="104" spans="1:51" x14ac:dyDescent="0.25">
      <c r="A104" s="1049" t="s">
        <v>4627</v>
      </c>
      <c r="B104" s="1050"/>
      <c r="C104" s="1050"/>
      <c r="D104" s="1050"/>
      <c r="E104" s="1050"/>
      <c r="F104" s="1050"/>
      <c r="G104" s="1050"/>
      <c r="H104" s="1050"/>
      <c r="I104" s="1050"/>
      <c r="J104" s="1050"/>
      <c r="K104" s="1050"/>
      <c r="L104" s="1050"/>
      <c r="M104" s="1050"/>
      <c r="N104" s="1050"/>
      <c r="O104" s="1050"/>
      <c r="P104" s="1050"/>
      <c r="Q104" s="1050"/>
      <c r="R104" s="1050"/>
      <c r="S104" s="1050"/>
      <c r="T104" s="1050"/>
      <c r="U104" s="1050"/>
      <c r="V104" s="1050"/>
      <c r="W104" s="1050"/>
      <c r="X104" s="1050"/>
      <c r="Y104" s="1050"/>
      <c r="Z104" s="1050"/>
      <c r="AA104" s="1050"/>
      <c r="AB104" s="1050"/>
      <c r="AC104" s="1050"/>
      <c r="AD104" s="1050"/>
      <c r="AE104" s="1050"/>
      <c r="AF104" s="1050"/>
      <c r="AG104" s="1050"/>
      <c r="AH104" s="1050"/>
      <c r="AI104" s="1050"/>
      <c r="AJ104" s="1050"/>
      <c r="AK104" s="1050"/>
      <c r="AL104" s="1050"/>
      <c r="AM104" s="1050"/>
      <c r="AN104" s="1050"/>
      <c r="AO104" s="1050"/>
      <c r="AP104" s="1050"/>
      <c r="AQ104" s="1050"/>
      <c r="AR104" s="1050"/>
      <c r="AS104" s="1050"/>
      <c r="AT104" s="1050"/>
      <c r="AU104" s="1050"/>
      <c r="AV104" s="1050"/>
      <c r="AW104" s="1050"/>
      <c r="AX104" s="1050"/>
      <c r="AY104" s="1051"/>
    </row>
    <row r="105" spans="1:51" x14ac:dyDescent="0.25">
      <c r="A105" s="1046" t="s">
        <v>4628</v>
      </c>
      <c r="B105" s="1047"/>
      <c r="C105" s="1047"/>
      <c r="D105" s="1047"/>
      <c r="E105" s="1047"/>
      <c r="F105" s="1047"/>
      <c r="G105" s="1047"/>
      <c r="H105" s="1047"/>
      <c r="I105" s="1047"/>
      <c r="J105" s="1047"/>
      <c r="K105" s="1047"/>
      <c r="L105" s="1047"/>
      <c r="M105" s="1047"/>
      <c r="N105" s="1047"/>
      <c r="O105" s="1047"/>
      <c r="P105" s="1047"/>
      <c r="Q105" s="1047"/>
      <c r="R105" s="1047"/>
      <c r="S105" s="1047"/>
      <c r="T105" s="1047"/>
      <c r="U105" s="1047"/>
      <c r="V105" s="1047"/>
      <c r="W105" s="1047"/>
      <c r="X105" s="1047"/>
      <c r="Y105" s="1047"/>
      <c r="Z105" s="1047"/>
      <c r="AA105" s="1047"/>
      <c r="AB105" s="1047"/>
      <c r="AC105" s="1047"/>
      <c r="AD105" s="1047"/>
      <c r="AE105" s="1047"/>
      <c r="AF105" s="1047"/>
      <c r="AG105" s="1047"/>
      <c r="AH105" s="1047"/>
      <c r="AI105" s="1047"/>
      <c r="AJ105" s="1047"/>
      <c r="AK105" s="1047"/>
      <c r="AL105" s="1047"/>
      <c r="AM105" s="1047"/>
      <c r="AN105" s="1047"/>
      <c r="AO105" s="1047"/>
      <c r="AP105" s="1047"/>
      <c r="AQ105" s="1047"/>
      <c r="AR105" s="1047"/>
      <c r="AS105" s="1047"/>
      <c r="AT105" s="1047"/>
      <c r="AU105" s="1047"/>
      <c r="AV105" s="1047"/>
      <c r="AW105" s="1047"/>
      <c r="AX105" s="1047"/>
      <c r="AY105" s="1048"/>
    </row>
    <row r="106" spans="1:51" x14ac:dyDescent="0.25">
      <c r="A106" s="1049" t="s">
        <v>4629</v>
      </c>
      <c r="B106" s="1050"/>
      <c r="C106" s="1050"/>
      <c r="D106" s="1050"/>
      <c r="E106" s="1050"/>
      <c r="F106" s="1050"/>
      <c r="G106" s="1050"/>
      <c r="H106" s="1050"/>
      <c r="I106" s="1050"/>
      <c r="J106" s="1050"/>
      <c r="K106" s="1050"/>
      <c r="L106" s="1050"/>
      <c r="M106" s="1050"/>
      <c r="N106" s="1050"/>
      <c r="O106" s="1050"/>
      <c r="P106" s="1050"/>
      <c r="Q106" s="1050"/>
      <c r="R106" s="1050"/>
      <c r="S106" s="1050"/>
      <c r="T106" s="1050"/>
      <c r="U106" s="1050"/>
      <c r="V106" s="1050"/>
      <c r="W106" s="1050"/>
      <c r="X106" s="1050"/>
      <c r="Y106" s="1050"/>
      <c r="Z106" s="1050"/>
      <c r="AA106" s="1050"/>
      <c r="AB106" s="1050"/>
      <c r="AC106" s="1050"/>
      <c r="AD106" s="1050"/>
      <c r="AE106" s="1050"/>
      <c r="AF106" s="1050"/>
      <c r="AG106" s="1050"/>
      <c r="AH106" s="1050"/>
      <c r="AI106" s="1050"/>
      <c r="AJ106" s="1050"/>
      <c r="AK106" s="1050"/>
      <c r="AL106" s="1050"/>
      <c r="AM106" s="1050"/>
      <c r="AN106" s="1050"/>
      <c r="AO106" s="1050"/>
      <c r="AP106" s="1050"/>
      <c r="AQ106" s="1050"/>
      <c r="AR106" s="1050"/>
      <c r="AS106" s="1050"/>
      <c r="AT106" s="1050"/>
      <c r="AU106" s="1050"/>
      <c r="AV106" s="1050"/>
      <c r="AW106" s="1050"/>
      <c r="AX106" s="1050"/>
      <c r="AY106" s="1051"/>
    </row>
    <row r="107" spans="1:51" x14ac:dyDescent="0.25">
      <c r="A107" s="1052" t="s">
        <v>4630</v>
      </c>
      <c r="B107" s="1053"/>
      <c r="C107" s="1053"/>
      <c r="D107" s="1053"/>
      <c r="E107" s="1053"/>
      <c r="F107" s="1053"/>
      <c r="G107" s="1053"/>
      <c r="H107" s="1053"/>
      <c r="I107" s="1053"/>
      <c r="J107" s="1053"/>
      <c r="K107" s="1053"/>
      <c r="L107" s="1053"/>
      <c r="M107" s="1053"/>
      <c r="N107" s="1053"/>
      <c r="O107" s="1053"/>
      <c r="P107" s="1053"/>
      <c r="Q107" s="1053"/>
      <c r="R107" s="1053"/>
      <c r="S107" s="1053"/>
      <c r="T107" s="1053"/>
      <c r="U107" s="1053"/>
      <c r="V107" s="1053"/>
      <c r="W107" s="1053"/>
      <c r="X107" s="1053"/>
      <c r="Y107" s="1053"/>
      <c r="Z107" s="1053"/>
      <c r="AA107" s="1053"/>
      <c r="AB107" s="1053"/>
      <c r="AC107" s="1053"/>
      <c r="AD107" s="1053"/>
      <c r="AE107" s="1053"/>
      <c r="AF107" s="1053"/>
      <c r="AG107" s="1053"/>
      <c r="AH107" s="1053"/>
      <c r="AI107" s="1053"/>
      <c r="AJ107" s="1053"/>
      <c r="AK107" s="1053"/>
      <c r="AL107" s="1053"/>
      <c r="AM107" s="1053"/>
      <c r="AN107" s="1053"/>
      <c r="AO107" s="1053"/>
      <c r="AP107" s="1053"/>
      <c r="AQ107" s="1053"/>
      <c r="AR107" s="1053"/>
      <c r="AS107" s="1053"/>
      <c r="AT107" s="1053"/>
      <c r="AU107" s="1053"/>
      <c r="AV107" s="1053"/>
      <c r="AW107" s="1053"/>
      <c r="AX107" s="1053"/>
      <c r="AY107" s="1054"/>
    </row>
    <row r="108" spans="1:51" ht="15.75" thickBot="1" x14ac:dyDescent="0.3">
      <c r="A108" s="1055" t="s">
        <v>4631</v>
      </c>
      <c r="B108" s="1056"/>
      <c r="C108" s="1056"/>
      <c r="D108" s="1056"/>
      <c r="E108" s="1056"/>
      <c r="F108" s="1056"/>
      <c r="G108" s="1056"/>
      <c r="H108" s="1056"/>
      <c r="I108" s="1056"/>
      <c r="J108" s="1056"/>
      <c r="K108" s="1056"/>
      <c r="L108" s="1056"/>
      <c r="M108" s="1056"/>
      <c r="N108" s="1056"/>
      <c r="O108" s="1056"/>
      <c r="P108" s="1056"/>
      <c r="Q108" s="1056"/>
      <c r="R108" s="1056"/>
      <c r="S108" s="1056"/>
      <c r="T108" s="1056"/>
      <c r="U108" s="1056"/>
      <c r="V108" s="1056"/>
      <c r="W108" s="1056"/>
      <c r="X108" s="1056"/>
      <c r="Y108" s="1056"/>
      <c r="Z108" s="1056"/>
      <c r="AA108" s="1056"/>
      <c r="AB108" s="1056"/>
      <c r="AC108" s="1056"/>
      <c r="AD108" s="1056"/>
      <c r="AE108" s="1056"/>
      <c r="AF108" s="1056"/>
      <c r="AG108" s="1056"/>
      <c r="AH108" s="1056"/>
      <c r="AI108" s="1056"/>
      <c r="AJ108" s="1056"/>
      <c r="AK108" s="1056"/>
      <c r="AL108" s="1056"/>
      <c r="AM108" s="1056"/>
      <c r="AN108" s="1056"/>
      <c r="AO108" s="1056"/>
      <c r="AP108" s="1056"/>
      <c r="AQ108" s="1056"/>
      <c r="AR108" s="1056"/>
      <c r="AS108" s="1056"/>
      <c r="AT108" s="1056"/>
      <c r="AU108" s="1056"/>
      <c r="AV108" s="1056"/>
      <c r="AW108" s="1056"/>
      <c r="AX108" s="1056"/>
      <c r="AY108" s="1057"/>
    </row>
  </sheetData>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activeCell="B17" sqref="B17"/>
    </sheetView>
  </sheetViews>
  <sheetFormatPr defaultRowHeight="15" x14ac:dyDescent="0.25"/>
  <cols>
    <col min="2" max="2" width="19.42578125" bestFit="1" customWidth="1"/>
    <col min="3" max="3" width="10.5703125" customWidth="1"/>
    <col min="4" max="4" width="43" customWidth="1"/>
    <col min="5" max="37" width="8.7109375" style="16"/>
  </cols>
  <sheetData>
    <row r="1" spans="1:5" s="16" customFormat="1" ht="16.5" thickTop="1" thickBot="1" x14ac:dyDescent="0.3">
      <c r="A1" s="1093" t="s">
        <v>3649</v>
      </c>
      <c r="B1" s="1094"/>
      <c r="C1" s="1095"/>
    </row>
    <row r="2" spans="1:5" s="16" customFormat="1" ht="15.75" thickTop="1" x14ac:dyDescent="0.25">
      <c r="A2" s="30"/>
      <c r="B2" s="30"/>
      <c r="C2" s="30"/>
    </row>
    <row r="3" spans="1:5" ht="15.75" thickBot="1" x14ac:dyDescent="0.3">
      <c r="A3" s="16"/>
      <c r="B3" s="16"/>
      <c r="C3" s="16"/>
      <c r="D3" s="16"/>
    </row>
    <row r="4" spans="1:5" ht="15.75" thickBot="1" x14ac:dyDescent="0.3">
      <c r="A4" s="1090" t="s">
        <v>3650</v>
      </c>
      <c r="B4" s="1091"/>
      <c r="C4" s="1091"/>
      <c r="D4" s="1091"/>
      <c r="E4" s="63"/>
    </row>
    <row r="5" spans="1:5" ht="15.75" thickBot="1" x14ac:dyDescent="0.3">
      <c r="A5" s="56" t="s">
        <v>3651</v>
      </c>
      <c r="B5" s="239"/>
      <c r="C5" s="57" t="s">
        <v>3652</v>
      </c>
      <c r="D5" s="239"/>
    </row>
    <row r="6" spans="1:5" ht="15.75" thickBot="1" x14ac:dyDescent="0.3">
      <c r="A6" s="16"/>
      <c r="B6" s="268"/>
      <c r="C6" s="16"/>
      <c r="D6" s="34"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6" customFormat="1" ht="15.75" thickBot="1" x14ac:dyDescent="0.3"/>
    <row r="8" spans="1:5" s="16" customFormat="1" ht="15.75" thickBot="1" x14ac:dyDescent="0.3">
      <c r="A8" s="1090" t="s">
        <v>3653</v>
      </c>
      <c r="B8" s="1091"/>
      <c r="C8" s="1091"/>
      <c r="D8" s="1092"/>
    </row>
    <row r="9" spans="1:5" s="16" customFormat="1" ht="15.75" thickBot="1" x14ac:dyDescent="0.3">
      <c r="A9" s="56" t="s">
        <v>3651</v>
      </c>
      <c r="B9" s="239"/>
      <c r="C9" s="57" t="s">
        <v>3652</v>
      </c>
      <c r="D9" s="239"/>
    </row>
    <row r="10" spans="1:5" s="16" customFormat="1" ht="15.75" thickBot="1" x14ac:dyDescent="0.3">
      <c r="B10" s="268"/>
      <c r="D10" s="35" t="str">
        <f>IF(OR(B9="",B10="",D9=""),"-", IF(AND(B9="m³ - cubic meters",D9="L - Liter"),B10*1000,
IF(AND(B9="m³ - cubic meters",D9="m³ - cubic meters"),B10*1,
IF(AND(B9="L - Liter",D9="m³ - cubic meters"),B10*0.001,
IF(AND(B9="L - Liter",D9="L - Liter"),B10*1,
"")))))</f>
        <v>-</v>
      </c>
    </row>
    <row r="11" spans="1:5" s="16" customFormat="1" ht="15.75" thickBot="1" x14ac:dyDescent="0.3">
      <c r="B11" s="36"/>
      <c r="D11" s="36"/>
    </row>
    <row r="12" spans="1:5" s="16" customFormat="1" ht="15" customHeight="1" thickBot="1" x14ac:dyDescent="0.3">
      <c r="A12" s="1090" t="s">
        <v>3654</v>
      </c>
      <c r="B12" s="1091"/>
      <c r="C12" s="1091"/>
      <c r="D12" s="1092"/>
    </row>
    <row r="13" spans="1:5" s="16" customFormat="1" ht="15.75" thickBot="1" x14ac:dyDescent="0.3">
      <c r="A13" s="56" t="s">
        <v>3651</v>
      </c>
      <c r="B13" s="239"/>
      <c r="C13" s="57" t="s">
        <v>3652</v>
      </c>
      <c r="D13" s="239"/>
    </row>
    <row r="14" spans="1:5" s="16" customFormat="1" ht="15.75" thickBot="1" x14ac:dyDescent="0.3">
      <c r="B14" s="268"/>
      <c r="D14" s="34" t="str">
        <f>IF(OR(B13="",B14="",D13=""),"-",
IF(AND(B13="MWh - Megawatt hours",D13="MWh - Megawatt hours"),B14*1,
IF(AND(B13="TJ - Terajoule",D13="TJ - Terajoule"),B14*1,
IF(AND(B13="TJ - Terajoule",D13="MWh - Megawatt hours"),B14*277.778,
IF(AND(B13="MWh - Megawatt hours",D13="MWh - Megawatt hours"),B14/277.778,
"")))))</f>
        <v>-</v>
      </c>
    </row>
    <row r="15" spans="1:5" s="16" customFormat="1" x14ac:dyDescent="0.25"/>
    <row r="16" spans="1:5" s="16" customFormat="1" ht="15.75" thickBot="1" x14ac:dyDescent="0.3">
      <c r="A16" s="1090" t="s">
        <v>3655</v>
      </c>
      <c r="B16" s="1091"/>
      <c r="C16" s="1091"/>
      <c r="D16" s="1092"/>
    </row>
    <row r="17" spans="1:4" s="16" customFormat="1" ht="15.75" thickBot="1" x14ac:dyDescent="0.3">
      <c r="A17" s="56" t="s">
        <v>3651</v>
      </c>
      <c r="B17" s="239"/>
      <c r="C17" s="57" t="s">
        <v>3652</v>
      </c>
      <c r="D17" s="239"/>
    </row>
    <row r="18" spans="1:4" s="16" customFormat="1" ht="15.75" thickBot="1" x14ac:dyDescent="0.3">
      <c r="B18" s="268"/>
      <c r="D18" s="34" t="str">
        <f>IF(OR(B17="",B16="",D17=""), "-", B18 * INDEX('Fuel Conversion Parameters'!L2:S9, MATCH(B17, 'Fuel Conversion Parameters'!K2:K9, 0), MATCH(D17, 'Fuel Conversion Parameters'!L1:S1, 0)))</f>
        <v>-</v>
      </c>
    </row>
    <row r="19" spans="1:4" s="16" customFormat="1" ht="15.75" thickBot="1" x14ac:dyDescent="0.3"/>
    <row r="20" spans="1:4" s="16" customFormat="1" ht="15" customHeight="1" thickBot="1" x14ac:dyDescent="0.3">
      <c r="A20" s="1090" t="s">
        <v>3656</v>
      </c>
      <c r="B20" s="1091"/>
      <c r="C20" s="1091"/>
      <c r="D20" s="1092"/>
    </row>
    <row r="21" spans="1:4" s="16" customFormat="1" ht="15.75" thickBot="1" x14ac:dyDescent="0.3">
      <c r="A21" s="56" t="s">
        <v>3651</v>
      </c>
      <c r="B21" s="239"/>
      <c r="C21" s="57" t="s">
        <v>3652</v>
      </c>
      <c r="D21" s="239"/>
    </row>
    <row r="22" spans="1:4" s="16" customFormat="1" ht="15.75" thickBot="1" x14ac:dyDescent="0.3">
      <c r="B22" s="268"/>
      <c r="D22" s="37" t="str">
        <f>IF(OR(B21="",B22="",D21=""), "-", B22 * INDEX('Fuel Conversion Parameters'!V2:AK13, MATCH(B21, 'Fuel Conversion Parameters'!U2:U13, 0), MATCH(D21, 'Fuel Conversion Parameters'!V1:AK1, 0)))</f>
        <v>-</v>
      </c>
    </row>
    <row r="23" spans="1:4" s="16" customFormat="1" x14ac:dyDescent="0.25"/>
    <row r="24" spans="1:4" s="16" customFormat="1" x14ac:dyDescent="0.25"/>
    <row r="25" spans="1:4" s="16" customFormat="1" x14ac:dyDescent="0.25"/>
    <row r="26" spans="1:4" s="16" customFormat="1" x14ac:dyDescent="0.25"/>
    <row r="27" spans="1:4" s="16" customFormat="1" x14ac:dyDescent="0.25"/>
    <row r="28" spans="1:4" s="16" customFormat="1" x14ac:dyDescent="0.25"/>
    <row r="29" spans="1:4" s="16" customFormat="1" x14ac:dyDescent="0.25"/>
    <row r="30" spans="1:4" s="16" customFormat="1" x14ac:dyDescent="0.25"/>
    <row r="31" spans="1:4" s="16" customFormat="1" x14ac:dyDescent="0.25"/>
    <row r="32" spans="1:4" s="16" customFormat="1" x14ac:dyDescent="0.25"/>
    <row r="33" s="16" customFormat="1" x14ac:dyDescent="0.25"/>
    <row r="34" s="16" customFormat="1" x14ac:dyDescent="0.25"/>
    <row r="35" s="16" customFormat="1" x14ac:dyDescent="0.25"/>
    <row r="36" s="16" customFormat="1" x14ac:dyDescent="0.25"/>
    <row r="37" s="16" customFormat="1" x14ac:dyDescent="0.25"/>
    <row r="38" s="16" customFormat="1" x14ac:dyDescent="0.25"/>
    <row r="39" s="16" customFormat="1" x14ac:dyDescent="0.25"/>
    <row r="40" s="16" customFormat="1" x14ac:dyDescent="0.25"/>
    <row r="41" s="16" customFormat="1" x14ac:dyDescent="0.25"/>
    <row r="42" s="16" customFormat="1" x14ac:dyDescent="0.25"/>
    <row r="43" s="16" customFormat="1" x14ac:dyDescent="0.25"/>
    <row r="44" s="16" customFormat="1" x14ac:dyDescent="0.25"/>
    <row r="45" s="16" customFormat="1" x14ac:dyDescent="0.25"/>
    <row r="46" s="16" customFormat="1" x14ac:dyDescent="0.25"/>
    <row r="47" s="16" customFormat="1" x14ac:dyDescent="0.25"/>
    <row r="48" s="16" customFormat="1" x14ac:dyDescent="0.25"/>
    <row r="49" s="16" customFormat="1" x14ac:dyDescent="0.25"/>
    <row r="50" s="16" customFormat="1" x14ac:dyDescent="0.25"/>
    <row r="51" s="16" customFormat="1" x14ac:dyDescent="0.25"/>
    <row r="52" s="16" customFormat="1" x14ac:dyDescent="0.25"/>
    <row r="53" s="16" customFormat="1" x14ac:dyDescent="0.25"/>
    <row r="54" s="16" customFormat="1" x14ac:dyDescent="0.25"/>
    <row r="55" s="16" customFormat="1" x14ac:dyDescent="0.25"/>
    <row r="56" s="16" customFormat="1" x14ac:dyDescent="0.25"/>
    <row r="57" s="16" customFormat="1" x14ac:dyDescent="0.25"/>
    <row r="58" s="16" customFormat="1" x14ac:dyDescent="0.25"/>
    <row r="59" s="16" customFormat="1" x14ac:dyDescent="0.25"/>
    <row r="60" s="16" customFormat="1" x14ac:dyDescent="0.25"/>
    <row r="61" s="16" customFormat="1" x14ac:dyDescent="0.25"/>
    <row r="62" s="16" customFormat="1" x14ac:dyDescent="0.25"/>
    <row r="63" s="16" customFormat="1" x14ac:dyDescent="0.25"/>
    <row r="64" s="16" customFormat="1" x14ac:dyDescent="0.25"/>
    <row r="65" s="16" customFormat="1" x14ac:dyDescent="0.25"/>
    <row r="66" s="16" customFormat="1" x14ac:dyDescent="0.25"/>
    <row r="67" s="16" customFormat="1" x14ac:dyDescent="0.25"/>
    <row r="68" s="16" customFormat="1" x14ac:dyDescent="0.25"/>
    <row r="69" s="16" customFormat="1" x14ac:dyDescent="0.25"/>
    <row r="70" s="16" customFormat="1" x14ac:dyDescent="0.25"/>
    <row r="71" s="16" customFormat="1" x14ac:dyDescent="0.25"/>
    <row r="72" s="16" customFormat="1" x14ac:dyDescent="0.25"/>
    <row r="73" s="16" customFormat="1" x14ac:dyDescent="0.25"/>
    <row r="74" s="16" customFormat="1" x14ac:dyDescent="0.25"/>
    <row r="75" s="16" customFormat="1" x14ac:dyDescent="0.25"/>
    <row r="76" s="16" customFormat="1" x14ac:dyDescent="0.25"/>
    <row r="77" s="16" customFormat="1" x14ac:dyDescent="0.25"/>
    <row r="78" s="16" customFormat="1" x14ac:dyDescent="0.25"/>
    <row r="79" s="16" customFormat="1" x14ac:dyDescent="0.25"/>
    <row r="80" s="16" customFormat="1" x14ac:dyDescent="0.25"/>
    <row r="81" s="16" customFormat="1" x14ac:dyDescent="0.25"/>
    <row r="82" s="16" customFormat="1" x14ac:dyDescent="0.25"/>
    <row r="83" s="16" customFormat="1" x14ac:dyDescent="0.25"/>
    <row r="84" s="16" customFormat="1" x14ac:dyDescent="0.25"/>
    <row r="85" s="16" customFormat="1" x14ac:dyDescent="0.25"/>
    <row r="86" s="16" customFormat="1" x14ac:dyDescent="0.25"/>
    <row r="87" s="16" customFormat="1" x14ac:dyDescent="0.25"/>
    <row r="88" s="16" customFormat="1" x14ac:dyDescent="0.25"/>
    <row r="89" s="16" customFormat="1" x14ac:dyDescent="0.25"/>
    <row r="90" s="16" customFormat="1" x14ac:dyDescent="0.25"/>
    <row r="91" s="16" customFormat="1" x14ac:dyDescent="0.25"/>
    <row r="92" s="16" customFormat="1" x14ac:dyDescent="0.25"/>
    <row r="93" s="16" customFormat="1" x14ac:dyDescent="0.25"/>
    <row r="94" s="16" customFormat="1" x14ac:dyDescent="0.25"/>
    <row r="95" s="16" customFormat="1" x14ac:dyDescent="0.25"/>
    <row r="96" s="16" customFormat="1" x14ac:dyDescent="0.25"/>
    <row r="97" s="16" customFormat="1" x14ac:dyDescent="0.25"/>
    <row r="98" s="16" customFormat="1" x14ac:dyDescent="0.25"/>
    <row r="99" s="16" customFormat="1" x14ac:dyDescent="0.25"/>
    <row r="100" s="16" customFormat="1" x14ac:dyDescent="0.25"/>
    <row r="101" s="16" customFormat="1" x14ac:dyDescent="0.25"/>
    <row r="102" s="16" customFormat="1" x14ac:dyDescent="0.25"/>
    <row r="103" s="16" customFormat="1" x14ac:dyDescent="0.25"/>
    <row r="104" s="16" customFormat="1" x14ac:dyDescent="0.25"/>
    <row r="105" s="16" customFormat="1" x14ac:dyDescent="0.25"/>
    <row r="106" s="16" customFormat="1" x14ac:dyDescent="0.25"/>
    <row r="107" s="16" customFormat="1" x14ac:dyDescent="0.25"/>
    <row r="108" s="16" customFormat="1" x14ac:dyDescent="0.25"/>
    <row r="109" s="16" customFormat="1" x14ac:dyDescent="0.25"/>
    <row r="110" s="16" customFormat="1" x14ac:dyDescent="0.25"/>
    <row r="111" s="16" customFormat="1" x14ac:dyDescent="0.25"/>
    <row r="112" s="16" customFormat="1" x14ac:dyDescent="0.25"/>
    <row r="113" s="16" customFormat="1" x14ac:dyDescent="0.25"/>
    <row r="114" s="16" customFormat="1" x14ac:dyDescent="0.25"/>
    <row r="115" s="16" customFormat="1" x14ac:dyDescent="0.25"/>
    <row r="116" s="16" customFormat="1" x14ac:dyDescent="0.25"/>
    <row r="117" s="16" customFormat="1" x14ac:dyDescent="0.25"/>
    <row r="118" s="16" customFormat="1" x14ac:dyDescent="0.25"/>
    <row r="119" s="16" customFormat="1" x14ac:dyDescent="0.25"/>
    <row r="120" s="16" customFormat="1" x14ac:dyDescent="0.25"/>
    <row r="121" s="16" customFormat="1" x14ac:dyDescent="0.25"/>
    <row r="122" s="16" customFormat="1" x14ac:dyDescent="0.25"/>
    <row r="123" s="16" customFormat="1" x14ac:dyDescent="0.25"/>
    <row r="124" s="16" customFormat="1" x14ac:dyDescent="0.25"/>
    <row r="125" s="16" customFormat="1" x14ac:dyDescent="0.25"/>
    <row r="126" s="16" customFormat="1" x14ac:dyDescent="0.25"/>
    <row r="127" s="16" customFormat="1" x14ac:dyDescent="0.25"/>
    <row r="128" s="16" customFormat="1" x14ac:dyDescent="0.25"/>
    <row r="129" s="16" customFormat="1" x14ac:dyDescent="0.25"/>
    <row r="130" s="16" customFormat="1" x14ac:dyDescent="0.25"/>
    <row r="131" s="16" customFormat="1" x14ac:dyDescent="0.25"/>
    <row r="132" s="16" customFormat="1" x14ac:dyDescent="0.25"/>
    <row r="133" s="16" customFormat="1" x14ac:dyDescent="0.25"/>
    <row r="134" s="16" customFormat="1" x14ac:dyDescent="0.25"/>
    <row r="135" s="16" customFormat="1" x14ac:dyDescent="0.25"/>
    <row r="136" s="16" customFormat="1" x14ac:dyDescent="0.25"/>
    <row r="137" s="16" customFormat="1" x14ac:dyDescent="0.25"/>
    <row r="138" s="16" customFormat="1" x14ac:dyDescent="0.25"/>
  </sheetData>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J2" zoomScale="80" zoomScaleNormal="80" workbookViewId="0">
      <selection activeCell="Q2" sqref="Q2"/>
    </sheetView>
  </sheetViews>
  <sheetFormatPr defaultRowHeight="15" x14ac:dyDescent="0.25"/>
  <cols>
    <col min="1" max="1" width="94.140625" customWidth="1"/>
    <col min="2" max="2" width="38.5703125" bestFit="1" customWidth="1"/>
    <col min="3" max="4" width="150.42578125" bestFit="1" customWidth="1"/>
    <col min="5" max="5" width="49.5703125" bestFit="1" customWidth="1"/>
    <col min="6" max="6" width="21.42578125" bestFit="1" customWidth="1"/>
    <col min="7" max="7" width="21.42578125" customWidth="1"/>
    <col min="8" max="8" width="92" bestFit="1" customWidth="1"/>
    <col min="9" max="9" width="49.42578125" bestFit="1" customWidth="1"/>
    <col min="10" max="10" width="44.42578125" customWidth="1"/>
    <col min="11" max="11" width="99.7109375" customWidth="1"/>
    <col min="12" max="12" width="48.42578125" bestFit="1" customWidth="1"/>
    <col min="13" max="13" width="20.42578125" bestFit="1" customWidth="1"/>
    <col min="14" max="14" width="18" bestFit="1" customWidth="1"/>
    <col min="15" max="15" width="30.5703125" bestFit="1" customWidth="1"/>
    <col min="16" max="16" width="26.5703125" bestFit="1" customWidth="1"/>
    <col min="17" max="17" width="10.5703125" customWidth="1"/>
    <col min="18" max="18" width="13.42578125" bestFit="1" customWidth="1"/>
    <col min="20" max="20" width="9.7109375" bestFit="1" customWidth="1"/>
    <col min="21" max="21" width="43.28515625" bestFit="1" customWidth="1"/>
    <col min="22" max="22" width="92" bestFit="1" customWidth="1"/>
    <col min="23" max="23" width="12.7109375" bestFit="1" customWidth="1"/>
    <col min="25" max="25" width="31.42578125" customWidth="1"/>
    <col min="26" max="26" width="255.42578125" bestFit="1" customWidth="1"/>
    <col min="27" max="27" width="17.42578125" customWidth="1"/>
    <col min="28" max="28" width="28.7109375" customWidth="1"/>
    <col min="29" max="29" width="23.28515625" customWidth="1"/>
    <col min="30" max="30" width="17.7109375" customWidth="1"/>
  </cols>
  <sheetData>
    <row r="1" spans="1:30" ht="120" x14ac:dyDescent="0.25">
      <c r="A1" s="133" t="s">
        <v>4540</v>
      </c>
      <c r="B1" s="70" t="s">
        <v>54</v>
      </c>
      <c r="C1" s="91" t="s">
        <v>4433</v>
      </c>
      <c r="D1" s="70" t="s">
        <v>2676</v>
      </c>
      <c r="E1" s="11" t="s">
        <v>55</v>
      </c>
      <c r="F1" s="11" t="s">
        <v>56</v>
      </c>
      <c r="G1" s="11" t="s">
        <v>2678</v>
      </c>
      <c r="H1" s="11" t="s">
        <v>3778</v>
      </c>
      <c r="I1" s="12" t="s">
        <v>4518</v>
      </c>
      <c r="J1" s="12" t="s">
        <v>2750</v>
      </c>
      <c r="K1" s="12" t="s">
        <v>4519</v>
      </c>
      <c r="L1" s="11" t="s">
        <v>2776</v>
      </c>
      <c r="M1" s="11" t="s">
        <v>2777</v>
      </c>
      <c r="N1" s="11" t="s">
        <v>21</v>
      </c>
      <c r="O1" s="11" t="s">
        <v>3304</v>
      </c>
      <c r="P1" s="11" t="s">
        <v>3368</v>
      </c>
      <c r="Q1" s="12" t="s">
        <v>3621</v>
      </c>
      <c r="R1" s="11" t="s">
        <v>3302</v>
      </c>
      <c r="S1" s="11" t="s">
        <v>3753</v>
      </c>
      <c r="T1" s="11" t="s">
        <v>3754</v>
      </c>
      <c r="U1" s="11" t="s">
        <v>3775</v>
      </c>
      <c r="V1" s="11" t="s">
        <v>3779</v>
      </c>
      <c r="W1" s="11" t="s">
        <v>3797</v>
      </c>
      <c r="X1" s="11" t="s">
        <v>3754</v>
      </c>
      <c r="Y1" s="71" t="s">
        <v>3806</v>
      </c>
      <c r="Z1" s="90" t="s">
        <v>4014</v>
      </c>
      <c r="AA1" s="71" t="s">
        <v>4520</v>
      </c>
      <c r="AB1" s="342" t="s">
        <v>4017</v>
      </c>
      <c r="AC1" s="17" t="s">
        <v>4659</v>
      </c>
      <c r="AD1" s="17" t="s">
        <v>4661</v>
      </c>
    </row>
    <row r="2" spans="1:30" ht="30" x14ac:dyDescent="0.25">
      <c r="A2" s="3" t="s">
        <v>57</v>
      </c>
      <c r="B2" t="s">
        <v>2667</v>
      </c>
      <c r="C2" s="5" t="s">
        <v>4036</v>
      </c>
      <c r="D2" t="str">
        <f t="shared" ref="D2:D65" si="0">_xlfn.CONCAT("NACE ", A2)</f>
        <v>NACE All Economic Activities (NACE) / NA [member]</v>
      </c>
      <c r="E2" s="4" t="s">
        <v>58</v>
      </c>
      <c r="F2" t="s">
        <v>59</v>
      </c>
      <c r="G2" t="str">
        <f>RIGHT(F2,2)</f>
        <v>AD</v>
      </c>
      <c r="H2" t="s">
        <v>2677</v>
      </c>
      <c r="I2" t="s">
        <v>2749</v>
      </c>
      <c r="J2" t="s">
        <v>2751</v>
      </c>
      <c r="K2" s="51" t="s">
        <v>2753</v>
      </c>
      <c r="L2" t="s">
        <v>2772</v>
      </c>
      <c r="M2" t="s">
        <v>2778</v>
      </c>
      <c r="N2" t="s">
        <v>3288</v>
      </c>
      <c r="O2" t="s">
        <v>3305</v>
      </c>
      <c r="P2" t="s">
        <v>4508</v>
      </c>
      <c r="Q2" t="s">
        <v>3622</v>
      </c>
      <c r="R2" t="s">
        <v>2664</v>
      </c>
      <c r="S2">
        <v>2000</v>
      </c>
      <c r="T2" t="s">
        <v>3755</v>
      </c>
      <c r="U2" t="s">
        <v>4542</v>
      </c>
      <c r="V2" t="s">
        <v>2668</v>
      </c>
      <c r="W2" s="69">
        <v>1</v>
      </c>
      <c r="X2" t="s">
        <v>3755</v>
      </c>
      <c r="Y2" t="s">
        <v>2778</v>
      </c>
      <c r="Z2" s="51" t="s">
        <v>2753</v>
      </c>
      <c r="AA2" t="s">
        <v>3824</v>
      </c>
      <c r="AB2" s="2" t="s">
        <v>4018</v>
      </c>
      <c r="AC2">
        <v>1</v>
      </c>
      <c r="AD2" t="s">
        <v>4662</v>
      </c>
    </row>
    <row r="3" spans="1:30" ht="30" x14ac:dyDescent="0.25">
      <c r="A3" s="4" t="s">
        <v>60</v>
      </c>
      <c r="B3" t="s">
        <v>61</v>
      </c>
      <c r="C3" s="6" t="s">
        <v>4037</v>
      </c>
      <c r="D3" s="4" t="str">
        <f t="shared" si="0"/>
        <v>NACE A - AGRICULTURE, FORESTRY AND FISHING</v>
      </c>
      <c r="E3" s="4" t="s">
        <v>62</v>
      </c>
      <c r="F3" t="s">
        <v>63</v>
      </c>
      <c r="G3" t="str">
        <f t="shared" ref="G3:G66" si="1">RIGHT(F3,2)</f>
        <v>AE</v>
      </c>
      <c r="H3" t="s">
        <v>2668</v>
      </c>
      <c r="I3" t="s">
        <v>2748</v>
      </c>
      <c r="J3" t="s">
        <v>2752</v>
      </c>
      <c r="K3" t="s">
        <v>3173</v>
      </c>
      <c r="L3" t="s">
        <v>2675</v>
      </c>
      <c r="M3" t="s">
        <v>2782</v>
      </c>
      <c r="N3" t="s">
        <v>3289</v>
      </c>
      <c r="O3" t="s">
        <v>3306</v>
      </c>
      <c r="P3" t="s">
        <v>4510</v>
      </c>
      <c r="Q3" t="s">
        <v>3623</v>
      </c>
      <c r="R3" t="s">
        <v>2665</v>
      </c>
      <c r="S3">
        <v>2001</v>
      </c>
      <c r="T3" t="s">
        <v>3756</v>
      </c>
      <c r="U3" t="s">
        <v>3774</v>
      </c>
      <c r="V3" t="s">
        <v>2669</v>
      </c>
      <c r="W3" s="69">
        <v>2</v>
      </c>
      <c r="X3" t="s">
        <v>3756</v>
      </c>
      <c r="Y3" t="s">
        <v>2782</v>
      </c>
      <c r="Z3" t="s">
        <v>3173</v>
      </c>
      <c r="AA3" t="s">
        <v>3825</v>
      </c>
      <c r="AB3" s="2" t="s">
        <v>4019</v>
      </c>
      <c r="AC3">
        <v>2</v>
      </c>
      <c r="AD3" t="s">
        <v>4663</v>
      </c>
    </row>
    <row r="4" spans="1:30" x14ac:dyDescent="0.25">
      <c r="A4" s="5" t="s">
        <v>64</v>
      </c>
      <c r="B4" t="s">
        <v>65</v>
      </c>
      <c r="C4" s="6" t="s">
        <v>4038</v>
      </c>
      <c r="D4" s="5" t="str">
        <f t="shared" si="0"/>
        <v>NACE A - 01 Crop and animal production, hunting and related service activities</v>
      </c>
      <c r="E4" s="4" t="s">
        <v>66</v>
      </c>
      <c r="F4" t="s">
        <v>67</v>
      </c>
      <c r="G4" t="str">
        <f t="shared" si="1"/>
        <v>AF</v>
      </c>
      <c r="H4" t="s">
        <v>2669</v>
      </c>
      <c r="I4" t="s">
        <v>2747</v>
      </c>
      <c r="K4" t="s">
        <v>3620</v>
      </c>
      <c r="L4" t="s">
        <v>2773</v>
      </c>
      <c r="M4" t="s">
        <v>4509</v>
      </c>
      <c r="N4" t="s">
        <v>3290</v>
      </c>
      <c r="O4" t="s">
        <v>3307</v>
      </c>
      <c r="R4" t="s">
        <v>3624</v>
      </c>
      <c r="S4">
        <v>2002</v>
      </c>
      <c r="T4" t="s">
        <v>3757</v>
      </c>
      <c r="V4" t="s">
        <v>2670</v>
      </c>
      <c r="W4" s="69">
        <v>3</v>
      </c>
      <c r="X4" t="s">
        <v>3757</v>
      </c>
      <c r="Z4" t="s">
        <v>3174</v>
      </c>
      <c r="AA4" t="s">
        <v>3826</v>
      </c>
      <c r="AC4">
        <v>3</v>
      </c>
      <c r="AD4" t="s">
        <v>4664</v>
      </c>
    </row>
    <row r="5" spans="1:30" x14ac:dyDescent="0.25">
      <c r="A5" s="6" t="s">
        <v>68</v>
      </c>
      <c r="B5" t="s">
        <v>69</v>
      </c>
      <c r="C5" s="6" t="s">
        <v>4039</v>
      </c>
      <c r="D5" s="6" t="str">
        <f t="shared" si="0"/>
        <v>NACE A - 01.1 Growing of non-perennial crops</v>
      </c>
      <c r="E5" s="4" t="s">
        <v>70</v>
      </c>
      <c r="F5" t="s">
        <v>71</v>
      </c>
      <c r="G5" t="str">
        <f t="shared" si="1"/>
        <v>AG</v>
      </c>
      <c r="H5" t="s">
        <v>2670</v>
      </c>
      <c r="I5" t="s">
        <v>2746</v>
      </c>
      <c r="K5" t="s">
        <v>2786</v>
      </c>
      <c r="L5" t="s">
        <v>2774</v>
      </c>
      <c r="O5" t="s">
        <v>3308</v>
      </c>
      <c r="S5">
        <v>2003</v>
      </c>
      <c r="T5" t="s">
        <v>3758</v>
      </c>
      <c r="V5" t="s">
        <v>19</v>
      </c>
      <c r="W5" s="69">
        <v>4</v>
      </c>
      <c r="X5" t="s">
        <v>3758</v>
      </c>
      <c r="Z5" t="s">
        <v>3175</v>
      </c>
      <c r="AA5" t="s">
        <v>3827</v>
      </c>
      <c r="AC5">
        <v>4</v>
      </c>
      <c r="AD5" t="s">
        <v>4665</v>
      </c>
    </row>
    <row r="6" spans="1:30" x14ac:dyDescent="0.25">
      <c r="A6" s="7" t="s">
        <v>72</v>
      </c>
      <c r="B6" t="s">
        <v>73</v>
      </c>
      <c r="C6" s="6" t="s">
        <v>4040</v>
      </c>
      <c r="D6" s="7" t="str">
        <f t="shared" si="0"/>
        <v>NACE A - 01.11 Growing of cereals, other than rice, leguminous crops and oil seeds</v>
      </c>
      <c r="E6" s="4" t="s">
        <v>74</v>
      </c>
      <c r="F6" t="s">
        <v>75</v>
      </c>
      <c r="G6" t="str">
        <f t="shared" si="1"/>
        <v>AI</v>
      </c>
      <c r="H6" t="s">
        <v>19</v>
      </c>
      <c r="I6" t="s">
        <v>4434</v>
      </c>
      <c r="K6" t="s">
        <v>3174</v>
      </c>
      <c r="L6" t="s">
        <v>2775</v>
      </c>
      <c r="O6" t="s">
        <v>3309</v>
      </c>
      <c r="S6">
        <v>2004</v>
      </c>
      <c r="T6" t="s">
        <v>3759</v>
      </c>
      <c r="V6" t="s">
        <v>2671</v>
      </c>
      <c r="W6" s="69">
        <v>5</v>
      </c>
      <c r="X6" t="s">
        <v>3759</v>
      </c>
      <c r="Z6" t="s">
        <v>3176</v>
      </c>
      <c r="AA6" t="s">
        <v>3828</v>
      </c>
      <c r="AC6">
        <v>5</v>
      </c>
    </row>
    <row r="7" spans="1:30" x14ac:dyDescent="0.25">
      <c r="A7" s="7" t="s">
        <v>76</v>
      </c>
      <c r="B7" t="s">
        <v>77</v>
      </c>
      <c r="C7" s="6" t="s">
        <v>4041</v>
      </c>
      <c r="D7" s="7" t="str">
        <f t="shared" si="0"/>
        <v>NACE A - 01.12 Growing of rice</v>
      </c>
      <c r="E7" s="4" t="s">
        <v>78</v>
      </c>
      <c r="F7" t="s">
        <v>79</v>
      </c>
      <c r="G7" t="str">
        <f t="shared" si="1"/>
        <v>AL</v>
      </c>
      <c r="H7" t="s">
        <v>2671</v>
      </c>
      <c r="I7" t="s">
        <v>2745</v>
      </c>
      <c r="K7" t="s">
        <v>2787</v>
      </c>
      <c r="O7" t="s">
        <v>3310</v>
      </c>
      <c r="S7">
        <v>2005</v>
      </c>
      <c r="T7" t="s">
        <v>3760</v>
      </c>
      <c r="V7" t="s">
        <v>2672</v>
      </c>
      <c r="W7" s="69">
        <v>6</v>
      </c>
      <c r="X7" t="s">
        <v>3760</v>
      </c>
      <c r="Z7" t="s">
        <v>3177</v>
      </c>
      <c r="AA7" t="s">
        <v>3829</v>
      </c>
      <c r="AC7">
        <v>6</v>
      </c>
    </row>
    <row r="8" spans="1:30" x14ac:dyDescent="0.25">
      <c r="A8" s="7" t="s">
        <v>80</v>
      </c>
      <c r="B8" t="s">
        <v>81</v>
      </c>
      <c r="C8" s="6" t="s">
        <v>4042</v>
      </c>
      <c r="D8" s="7" t="str">
        <f t="shared" si="0"/>
        <v>NACE A - 01.13 Growing of vegetables and melons, roots and tubers</v>
      </c>
      <c r="E8" s="4" t="s">
        <v>82</v>
      </c>
      <c r="F8" t="s">
        <v>83</v>
      </c>
      <c r="G8" t="str">
        <f t="shared" si="1"/>
        <v>AM</v>
      </c>
      <c r="H8" t="s">
        <v>2672</v>
      </c>
      <c r="I8" t="s">
        <v>2744</v>
      </c>
      <c r="K8" t="s">
        <v>2788</v>
      </c>
      <c r="O8" t="s">
        <v>2666</v>
      </c>
      <c r="S8">
        <v>2006</v>
      </c>
      <c r="T8" t="s">
        <v>3761</v>
      </c>
      <c r="V8" t="s">
        <v>27</v>
      </c>
      <c r="W8" s="69">
        <v>7</v>
      </c>
      <c r="X8" t="s">
        <v>3761</v>
      </c>
      <c r="Z8" t="s">
        <v>2754</v>
      </c>
      <c r="AA8" t="s">
        <v>3830</v>
      </c>
      <c r="AC8">
        <v>7</v>
      </c>
    </row>
    <row r="9" spans="1:30" x14ac:dyDescent="0.25">
      <c r="A9" s="7" t="s">
        <v>84</v>
      </c>
      <c r="B9" t="s">
        <v>85</v>
      </c>
      <c r="C9" s="6" t="s">
        <v>4043</v>
      </c>
      <c r="D9" s="7" t="str">
        <f t="shared" si="0"/>
        <v>NACE A - 01.14 Growing of sugar cane</v>
      </c>
      <c r="E9" s="4" t="s">
        <v>86</v>
      </c>
      <c r="F9" t="s">
        <v>87</v>
      </c>
      <c r="G9" t="str">
        <f t="shared" si="1"/>
        <v>AN</v>
      </c>
      <c r="H9" t="s">
        <v>27</v>
      </c>
      <c r="I9" t="s">
        <v>2743</v>
      </c>
      <c r="K9" t="s">
        <v>3175</v>
      </c>
      <c r="O9" t="s">
        <v>3311</v>
      </c>
      <c r="S9">
        <v>2007</v>
      </c>
      <c r="T9" t="s">
        <v>3762</v>
      </c>
      <c r="V9" t="s">
        <v>31</v>
      </c>
      <c r="W9" s="69">
        <v>8</v>
      </c>
      <c r="X9" t="s">
        <v>3762</v>
      </c>
      <c r="Z9" t="s">
        <v>3178</v>
      </c>
      <c r="AA9" t="s">
        <v>3831</v>
      </c>
      <c r="AC9">
        <v>8</v>
      </c>
    </row>
    <row r="10" spans="1:30" x14ac:dyDescent="0.25">
      <c r="A10" s="7" t="s">
        <v>88</v>
      </c>
      <c r="B10" t="s">
        <v>89</v>
      </c>
      <c r="C10" s="5" t="s">
        <v>4044</v>
      </c>
      <c r="D10" s="7" t="str">
        <f t="shared" si="0"/>
        <v>NACE A - 01.15 Growing of tobacco</v>
      </c>
      <c r="E10" s="4" t="s">
        <v>90</v>
      </c>
      <c r="F10" t="s">
        <v>91</v>
      </c>
      <c r="G10" t="str">
        <f t="shared" si="1"/>
        <v>AO</v>
      </c>
      <c r="H10" t="s">
        <v>31</v>
      </c>
      <c r="I10" t="s">
        <v>2742</v>
      </c>
      <c r="K10" t="s">
        <v>2789</v>
      </c>
      <c r="O10" t="s">
        <v>3312</v>
      </c>
      <c r="S10">
        <v>2008</v>
      </c>
      <c r="T10" t="s">
        <v>3763</v>
      </c>
      <c r="V10" t="s">
        <v>42</v>
      </c>
      <c r="W10" s="69">
        <v>9</v>
      </c>
      <c r="X10" t="s">
        <v>3763</v>
      </c>
      <c r="Z10" t="s">
        <v>3179</v>
      </c>
      <c r="AA10" t="s">
        <v>3832</v>
      </c>
      <c r="AC10">
        <v>9</v>
      </c>
    </row>
    <row r="11" spans="1:30" x14ac:dyDescent="0.25">
      <c r="A11" s="7" t="s">
        <v>92</v>
      </c>
      <c r="B11" t="s">
        <v>93</v>
      </c>
      <c r="C11" s="6" t="s">
        <v>4045</v>
      </c>
      <c r="D11" s="7" t="str">
        <f t="shared" si="0"/>
        <v>NACE A - 01.16 Growing of fibre crops</v>
      </c>
      <c r="E11" s="4" t="s">
        <v>94</v>
      </c>
      <c r="F11" t="s">
        <v>95</v>
      </c>
      <c r="G11" t="str">
        <f t="shared" si="1"/>
        <v>AQ</v>
      </c>
      <c r="H11" t="s">
        <v>42</v>
      </c>
      <c r="I11" t="s">
        <v>2741</v>
      </c>
      <c r="K11" t="s">
        <v>2790</v>
      </c>
      <c r="O11" t="s">
        <v>3303</v>
      </c>
      <c r="S11">
        <v>2009</v>
      </c>
      <c r="T11" t="s">
        <v>3764</v>
      </c>
      <c r="V11" t="s">
        <v>44</v>
      </c>
      <c r="W11" s="69">
        <v>10</v>
      </c>
      <c r="X11" t="s">
        <v>3764</v>
      </c>
      <c r="Z11" t="s">
        <v>3180</v>
      </c>
      <c r="AA11" t="s">
        <v>3833</v>
      </c>
      <c r="AC11">
        <v>10</v>
      </c>
    </row>
    <row r="12" spans="1:30" x14ac:dyDescent="0.25">
      <c r="A12" s="7" t="s">
        <v>96</v>
      </c>
      <c r="B12" t="s">
        <v>97</v>
      </c>
      <c r="C12" s="6" t="s">
        <v>4046</v>
      </c>
      <c r="D12" s="7" t="str">
        <f t="shared" si="0"/>
        <v>NACE A - 01.19 Growing of other non-perennial crops</v>
      </c>
      <c r="E12" s="4" t="s">
        <v>98</v>
      </c>
      <c r="F12" t="s">
        <v>99</v>
      </c>
      <c r="G12" t="str">
        <f t="shared" si="1"/>
        <v>AR</v>
      </c>
      <c r="H12" t="s">
        <v>44</v>
      </c>
      <c r="I12" t="s">
        <v>4435</v>
      </c>
      <c r="K12" t="s">
        <v>2791</v>
      </c>
      <c r="O12" t="s">
        <v>39</v>
      </c>
      <c r="S12">
        <v>2010</v>
      </c>
      <c r="T12" t="s">
        <v>3765</v>
      </c>
      <c r="V12" t="s">
        <v>51</v>
      </c>
      <c r="W12" s="69">
        <v>11</v>
      </c>
      <c r="X12" t="s">
        <v>3765</v>
      </c>
      <c r="Z12" t="s">
        <v>3181</v>
      </c>
      <c r="AA12" t="s">
        <v>3834</v>
      </c>
      <c r="AC12">
        <v>11</v>
      </c>
    </row>
    <row r="13" spans="1:30" x14ac:dyDescent="0.25">
      <c r="A13" s="6" t="s">
        <v>100</v>
      </c>
      <c r="B13" t="s">
        <v>101</v>
      </c>
      <c r="C13" s="6" t="s">
        <v>4047</v>
      </c>
      <c r="D13" s="6" t="str">
        <f t="shared" si="0"/>
        <v>NACE A - 01.2 Growing of perennial crops</v>
      </c>
      <c r="E13" s="4" t="s">
        <v>102</v>
      </c>
      <c r="F13" t="s">
        <v>103</v>
      </c>
      <c r="G13" t="str">
        <f t="shared" si="1"/>
        <v>AS</v>
      </c>
      <c r="H13" t="s">
        <v>51</v>
      </c>
      <c r="I13" t="s">
        <v>2740</v>
      </c>
      <c r="K13" t="s">
        <v>2792</v>
      </c>
      <c r="S13">
        <v>2011</v>
      </c>
      <c r="T13" t="s">
        <v>3766</v>
      </c>
      <c r="V13" t="s">
        <v>15</v>
      </c>
      <c r="W13" s="69">
        <v>12</v>
      </c>
      <c r="X13" t="s">
        <v>3766</v>
      </c>
      <c r="Z13" t="s">
        <v>3182</v>
      </c>
      <c r="AA13" t="s">
        <v>3835</v>
      </c>
      <c r="AC13">
        <v>12</v>
      </c>
    </row>
    <row r="14" spans="1:30" x14ac:dyDescent="0.25">
      <c r="A14" s="7" t="s">
        <v>104</v>
      </c>
      <c r="B14" t="s">
        <v>105</v>
      </c>
      <c r="C14" s="6" t="s">
        <v>4048</v>
      </c>
      <c r="D14" s="7" t="str">
        <f t="shared" si="0"/>
        <v>NACE A - 01.21 Growing of grapes</v>
      </c>
      <c r="E14" s="4" t="s">
        <v>106</v>
      </c>
      <c r="F14" t="s">
        <v>107</v>
      </c>
      <c r="G14" t="str">
        <f t="shared" si="1"/>
        <v>AT</v>
      </c>
      <c r="H14" t="s">
        <v>15</v>
      </c>
      <c r="I14" t="s">
        <v>2739</v>
      </c>
      <c r="K14" t="s">
        <v>3176</v>
      </c>
      <c r="S14">
        <v>2012</v>
      </c>
      <c r="V14" t="s">
        <v>2673</v>
      </c>
      <c r="Z14" t="s">
        <v>3183</v>
      </c>
      <c r="AA14" t="s">
        <v>3836</v>
      </c>
      <c r="AC14">
        <v>13</v>
      </c>
    </row>
    <row r="15" spans="1:30" x14ac:dyDescent="0.25">
      <c r="A15" s="7" t="s">
        <v>108</v>
      </c>
      <c r="B15" t="s">
        <v>109</v>
      </c>
      <c r="C15" s="5" t="s">
        <v>4049</v>
      </c>
      <c r="D15" s="7" t="str">
        <f t="shared" si="0"/>
        <v>NACE A - 01.22 Growing of tropical and subtropical fruits</v>
      </c>
      <c r="E15" s="4" t="s">
        <v>110</v>
      </c>
      <c r="F15" t="s">
        <v>111</v>
      </c>
      <c r="G15" t="str">
        <f t="shared" si="1"/>
        <v>AU</v>
      </c>
      <c r="H15" t="s">
        <v>2673</v>
      </c>
      <c r="I15" t="s">
        <v>2738</v>
      </c>
      <c r="K15" t="s">
        <v>2793</v>
      </c>
      <c r="S15">
        <v>2013</v>
      </c>
      <c r="V15" t="s">
        <v>2674</v>
      </c>
      <c r="Z15" t="s">
        <v>3184</v>
      </c>
      <c r="AA15" t="s">
        <v>3837</v>
      </c>
      <c r="AC15">
        <v>14</v>
      </c>
    </row>
    <row r="16" spans="1:30" x14ac:dyDescent="0.25">
      <c r="A16" s="7" t="s">
        <v>112</v>
      </c>
      <c r="B16" t="s">
        <v>113</v>
      </c>
      <c r="C16" s="6" t="s">
        <v>4050</v>
      </c>
      <c r="D16" s="7" t="str">
        <f t="shared" si="0"/>
        <v>NACE A - 01.23 Growing of citrus fruits</v>
      </c>
      <c r="E16" s="4" t="s">
        <v>114</v>
      </c>
      <c r="F16" t="s">
        <v>115</v>
      </c>
      <c r="G16" t="str">
        <f t="shared" si="1"/>
        <v>AW</v>
      </c>
      <c r="H16" t="s">
        <v>2674</v>
      </c>
      <c r="I16" t="s">
        <v>2737</v>
      </c>
      <c r="K16" t="s">
        <v>2794</v>
      </c>
      <c r="S16">
        <v>2014</v>
      </c>
      <c r="V16" t="s">
        <v>28</v>
      </c>
      <c r="Z16" t="s">
        <v>2755</v>
      </c>
      <c r="AA16" t="s">
        <v>3838</v>
      </c>
      <c r="AC16">
        <v>15</v>
      </c>
    </row>
    <row r="17" spans="1:29" x14ac:dyDescent="0.25">
      <c r="A17" s="7" t="s">
        <v>116</v>
      </c>
      <c r="B17" t="s">
        <v>117</v>
      </c>
      <c r="C17" s="6" t="s">
        <v>4051</v>
      </c>
      <c r="D17" s="7" t="str">
        <f t="shared" si="0"/>
        <v>NACE A - 01.24 Growing of pome fruits and stone fruits</v>
      </c>
      <c r="E17" s="4" t="s">
        <v>118</v>
      </c>
      <c r="F17" t="s">
        <v>119</v>
      </c>
      <c r="G17" t="str">
        <f t="shared" si="1"/>
        <v>AX</v>
      </c>
      <c r="H17" t="s">
        <v>28</v>
      </c>
      <c r="I17" t="s">
        <v>2736</v>
      </c>
      <c r="K17" t="s">
        <v>2795</v>
      </c>
      <c r="S17">
        <v>2015</v>
      </c>
      <c r="V17" t="s">
        <v>45</v>
      </c>
      <c r="Z17" t="s">
        <v>3185</v>
      </c>
      <c r="AA17" t="s">
        <v>3839</v>
      </c>
      <c r="AC17">
        <v>16</v>
      </c>
    </row>
    <row r="18" spans="1:29" x14ac:dyDescent="0.25">
      <c r="A18" s="7" t="s">
        <v>120</v>
      </c>
      <c r="B18" t="s">
        <v>121</v>
      </c>
      <c r="C18" s="6" t="s">
        <v>4052</v>
      </c>
      <c r="D18" s="7" t="str">
        <f t="shared" si="0"/>
        <v>NACE A - 01.25 Growing of other tree and bush fruits and nuts</v>
      </c>
      <c r="E18" s="4" t="s">
        <v>122</v>
      </c>
      <c r="F18" t="s">
        <v>123</v>
      </c>
      <c r="G18" t="str">
        <f t="shared" si="1"/>
        <v>AZ</v>
      </c>
      <c r="H18" t="s">
        <v>45</v>
      </c>
      <c r="I18" t="s">
        <v>4449</v>
      </c>
      <c r="K18" t="s">
        <v>2796</v>
      </c>
      <c r="S18">
        <v>2016</v>
      </c>
      <c r="V18" t="s">
        <v>47</v>
      </c>
      <c r="Z18" t="s">
        <v>3186</v>
      </c>
      <c r="AA18" t="s">
        <v>3840</v>
      </c>
      <c r="AC18">
        <v>17</v>
      </c>
    </row>
    <row r="19" spans="1:29" x14ac:dyDescent="0.25">
      <c r="A19" s="7" t="s">
        <v>124</v>
      </c>
      <c r="B19" t="s">
        <v>125</v>
      </c>
      <c r="C19" s="4" t="s">
        <v>4034</v>
      </c>
      <c r="D19" s="7" t="str">
        <f t="shared" si="0"/>
        <v>NACE A - 01.26 Growing of oleaginous fruits</v>
      </c>
      <c r="E19" s="4" t="s">
        <v>126</v>
      </c>
      <c r="F19" t="s">
        <v>127</v>
      </c>
      <c r="G19" t="str">
        <f t="shared" si="1"/>
        <v>BA</v>
      </c>
      <c r="H19" t="s">
        <v>47</v>
      </c>
      <c r="I19" t="s">
        <v>4436</v>
      </c>
      <c r="K19" t="s">
        <v>2797</v>
      </c>
      <c r="S19">
        <v>2017</v>
      </c>
      <c r="V19" t="s">
        <v>50</v>
      </c>
      <c r="Z19" t="s">
        <v>3187</v>
      </c>
      <c r="AA19" t="s">
        <v>3841</v>
      </c>
      <c r="AC19">
        <v>18</v>
      </c>
    </row>
    <row r="20" spans="1:29" x14ac:dyDescent="0.25">
      <c r="A20" s="7" t="s">
        <v>128</v>
      </c>
      <c r="B20" t="s">
        <v>129</v>
      </c>
      <c r="C20" s="5" t="s">
        <v>4054</v>
      </c>
      <c r="D20" s="7" t="str">
        <f t="shared" si="0"/>
        <v>NACE A - 01.27 Growing of beverage crops</v>
      </c>
      <c r="E20" s="4" t="s">
        <v>130</v>
      </c>
      <c r="F20" t="s">
        <v>131</v>
      </c>
      <c r="G20" t="str">
        <f t="shared" si="1"/>
        <v>BB</v>
      </c>
      <c r="H20" t="s">
        <v>50</v>
      </c>
      <c r="I20" t="s">
        <v>2735</v>
      </c>
      <c r="K20" t="s">
        <v>2798</v>
      </c>
      <c r="S20">
        <v>2018</v>
      </c>
      <c r="V20" t="s">
        <v>52</v>
      </c>
      <c r="Z20" t="s">
        <v>2756</v>
      </c>
      <c r="AA20" t="s">
        <v>3842</v>
      </c>
      <c r="AC20">
        <v>19</v>
      </c>
    </row>
    <row r="21" spans="1:29" x14ac:dyDescent="0.25">
      <c r="A21" s="7" t="s">
        <v>132</v>
      </c>
      <c r="B21" t="s">
        <v>133</v>
      </c>
      <c r="C21" s="5" t="s">
        <v>4057</v>
      </c>
      <c r="D21" s="7" t="str">
        <f t="shared" si="0"/>
        <v>NACE A - 01.28 Growing of spices, aromatic, drug and pharmaceutical crops</v>
      </c>
      <c r="E21" s="4" t="s">
        <v>134</v>
      </c>
      <c r="F21" t="s">
        <v>135</v>
      </c>
      <c r="G21" t="str">
        <f t="shared" si="1"/>
        <v>BD</v>
      </c>
      <c r="H21" t="s">
        <v>52</v>
      </c>
      <c r="I21" t="s">
        <v>2734</v>
      </c>
      <c r="K21" t="s">
        <v>2799</v>
      </c>
      <c r="S21">
        <v>2019</v>
      </c>
      <c r="V21" t="s">
        <v>53</v>
      </c>
      <c r="Z21" t="s">
        <v>3188</v>
      </c>
      <c r="AA21" t="s">
        <v>3843</v>
      </c>
      <c r="AC21">
        <v>20</v>
      </c>
    </row>
    <row r="22" spans="1:29" x14ac:dyDescent="0.25">
      <c r="A22" s="7" t="s">
        <v>136</v>
      </c>
      <c r="B22" t="s">
        <v>137</v>
      </c>
      <c r="C22" s="6" t="s">
        <v>4055</v>
      </c>
      <c r="D22" s="7" t="str">
        <f t="shared" si="0"/>
        <v>NACE A - 01.29 Growing of other perennial crops</v>
      </c>
      <c r="E22" s="4" t="s">
        <v>138</v>
      </c>
      <c r="F22" t="s">
        <v>139</v>
      </c>
      <c r="G22" t="str">
        <f t="shared" si="1"/>
        <v>BE</v>
      </c>
      <c r="H22" t="s">
        <v>53</v>
      </c>
      <c r="I22" t="s">
        <v>2733</v>
      </c>
      <c r="K22" t="s">
        <v>3177</v>
      </c>
      <c r="S22">
        <v>2020</v>
      </c>
      <c r="Z22" t="s">
        <v>3189</v>
      </c>
      <c r="AA22" t="s">
        <v>3844</v>
      </c>
      <c r="AC22">
        <v>21</v>
      </c>
    </row>
    <row r="23" spans="1:29" x14ac:dyDescent="0.25">
      <c r="A23" s="6" t="s">
        <v>140</v>
      </c>
      <c r="B23" t="s">
        <v>141</v>
      </c>
      <c r="C23" s="6" t="s">
        <v>4056</v>
      </c>
      <c r="D23" s="6" t="str">
        <f t="shared" si="0"/>
        <v>NACE A - 01.3 Plant propagation</v>
      </c>
      <c r="E23" s="4" t="s">
        <v>142</v>
      </c>
      <c r="F23" t="s">
        <v>143</v>
      </c>
      <c r="G23" t="str">
        <f t="shared" si="1"/>
        <v>BF</v>
      </c>
      <c r="I23" t="s">
        <v>4437</v>
      </c>
      <c r="K23" t="s">
        <v>2800</v>
      </c>
      <c r="S23">
        <v>2021</v>
      </c>
      <c r="Z23" t="s">
        <v>2757</v>
      </c>
      <c r="AA23" t="s">
        <v>3845</v>
      </c>
      <c r="AC23">
        <v>22</v>
      </c>
    </row>
    <row r="24" spans="1:29" x14ac:dyDescent="0.25">
      <c r="A24" s="7" t="s">
        <v>144</v>
      </c>
      <c r="B24" t="s">
        <v>145</v>
      </c>
      <c r="C24" s="5" t="s">
        <v>4060</v>
      </c>
      <c r="D24" s="7" t="str">
        <f t="shared" si="0"/>
        <v>NACE A - 01.30 Plant propagation</v>
      </c>
      <c r="E24" s="4" t="s">
        <v>146</v>
      </c>
      <c r="F24" t="s">
        <v>147</v>
      </c>
      <c r="G24" t="str">
        <f t="shared" si="1"/>
        <v>BG</v>
      </c>
      <c r="I24" t="s">
        <v>4438</v>
      </c>
      <c r="K24" t="s">
        <v>2801</v>
      </c>
      <c r="S24">
        <v>2022</v>
      </c>
      <c r="Z24" t="s">
        <v>3190</v>
      </c>
      <c r="AA24" t="s">
        <v>3846</v>
      </c>
      <c r="AC24">
        <v>23</v>
      </c>
    </row>
    <row r="25" spans="1:29" x14ac:dyDescent="0.25">
      <c r="A25" s="6" t="s">
        <v>148</v>
      </c>
      <c r="B25" t="s">
        <v>149</v>
      </c>
      <c r="C25" s="6" t="s">
        <v>4058</v>
      </c>
      <c r="D25" s="6" t="str">
        <f t="shared" si="0"/>
        <v>NACE A - 01.4 Animal production</v>
      </c>
      <c r="E25" s="4" t="s">
        <v>150</v>
      </c>
      <c r="F25" t="s">
        <v>151</v>
      </c>
      <c r="G25" t="str">
        <f t="shared" si="1"/>
        <v>BH</v>
      </c>
      <c r="I25" t="s">
        <v>4450</v>
      </c>
      <c r="K25" t="s">
        <v>2802</v>
      </c>
      <c r="S25">
        <v>2023</v>
      </c>
      <c r="Z25" t="s">
        <v>3191</v>
      </c>
      <c r="AA25" t="s">
        <v>3847</v>
      </c>
      <c r="AC25">
        <v>24</v>
      </c>
    </row>
    <row r="26" spans="1:29" x14ac:dyDescent="0.25">
      <c r="A26" s="7" t="s">
        <v>152</v>
      </c>
      <c r="B26" t="s">
        <v>153</v>
      </c>
      <c r="C26" s="6" t="s">
        <v>4059</v>
      </c>
      <c r="D26" s="7" t="str">
        <f t="shared" si="0"/>
        <v>NACE A - 01.41 Raising of dairy cattle</v>
      </c>
      <c r="E26" s="4" t="s">
        <v>154</v>
      </c>
      <c r="F26" t="s">
        <v>155</v>
      </c>
      <c r="G26" t="str">
        <f t="shared" si="1"/>
        <v>BI</v>
      </c>
      <c r="I26" t="s">
        <v>2732</v>
      </c>
      <c r="K26" t="s">
        <v>2803</v>
      </c>
      <c r="S26">
        <v>2024</v>
      </c>
      <c r="Z26" t="s">
        <v>3192</v>
      </c>
      <c r="AA26" t="s">
        <v>3848</v>
      </c>
      <c r="AC26">
        <v>25</v>
      </c>
    </row>
    <row r="27" spans="1:29" x14ac:dyDescent="0.25">
      <c r="A27" s="7" t="s">
        <v>156</v>
      </c>
      <c r="B27" t="s">
        <v>157</v>
      </c>
      <c r="C27" s="5" t="s">
        <v>4063</v>
      </c>
      <c r="D27" s="7" t="str">
        <f t="shared" si="0"/>
        <v>NACE A - 01.42 Raising of other cattle and buffaloes</v>
      </c>
      <c r="E27" s="4" t="s">
        <v>158</v>
      </c>
      <c r="F27" t="s">
        <v>159</v>
      </c>
      <c r="G27" t="str">
        <f t="shared" si="1"/>
        <v>BJ</v>
      </c>
      <c r="I27" t="s">
        <v>2731</v>
      </c>
      <c r="K27" t="s">
        <v>2804</v>
      </c>
      <c r="S27">
        <v>2025</v>
      </c>
      <c r="Z27" t="s">
        <v>3193</v>
      </c>
      <c r="AA27" t="s">
        <v>3849</v>
      </c>
      <c r="AC27">
        <v>26</v>
      </c>
    </row>
    <row r="28" spans="1:29" x14ac:dyDescent="0.25">
      <c r="A28" s="7" t="s">
        <v>160</v>
      </c>
      <c r="B28" t="s">
        <v>161</v>
      </c>
      <c r="C28" s="6" t="s">
        <v>4061</v>
      </c>
      <c r="D28" s="7" t="str">
        <f t="shared" si="0"/>
        <v>NACE A - 01.43 Raising of horses and other equines</v>
      </c>
      <c r="E28" s="4" t="s">
        <v>162</v>
      </c>
      <c r="F28" t="s">
        <v>163</v>
      </c>
      <c r="G28" t="str">
        <f t="shared" si="1"/>
        <v>BL</v>
      </c>
      <c r="I28" t="s">
        <v>4452</v>
      </c>
      <c r="K28" t="s">
        <v>2754</v>
      </c>
      <c r="S28">
        <v>2026</v>
      </c>
      <c r="Z28" t="s">
        <v>3194</v>
      </c>
      <c r="AA28" t="s">
        <v>3850</v>
      </c>
      <c r="AC28">
        <v>27</v>
      </c>
    </row>
    <row r="29" spans="1:29" x14ac:dyDescent="0.25">
      <c r="A29" s="7" t="s">
        <v>164</v>
      </c>
      <c r="B29" t="s">
        <v>165</v>
      </c>
      <c r="C29" s="6" t="s">
        <v>4062</v>
      </c>
      <c r="D29" s="7" t="str">
        <f t="shared" si="0"/>
        <v>NACE A - 01.44 Raising of camels and camelids</v>
      </c>
      <c r="E29" s="4" t="s">
        <v>166</v>
      </c>
      <c r="F29" t="s">
        <v>167</v>
      </c>
      <c r="G29" t="str">
        <f t="shared" si="1"/>
        <v>BM</v>
      </c>
      <c r="I29" t="s">
        <v>2730</v>
      </c>
      <c r="K29" t="s">
        <v>3178</v>
      </c>
      <c r="S29">
        <v>2027</v>
      </c>
      <c r="Z29" t="s">
        <v>3195</v>
      </c>
      <c r="AA29" t="s">
        <v>3851</v>
      </c>
      <c r="AC29">
        <v>28</v>
      </c>
    </row>
    <row r="30" spans="1:29" x14ac:dyDescent="0.25">
      <c r="A30" s="7" t="s">
        <v>168</v>
      </c>
      <c r="B30" t="s">
        <v>169</v>
      </c>
      <c r="C30" s="5" t="s">
        <v>4066</v>
      </c>
      <c r="D30" s="7" t="str">
        <f t="shared" si="0"/>
        <v>NACE A - 01.45 Raising of sheep and goats</v>
      </c>
      <c r="E30" s="4" t="s">
        <v>170</v>
      </c>
      <c r="F30" t="s">
        <v>171</v>
      </c>
      <c r="G30" t="str">
        <f t="shared" si="1"/>
        <v>BN</v>
      </c>
      <c r="I30" t="s">
        <v>2729</v>
      </c>
      <c r="K30" t="s">
        <v>2805</v>
      </c>
      <c r="S30">
        <v>2028</v>
      </c>
      <c r="Z30" t="s">
        <v>3196</v>
      </c>
      <c r="AA30" t="s">
        <v>3852</v>
      </c>
      <c r="AC30">
        <v>29</v>
      </c>
    </row>
    <row r="31" spans="1:29" x14ac:dyDescent="0.25">
      <c r="A31" s="7" t="s">
        <v>172</v>
      </c>
      <c r="B31" t="s">
        <v>173</v>
      </c>
      <c r="C31" s="6" t="s">
        <v>4064</v>
      </c>
      <c r="D31" s="7" t="str">
        <f t="shared" si="0"/>
        <v>NACE A - 01.46 Raising of swine and pigs</v>
      </c>
      <c r="E31" s="4" t="s">
        <v>174</v>
      </c>
      <c r="F31" t="s">
        <v>175</v>
      </c>
      <c r="G31" t="str">
        <f t="shared" si="1"/>
        <v>BO</v>
      </c>
      <c r="I31" t="s">
        <v>2728</v>
      </c>
      <c r="K31" t="s">
        <v>2806</v>
      </c>
      <c r="S31">
        <v>2029</v>
      </c>
      <c r="Z31" t="s">
        <v>2758</v>
      </c>
      <c r="AA31" t="s">
        <v>3853</v>
      </c>
      <c r="AC31">
        <v>30</v>
      </c>
    </row>
    <row r="32" spans="1:29" x14ac:dyDescent="0.25">
      <c r="A32" s="7" t="s">
        <v>176</v>
      </c>
      <c r="B32" t="s">
        <v>177</v>
      </c>
      <c r="C32" s="6" t="s">
        <v>4065</v>
      </c>
      <c r="D32" s="7" t="str">
        <f t="shared" si="0"/>
        <v>NACE A - 01.47 Raising of poultry</v>
      </c>
      <c r="E32" s="4" t="s">
        <v>178</v>
      </c>
      <c r="F32" t="s">
        <v>179</v>
      </c>
      <c r="G32" t="str">
        <f t="shared" si="1"/>
        <v>BQ</v>
      </c>
      <c r="I32" t="s">
        <v>2727</v>
      </c>
      <c r="K32" t="s">
        <v>2807</v>
      </c>
      <c r="S32">
        <v>2030</v>
      </c>
      <c r="Z32" t="s">
        <v>3197</v>
      </c>
      <c r="AA32" t="s">
        <v>3854</v>
      </c>
      <c r="AC32">
        <v>31</v>
      </c>
    </row>
    <row r="33" spans="1:27" x14ac:dyDescent="0.25">
      <c r="A33" s="7" t="s">
        <v>180</v>
      </c>
      <c r="B33" t="s">
        <v>181</v>
      </c>
      <c r="C33" s="6" t="s">
        <v>4067</v>
      </c>
      <c r="D33" s="7" t="str">
        <f t="shared" si="0"/>
        <v>NACE A - 01.48 Raising of other animals</v>
      </c>
      <c r="E33" s="4" t="s">
        <v>182</v>
      </c>
      <c r="F33" t="s">
        <v>183</v>
      </c>
      <c r="G33" t="str">
        <f t="shared" si="1"/>
        <v>BR</v>
      </c>
      <c r="I33" t="s">
        <v>2726</v>
      </c>
      <c r="K33" t="s">
        <v>2808</v>
      </c>
      <c r="S33">
        <v>2031</v>
      </c>
      <c r="Z33" t="s">
        <v>3198</v>
      </c>
      <c r="AA33" t="s">
        <v>3855</v>
      </c>
    </row>
    <row r="34" spans="1:27" x14ac:dyDescent="0.25">
      <c r="A34" s="6" t="s">
        <v>184</v>
      </c>
      <c r="B34" t="s">
        <v>185</v>
      </c>
      <c r="C34" s="6" t="s">
        <v>4068</v>
      </c>
      <c r="D34" s="6" t="str">
        <f t="shared" si="0"/>
        <v>NACE A - 01.5 Mixed farming</v>
      </c>
      <c r="E34" s="4" t="s">
        <v>186</v>
      </c>
      <c r="F34" t="s">
        <v>187</v>
      </c>
      <c r="G34" t="str">
        <f t="shared" si="1"/>
        <v>BS</v>
      </c>
      <c r="I34" t="s">
        <v>2725</v>
      </c>
      <c r="K34" t="s">
        <v>2785</v>
      </c>
      <c r="S34">
        <v>2032</v>
      </c>
      <c r="Z34" t="s">
        <v>3199</v>
      </c>
      <c r="AA34" t="s">
        <v>3856</v>
      </c>
    </row>
    <row r="35" spans="1:27" x14ac:dyDescent="0.25">
      <c r="A35" s="7" t="s">
        <v>188</v>
      </c>
      <c r="B35" t="s">
        <v>189</v>
      </c>
      <c r="C35" s="4" t="s">
        <v>4053</v>
      </c>
      <c r="D35" s="7" t="str">
        <f t="shared" si="0"/>
        <v>NACE A - 01.50 Mixed farming</v>
      </c>
      <c r="E35" s="4" t="s">
        <v>190</v>
      </c>
      <c r="F35" t="s">
        <v>191</v>
      </c>
      <c r="G35" t="str">
        <f t="shared" si="1"/>
        <v>BT</v>
      </c>
      <c r="I35" t="s">
        <v>2724</v>
      </c>
      <c r="K35" t="s">
        <v>2809</v>
      </c>
      <c r="S35">
        <v>2033</v>
      </c>
      <c r="Z35" t="s">
        <v>3200</v>
      </c>
      <c r="AA35" t="s">
        <v>3857</v>
      </c>
    </row>
    <row r="36" spans="1:27" x14ac:dyDescent="0.25">
      <c r="A36" s="6" t="s">
        <v>192</v>
      </c>
      <c r="B36" t="s">
        <v>193</v>
      </c>
      <c r="C36" s="5" t="s">
        <v>4070</v>
      </c>
      <c r="D36" s="6" t="str">
        <f t="shared" si="0"/>
        <v>NACE A - 01.6 Support activities to agriculture and post-harvest crop activities</v>
      </c>
      <c r="E36" s="4" t="s">
        <v>194</v>
      </c>
      <c r="F36" t="s">
        <v>195</v>
      </c>
      <c r="G36" t="str">
        <f t="shared" si="1"/>
        <v>BU</v>
      </c>
      <c r="I36" t="s">
        <v>2723</v>
      </c>
      <c r="K36" t="s">
        <v>2810</v>
      </c>
      <c r="S36">
        <v>2034</v>
      </c>
      <c r="Z36" t="s">
        <v>3201</v>
      </c>
      <c r="AA36" t="s">
        <v>3858</v>
      </c>
    </row>
    <row r="37" spans="1:27" x14ac:dyDescent="0.25">
      <c r="A37" s="7" t="s">
        <v>196</v>
      </c>
      <c r="B37" t="s">
        <v>197</v>
      </c>
      <c r="C37" s="6" t="s">
        <v>4071</v>
      </c>
      <c r="D37" s="7" t="str">
        <f t="shared" si="0"/>
        <v>NACE A - 01.61 Support activities for crop production</v>
      </c>
      <c r="E37" s="4" t="s">
        <v>198</v>
      </c>
      <c r="F37" t="s">
        <v>199</v>
      </c>
      <c r="G37" t="str">
        <f t="shared" si="1"/>
        <v>BV</v>
      </c>
      <c r="I37" t="s">
        <v>2722</v>
      </c>
      <c r="K37" t="s">
        <v>2811</v>
      </c>
      <c r="S37">
        <v>2035</v>
      </c>
      <c r="Z37" t="s">
        <v>3202</v>
      </c>
      <c r="AA37" t="s">
        <v>3859</v>
      </c>
    </row>
    <row r="38" spans="1:27" x14ac:dyDescent="0.25">
      <c r="A38" s="7" t="s">
        <v>200</v>
      </c>
      <c r="B38" t="s">
        <v>201</v>
      </c>
      <c r="C38" s="6" t="s">
        <v>4072</v>
      </c>
      <c r="D38" s="7" t="str">
        <f t="shared" si="0"/>
        <v>NACE A - 01.62 Support activities for animal production</v>
      </c>
      <c r="E38" s="4" t="s">
        <v>202</v>
      </c>
      <c r="F38" t="s">
        <v>203</v>
      </c>
      <c r="G38" t="str">
        <f t="shared" si="1"/>
        <v>BW</v>
      </c>
      <c r="I38" t="s">
        <v>4451</v>
      </c>
      <c r="K38" t="s">
        <v>3179</v>
      </c>
      <c r="S38">
        <v>2036</v>
      </c>
      <c r="Z38" t="s">
        <v>3203</v>
      </c>
      <c r="AA38" t="s">
        <v>3860</v>
      </c>
    </row>
    <row r="39" spans="1:27" x14ac:dyDescent="0.25">
      <c r="A39" s="7" t="s">
        <v>204</v>
      </c>
      <c r="B39" t="s">
        <v>205</v>
      </c>
      <c r="C39" s="6" t="s">
        <v>4073</v>
      </c>
      <c r="D39" s="7" t="str">
        <f t="shared" si="0"/>
        <v>NACE A - 01.63 Post-harvest crop activities and seed processing for propagation</v>
      </c>
      <c r="E39" s="4" t="s">
        <v>206</v>
      </c>
      <c r="F39" t="s">
        <v>207</v>
      </c>
      <c r="G39" t="str">
        <f t="shared" si="1"/>
        <v>BY</v>
      </c>
      <c r="I39" t="s">
        <v>4439</v>
      </c>
      <c r="K39" t="s">
        <v>2812</v>
      </c>
      <c r="S39">
        <v>2037</v>
      </c>
      <c r="Z39" t="s">
        <v>3204</v>
      </c>
      <c r="AA39" t="s">
        <v>3861</v>
      </c>
    </row>
    <row r="40" spans="1:27" x14ac:dyDescent="0.25">
      <c r="A40" s="6" t="s">
        <v>208</v>
      </c>
      <c r="B40" t="s">
        <v>209</v>
      </c>
      <c r="C40" s="6" t="s">
        <v>4074</v>
      </c>
      <c r="D40" s="6" t="str">
        <f t="shared" si="0"/>
        <v>NACE A - 01.7 Hunting, trapping and related service activities</v>
      </c>
      <c r="E40" s="4" t="s">
        <v>210</v>
      </c>
      <c r="F40" t="s">
        <v>211</v>
      </c>
      <c r="G40" t="str">
        <f t="shared" si="1"/>
        <v>BZ</v>
      </c>
      <c r="I40" t="s">
        <v>4440</v>
      </c>
      <c r="K40" t="s">
        <v>2813</v>
      </c>
      <c r="S40">
        <v>2038</v>
      </c>
      <c r="Z40" t="s">
        <v>3205</v>
      </c>
      <c r="AA40" t="s">
        <v>3862</v>
      </c>
    </row>
    <row r="41" spans="1:27" x14ac:dyDescent="0.25">
      <c r="A41" s="7" t="s">
        <v>212</v>
      </c>
      <c r="B41" t="s">
        <v>213</v>
      </c>
      <c r="C41" s="6" t="s">
        <v>4075</v>
      </c>
      <c r="D41" s="7" t="str">
        <f t="shared" si="0"/>
        <v>NACE A - 01.70 Hunting, trapping and related service activities</v>
      </c>
      <c r="E41" s="4" t="s">
        <v>214</v>
      </c>
      <c r="F41" t="s">
        <v>215</v>
      </c>
      <c r="G41" t="str">
        <f t="shared" si="1"/>
        <v>CA</v>
      </c>
      <c r="I41" t="s">
        <v>2721</v>
      </c>
      <c r="K41" t="s">
        <v>2814</v>
      </c>
      <c r="S41">
        <v>2039</v>
      </c>
      <c r="Z41" t="s">
        <v>3206</v>
      </c>
      <c r="AA41" t="s">
        <v>3863</v>
      </c>
    </row>
    <row r="42" spans="1:27" x14ac:dyDescent="0.25">
      <c r="A42" s="5" t="s">
        <v>216</v>
      </c>
      <c r="B42" t="s">
        <v>217</v>
      </c>
      <c r="C42" s="6" t="s">
        <v>4076</v>
      </c>
      <c r="D42" s="5" t="str">
        <f t="shared" si="0"/>
        <v>NACE A - 02 Forestry and logging</v>
      </c>
      <c r="E42" s="4" t="s">
        <v>218</v>
      </c>
      <c r="F42" t="s">
        <v>219</v>
      </c>
      <c r="G42" t="str">
        <f t="shared" si="1"/>
        <v>CC</v>
      </c>
      <c r="I42" t="s">
        <v>2720</v>
      </c>
      <c r="K42" t="s">
        <v>2815</v>
      </c>
      <c r="S42">
        <v>2040</v>
      </c>
      <c r="Z42" t="s">
        <v>3207</v>
      </c>
      <c r="AA42" t="s">
        <v>3864</v>
      </c>
    </row>
    <row r="43" spans="1:27" x14ac:dyDescent="0.25">
      <c r="A43" s="6" t="s">
        <v>220</v>
      </c>
      <c r="B43" t="s">
        <v>221</v>
      </c>
      <c r="C43" s="6" t="s">
        <v>4077</v>
      </c>
      <c r="D43" s="6" t="str">
        <f t="shared" si="0"/>
        <v>NACE A - 02.1 Silviculture and other forestry activities</v>
      </c>
      <c r="E43" s="4" t="s">
        <v>222</v>
      </c>
      <c r="F43" t="s">
        <v>223</v>
      </c>
      <c r="G43" t="str">
        <f t="shared" si="1"/>
        <v>CD</v>
      </c>
      <c r="I43" t="s">
        <v>2719</v>
      </c>
      <c r="K43" t="s">
        <v>2816</v>
      </c>
      <c r="S43">
        <v>2041</v>
      </c>
      <c r="Z43" t="s">
        <v>3208</v>
      </c>
      <c r="AA43" t="s">
        <v>3865</v>
      </c>
    </row>
    <row r="44" spans="1:27" x14ac:dyDescent="0.25">
      <c r="A44" s="7" t="s">
        <v>224</v>
      </c>
      <c r="B44" t="s">
        <v>225</v>
      </c>
      <c r="C44" s="6" t="s">
        <v>4078</v>
      </c>
      <c r="D44" s="7" t="str">
        <f t="shared" si="0"/>
        <v>NACE A - 02.10 Silviculture and other forestry activities</v>
      </c>
      <c r="E44" s="4" t="s">
        <v>226</v>
      </c>
      <c r="F44" t="s">
        <v>227</v>
      </c>
      <c r="G44" t="str">
        <f t="shared" si="1"/>
        <v>CF</v>
      </c>
      <c r="I44" t="s">
        <v>2718</v>
      </c>
      <c r="K44" t="s">
        <v>3180</v>
      </c>
      <c r="S44">
        <v>2042</v>
      </c>
      <c r="Z44" t="s">
        <v>2759</v>
      </c>
      <c r="AA44" t="s">
        <v>3866</v>
      </c>
    </row>
    <row r="45" spans="1:27" x14ac:dyDescent="0.25">
      <c r="A45" s="6" t="s">
        <v>228</v>
      </c>
      <c r="B45" t="s">
        <v>229</v>
      </c>
      <c r="C45" s="6" t="s">
        <v>4079</v>
      </c>
      <c r="D45" s="6" t="str">
        <f t="shared" si="0"/>
        <v>NACE A - 02.2 Logging</v>
      </c>
      <c r="E45" s="4" t="s">
        <v>230</v>
      </c>
      <c r="F45" t="s">
        <v>231</v>
      </c>
      <c r="G45" t="str">
        <f t="shared" si="1"/>
        <v>CG</v>
      </c>
      <c r="I45" t="s">
        <v>2717</v>
      </c>
      <c r="K45" t="s">
        <v>2817</v>
      </c>
      <c r="S45">
        <v>2043</v>
      </c>
      <c r="Z45" t="s">
        <v>3209</v>
      </c>
      <c r="AA45" t="s">
        <v>3867</v>
      </c>
    </row>
    <row r="46" spans="1:27" x14ac:dyDescent="0.25">
      <c r="A46" s="7" t="s">
        <v>232</v>
      </c>
      <c r="B46" t="s">
        <v>233</v>
      </c>
      <c r="C46" s="5" t="s">
        <v>4080</v>
      </c>
      <c r="D46" s="7" t="str">
        <f t="shared" si="0"/>
        <v>NACE A - 02.20 Logging</v>
      </c>
      <c r="E46" s="4" t="s">
        <v>234</v>
      </c>
      <c r="F46" t="s">
        <v>235</v>
      </c>
      <c r="G46" t="str">
        <f t="shared" si="1"/>
        <v>CH</v>
      </c>
      <c r="I46" t="s">
        <v>4453</v>
      </c>
      <c r="K46" t="s">
        <v>2818</v>
      </c>
      <c r="S46">
        <v>2044</v>
      </c>
      <c r="Z46" t="s">
        <v>3210</v>
      </c>
      <c r="AA46" t="s">
        <v>3868</v>
      </c>
    </row>
    <row r="47" spans="1:27" x14ac:dyDescent="0.25">
      <c r="A47" s="6" t="s">
        <v>236</v>
      </c>
      <c r="B47" t="s">
        <v>237</v>
      </c>
      <c r="C47" s="6" t="s">
        <v>4081</v>
      </c>
      <c r="D47" s="6" t="str">
        <f t="shared" si="0"/>
        <v>NACE A - 02.3 Gathering of wild growing non-wood products</v>
      </c>
      <c r="E47" s="4" t="s">
        <v>238</v>
      </c>
      <c r="F47" t="s">
        <v>239</v>
      </c>
      <c r="G47" t="str">
        <f t="shared" si="1"/>
        <v>CI</v>
      </c>
      <c r="I47" t="s">
        <v>2716</v>
      </c>
      <c r="K47" t="s">
        <v>2819</v>
      </c>
      <c r="S47">
        <v>2045</v>
      </c>
      <c r="Z47" t="s">
        <v>3211</v>
      </c>
      <c r="AA47" t="s">
        <v>3869</v>
      </c>
    </row>
    <row r="48" spans="1:27" x14ac:dyDescent="0.25">
      <c r="A48" s="7" t="s">
        <v>240</v>
      </c>
      <c r="B48" t="s">
        <v>241</v>
      </c>
      <c r="C48" s="5" t="s">
        <v>4082</v>
      </c>
      <c r="D48" s="7" t="str">
        <f t="shared" si="0"/>
        <v>NACE A - 02.30 Gathering of wild growing non-wood products</v>
      </c>
      <c r="E48" s="4" t="s">
        <v>242</v>
      </c>
      <c r="F48" t="s">
        <v>243</v>
      </c>
      <c r="G48" t="str">
        <f t="shared" si="1"/>
        <v>CK</v>
      </c>
      <c r="I48" t="s">
        <v>2715</v>
      </c>
      <c r="K48" t="s">
        <v>2820</v>
      </c>
      <c r="S48">
        <v>2046</v>
      </c>
      <c r="Z48" t="s">
        <v>3212</v>
      </c>
      <c r="AA48" t="s">
        <v>3870</v>
      </c>
    </row>
    <row r="49" spans="1:27" x14ac:dyDescent="0.25">
      <c r="A49" s="6" t="s">
        <v>244</v>
      </c>
      <c r="B49" t="s">
        <v>245</v>
      </c>
      <c r="C49" s="6" t="s">
        <v>4083</v>
      </c>
      <c r="D49" s="6" t="str">
        <f t="shared" si="0"/>
        <v>NACE A - 02.4 Support services to forestry</v>
      </c>
      <c r="E49" s="4" t="s">
        <v>246</v>
      </c>
      <c r="F49" t="s">
        <v>247</v>
      </c>
      <c r="G49" t="str">
        <f t="shared" si="1"/>
        <v>CL</v>
      </c>
      <c r="I49" t="s">
        <v>2714</v>
      </c>
      <c r="K49" t="s">
        <v>2821</v>
      </c>
      <c r="S49">
        <v>2047</v>
      </c>
      <c r="Z49" t="s">
        <v>3213</v>
      </c>
      <c r="AA49" t="s">
        <v>3871</v>
      </c>
    </row>
    <row r="50" spans="1:27" x14ac:dyDescent="0.25">
      <c r="A50" s="7" t="s">
        <v>248</v>
      </c>
      <c r="B50" t="s">
        <v>249</v>
      </c>
      <c r="C50" s="5" t="s">
        <v>4084</v>
      </c>
      <c r="D50" s="7" t="str">
        <f t="shared" si="0"/>
        <v>NACE A - 02.40 Support services to forestry</v>
      </c>
      <c r="E50" s="4" t="s">
        <v>250</v>
      </c>
      <c r="F50" t="s">
        <v>251</v>
      </c>
      <c r="G50" t="str">
        <f t="shared" si="1"/>
        <v>CM</v>
      </c>
      <c r="I50" t="s">
        <v>2713</v>
      </c>
      <c r="K50" t="s">
        <v>2822</v>
      </c>
      <c r="S50">
        <v>2048</v>
      </c>
      <c r="Z50" t="s">
        <v>3214</v>
      </c>
      <c r="AA50" t="s">
        <v>3872</v>
      </c>
    </row>
    <row r="51" spans="1:27" x14ac:dyDescent="0.25">
      <c r="A51" s="5" t="s">
        <v>252</v>
      </c>
      <c r="B51" t="s">
        <v>253</v>
      </c>
      <c r="C51" s="6" t="s">
        <v>4085</v>
      </c>
      <c r="D51" s="5" t="str">
        <f t="shared" si="0"/>
        <v>NACE A - 03 Fishing and aquaculture</v>
      </c>
      <c r="E51" s="4" t="s">
        <v>254</v>
      </c>
      <c r="F51" t="s">
        <v>255</v>
      </c>
      <c r="G51" t="str">
        <f t="shared" si="1"/>
        <v>CN</v>
      </c>
      <c r="I51" t="s">
        <v>2712</v>
      </c>
      <c r="K51" t="s">
        <v>3181</v>
      </c>
      <c r="S51">
        <v>2049</v>
      </c>
      <c r="Z51" t="s">
        <v>3215</v>
      </c>
      <c r="AA51" t="s">
        <v>3873</v>
      </c>
    </row>
    <row r="52" spans="1:27" x14ac:dyDescent="0.25">
      <c r="A52" s="6" t="s">
        <v>256</v>
      </c>
      <c r="B52" t="s">
        <v>257</v>
      </c>
      <c r="C52" s="6" t="s">
        <v>4086</v>
      </c>
      <c r="D52" s="6" t="str">
        <f t="shared" si="0"/>
        <v>NACE A - 03.1 Fishing</v>
      </c>
      <c r="E52" s="4" t="s">
        <v>258</v>
      </c>
      <c r="F52" t="s">
        <v>259</v>
      </c>
      <c r="G52" t="str">
        <f t="shared" si="1"/>
        <v>CO</v>
      </c>
      <c r="I52" t="s">
        <v>4441</v>
      </c>
      <c r="K52" t="s">
        <v>2823</v>
      </c>
      <c r="S52">
        <v>2050</v>
      </c>
      <c r="Z52" t="s">
        <v>2760</v>
      </c>
      <c r="AA52" t="s">
        <v>3874</v>
      </c>
    </row>
    <row r="53" spans="1:27" x14ac:dyDescent="0.25">
      <c r="A53" s="7" t="s">
        <v>260</v>
      </c>
      <c r="B53" t="s">
        <v>261</v>
      </c>
      <c r="C53" s="6" t="s">
        <v>4087</v>
      </c>
      <c r="D53" s="7" t="str">
        <f t="shared" si="0"/>
        <v>NACE A - 03.11 Marine fishing</v>
      </c>
      <c r="E53" s="4" t="s">
        <v>262</v>
      </c>
      <c r="F53" t="s">
        <v>263</v>
      </c>
      <c r="G53" t="str">
        <f t="shared" si="1"/>
        <v>CR</v>
      </c>
      <c r="I53" t="s">
        <v>2711</v>
      </c>
      <c r="K53" t="s">
        <v>2824</v>
      </c>
      <c r="S53">
        <v>2051</v>
      </c>
      <c r="Z53" t="s">
        <v>3216</v>
      </c>
      <c r="AA53" t="s">
        <v>3875</v>
      </c>
    </row>
    <row r="54" spans="1:27" x14ac:dyDescent="0.25">
      <c r="A54" s="7" t="s">
        <v>264</v>
      </c>
      <c r="B54" t="s">
        <v>265</v>
      </c>
      <c r="C54" s="6" t="s">
        <v>4088</v>
      </c>
      <c r="D54" s="7" t="str">
        <f t="shared" si="0"/>
        <v>NACE A - 03.12 Freshwater fishing</v>
      </c>
      <c r="E54" s="4" t="s">
        <v>266</v>
      </c>
      <c r="F54" t="s">
        <v>267</v>
      </c>
      <c r="G54" t="str">
        <f t="shared" si="1"/>
        <v>CS</v>
      </c>
      <c r="I54" t="s">
        <v>4442</v>
      </c>
      <c r="K54" t="s">
        <v>2825</v>
      </c>
      <c r="S54">
        <v>2052</v>
      </c>
      <c r="Z54" t="s">
        <v>3217</v>
      </c>
      <c r="AA54" t="s">
        <v>3876</v>
      </c>
    </row>
    <row r="55" spans="1:27" x14ac:dyDescent="0.25">
      <c r="A55" s="6" t="s">
        <v>268</v>
      </c>
      <c r="B55" t="s">
        <v>269</v>
      </c>
      <c r="C55" s="5" t="s">
        <v>4089</v>
      </c>
      <c r="D55" s="6" t="str">
        <f t="shared" si="0"/>
        <v>NACE A - 03.2 Aquaculture</v>
      </c>
      <c r="E55" s="4" t="s">
        <v>270</v>
      </c>
      <c r="F55" t="s">
        <v>271</v>
      </c>
      <c r="G55" t="str">
        <f t="shared" si="1"/>
        <v>CU</v>
      </c>
      <c r="I55" t="s">
        <v>2710</v>
      </c>
      <c r="K55" t="s">
        <v>2826</v>
      </c>
      <c r="S55">
        <v>2053</v>
      </c>
      <c r="Z55" t="s">
        <v>3218</v>
      </c>
      <c r="AA55" t="s">
        <v>3877</v>
      </c>
    </row>
    <row r="56" spans="1:27" x14ac:dyDescent="0.25">
      <c r="A56" s="7" t="s">
        <v>272</v>
      </c>
      <c r="B56" t="s">
        <v>273</v>
      </c>
      <c r="C56" s="6" t="s">
        <v>4090</v>
      </c>
      <c r="D56" s="7" t="str">
        <f t="shared" si="0"/>
        <v>NACE A - 03.21 Marine aquaculture</v>
      </c>
      <c r="E56" s="4" t="s">
        <v>274</v>
      </c>
      <c r="F56" t="s">
        <v>275</v>
      </c>
      <c r="G56" t="str">
        <f t="shared" si="1"/>
        <v>CV</v>
      </c>
      <c r="I56" t="s">
        <v>2709</v>
      </c>
      <c r="K56" t="s">
        <v>3182</v>
      </c>
      <c r="S56">
        <v>2054</v>
      </c>
      <c r="Z56" t="s">
        <v>3219</v>
      </c>
      <c r="AA56" t="s">
        <v>3878</v>
      </c>
    </row>
    <row r="57" spans="1:27" x14ac:dyDescent="0.25">
      <c r="A57" s="7" t="s">
        <v>276</v>
      </c>
      <c r="B57" t="s">
        <v>277</v>
      </c>
      <c r="C57" s="6" t="s">
        <v>4091</v>
      </c>
      <c r="D57" s="7" t="str">
        <f t="shared" si="0"/>
        <v>NACE A - 03.22 Freshwater aquaculture</v>
      </c>
      <c r="E57" s="4" t="s">
        <v>278</v>
      </c>
      <c r="F57" t="s">
        <v>279</v>
      </c>
      <c r="G57" t="str">
        <f t="shared" si="1"/>
        <v>CW</v>
      </c>
      <c r="I57" t="s">
        <v>2708</v>
      </c>
      <c r="K57" t="s">
        <v>2827</v>
      </c>
      <c r="S57">
        <v>2055</v>
      </c>
      <c r="Z57" t="s">
        <v>3220</v>
      </c>
      <c r="AA57" t="s">
        <v>3879</v>
      </c>
    </row>
    <row r="58" spans="1:27" x14ac:dyDescent="0.25">
      <c r="A58" s="6" t="s">
        <v>280</v>
      </c>
      <c r="B58" t="s">
        <v>281</v>
      </c>
      <c r="C58" s="5" t="s">
        <v>4092</v>
      </c>
      <c r="D58" s="6" t="str">
        <f t="shared" si="0"/>
        <v>NACE A - 03.3 Support activities for fishing and aquaculture</v>
      </c>
      <c r="E58" s="4" t="s">
        <v>282</v>
      </c>
      <c r="F58" t="s">
        <v>283</v>
      </c>
      <c r="G58" t="str">
        <f t="shared" si="1"/>
        <v>CX</v>
      </c>
      <c r="I58" t="s">
        <v>4443</v>
      </c>
      <c r="K58" t="s">
        <v>2828</v>
      </c>
      <c r="S58">
        <v>2056</v>
      </c>
      <c r="Z58" t="s">
        <v>2761</v>
      </c>
      <c r="AA58" t="s">
        <v>3880</v>
      </c>
    </row>
    <row r="59" spans="1:27" x14ac:dyDescent="0.25">
      <c r="A59" s="7" t="s">
        <v>284</v>
      </c>
      <c r="B59" t="s">
        <v>285</v>
      </c>
      <c r="C59" s="6" t="s">
        <v>4093</v>
      </c>
      <c r="D59" s="7" t="str">
        <f t="shared" si="0"/>
        <v>NACE A - 03.30 Support activities for fishing and aquaculture</v>
      </c>
      <c r="E59" s="4" t="s">
        <v>286</v>
      </c>
      <c r="F59" t="s">
        <v>287</v>
      </c>
      <c r="G59" t="str">
        <f t="shared" si="1"/>
        <v>CY</v>
      </c>
      <c r="I59" t="s">
        <v>2707</v>
      </c>
      <c r="K59" t="s">
        <v>2829</v>
      </c>
      <c r="S59">
        <v>2057</v>
      </c>
      <c r="Z59" t="s">
        <v>3221</v>
      </c>
      <c r="AA59" t="s">
        <v>3881</v>
      </c>
    </row>
    <row r="60" spans="1:27" x14ac:dyDescent="0.25">
      <c r="A60" s="4" t="s">
        <v>288</v>
      </c>
      <c r="B60" t="s">
        <v>289</v>
      </c>
      <c r="C60" s="6" t="s">
        <v>4094</v>
      </c>
      <c r="D60" s="4" t="str">
        <f t="shared" si="0"/>
        <v>NACE B - MINING AND QUARRYING</v>
      </c>
      <c r="E60" s="4" t="s">
        <v>290</v>
      </c>
      <c r="F60" t="s">
        <v>291</v>
      </c>
      <c r="G60" t="str">
        <f t="shared" si="1"/>
        <v>CZ</v>
      </c>
      <c r="I60" t="s">
        <v>2706</v>
      </c>
      <c r="K60" t="s">
        <v>3183</v>
      </c>
      <c r="S60">
        <v>2058</v>
      </c>
      <c r="Z60" t="s">
        <v>2762</v>
      </c>
      <c r="AA60" t="s">
        <v>3882</v>
      </c>
    </row>
    <row r="61" spans="1:27" x14ac:dyDescent="0.25">
      <c r="A61" s="5" t="s">
        <v>292</v>
      </c>
      <c r="B61" t="s">
        <v>293</v>
      </c>
      <c r="C61" s="7" t="s">
        <v>4095</v>
      </c>
      <c r="D61" s="5" t="str">
        <f t="shared" si="0"/>
        <v>NACE B - 04 Mining of coal and lignite</v>
      </c>
      <c r="E61" s="4" t="s">
        <v>294</v>
      </c>
      <c r="F61" t="s">
        <v>295</v>
      </c>
      <c r="G61" t="str">
        <f t="shared" si="1"/>
        <v>DE</v>
      </c>
      <c r="I61" t="s">
        <v>2705</v>
      </c>
      <c r="K61" t="s">
        <v>2830</v>
      </c>
      <c r="S61">
        <v>2059</v>
      </c>
      <c r="Z61" t="s">
        <v>3222</v>
      </c>
      <c r="AA61" t="s">
        <v>3883</v>
      </c>
    </row>
    <row r="62" spans="1:27" x14ac:dyDescent="0.25">
      <c r="A62" s="6" t="s">
        <v>296</v>
      </c>
      <c r="B62" t="s">
        <v>297</v>
      </c>
      <c r="C62" s="5" t="s">
        <v>4096</v>
      </c>
      <c r="D62" s="6" t="str">
        <f t="shared" si="0"/>
        <v>NACE B - 05.1 Mining of hard coal</v>
      </c>
      <c r="E62" s="4" t="s">
        <v>298</v>
      </c>
      <c r="F62" t="s">
        <v>299</v>
      </c>
      <c r="G62" t="str">
        <f t="shared" si="1"/>
        <v>DJ</v>
      </c>
      <c r="I62" t="s">
        <v>2704</v>
      </c>
      <c r="K62" t="s">
        <v>2831</v>
      </c>
      <c r="S62">
        <v>2060</v>
      </c>
      <c r="Z62" t="s">
        <v>3223</v>
      </c>
      <c r="AA62" t="s">
        <v>3884</v>
      </c>
    </row>
    <row r="63" spans="1:27" x14ac:dyDescent="0.25">
      <c r="A63" s="7" t="s">
        <v>300</v>
      </c>
      <c r="B63" t="s">
        <v>301</v>
      </c>
      <c r="C63" s="6" t="s">
        <v>4097</v>
      </c>
      <c r="D63" s="7" t="str">
        <f t="shared" si="0"/>
        <v>NACE B - 05.10 Mining of hard coal</v>
      </c>
      <c r="E63" s="4" t="s">
        <v>302</v>
      </c>
      <c r="F63" t="s">
        <v>303</v>
      </c>
      <c r="G63" t="str">
        <f t="shared" si="1"/>
        <v>DK</v>
      </c>
      <c r="I63" t="s">
        <v>2703</v>
      </c>
      <c r="K63" t="s">
        <v>2832</v>
      </c>
      <c r="S63">
        <v>2061</v>
      </c>
      <c r="Z63" t="s">
        <v>3224</v>
      </c>
      <c r="AA63" t="s">
        <v>3885</v>
      </c>
    </row>
    <row r="64" spans="1:27" x14ac:dyDescent="0.25">
      <c r="A64" s="6" t="s">
        <v>304</v>
      </c>
      <c r="B64" t="s">
        <v>305</v>
      </c>
      <c r="C64" s="6" t="s">
        <v>4098</v>
      </c>
      <c r="D64" s="6" t="str">
        <f t="shared" si="0"/>
        <v>NACE B - 05.2 Mining of lignite</v>
      </c>
      <c r="E64" s="4" t="s">
        <v>306</v>
      </c>
      <c r="F64" t="s">
        <v>307</v>
      </c>
      <c r="G64" t="str">
        <f t="shared" si="1"/>
        <v>DM</v>
      </c>
      <c r="I64" t="s">
        <v>4444</v>
      </c>
      <c r="K64" t="s">
        <v>2833</v>
      </c>
      <c r="S64">
        <v>2062</v>
      </c>
      <c r="Z64" t="s">
        <v>3225</v>
      </c>
      <c r="AA64" t="s">
        <v>3886</v>
      </c>
    </row>
    <row r="65" spans="1:27" x14ac:dyDescent="0.25">
      <c r="A65" s="7" t="s">
        <v>308</v>
      </c>
      <c r="B65" t="s">
        <v>309</v>
      </c>
      <c r="C65" s="5" t="s">
        <v>4099</v>
      </c>
      <c r="D65" s="7" t="str">
        <f t="shared" si="0"/>
        <v>NACE B - 05.20 Mining of lignite</v>
      </c>
      <c r="E65" s="4" t="s">
        <v>310</v>
      </c>
      <c r="F65" t="s">
        <v>311</v>
      </c>
      <c r="G65" t="str">
        <f t="shared" si="1"/>
        <v>DO</v>
      </c>
      <c r="I65" t="s">
        <v>3801</v>
      </c>
      <c r="K65" t="s">
        <v>3184</v>
      </c>
      <c r="S65">
        <v>2063</v>
      </c>
      <c r="Z65" t="s">
        <v>3226</v>
      </c>
      <c r="AA65" t="s">
        <v>3887</v>
      </c>
    </row>
    <row r="66" spans="1:27" x14ac:dyDescent="0.25">
      <c r="A66" s="5" t="s">
        <v>312</v>
      </c>
      <c r="B66" t="s">
        <v>313</v>
      </c>
      <c r="C66" s="6" t="s">
        <v>4100</v>
      </c>
      <c r="D66" s="5" t="str">
        <f t="shared" ref="D66:D129" si="2">_xlfn.CONCAT("NACE ", A66)</f>
        <v>NACE B - 05 Extraction of crude petroleum and natural gas</v>
      </c>
      <c r="E66" s="4" t="s">
        <v>314</v>
      </c>
      <c r="F66" t="s">
        <v>315</v>
      </c>
      <c r="G66" t="str">
        <f t="shared" si="1"/>
        <v>DZ</v>
      </c>
      <c r="I66" t="s">
        <v>4445</v>
      </c>
      <c r="K66" t="s">
        <v>2834</v>
      </c>
      <c r="S66">
        <v>2064</v>
      </c>
      <c r="Z66" t="s">
        <v>3227</v>
      </c>
      <c r="AA66" t="s">
        <v>3888</v>
      </c>
    </row>
    <row r="67" spans="1:27" x14ac:dyDescent="0.25">
      <c r="A67" s="6" t="s">
        <v>316</v>
      </c>
      <c r="B67" t="s">
        <v>317</v>
      </c>
      <c r="C67" s="6" t="s">
        <v>4101</v>
      </c>
      <c r="D67" s="6" t="str">
        <f t="shared" si="2"/>
        <v>NACE B - 06.1 Extraction of crude petroleum</v>
      </c>
      <c r="E67" s="4" t="s">
        <v>318</v>
      </c>
      <c r="F67" t="s">
        <v>319</v>
      </c>
      <c r="G67" t="str">
        <f t="shared" ref="G67:G130" si="3">RIGHT(F67,2)</f>
        <v>EC</v>
      </c>
      <c r="I67" t="s">
        <v>2702</v>
      </c>
      <c r="K67" t="s">
        <v>2835</v>
      </c>
      <c r="S67">
        <v>2065</v>
      </c>
      <c r="Z67" t="s">
        <v>3228</v>
      </c>
      <c r="AA67" t="s">
        <v>3889</v>
      </c>
    </row>
    <row r="68" spans="1:27" x14ac:dyDescent="0.25">
      <c r="A68" s="7" t="s">
        <v>320</v>
      </c>
      <c r="B68" t="s">
        <v>321</v>
      </c>
      <c r="C68" s="5" t="s">
        <v>4102</v>
      </c>
      <c r="D68" s="7" t="str">
        <f t="shared" si="2"/>
        <v>NACE B - 06.10 Extraction of crude petroleum</v>
      </c>
      <c r="E68" s="4" t="s">
        <v>322</v>
      </c>
      <c r="F68" t="s">
        <v>323</v>
      </c>
      <c r="G68" t="str">
        <f t="shared" si="3"/>
        <v>EE</v>
      </c>
      <c r="I68" t="s">
        <v>2701</v>
      </c>
      <c r="K68" t="s">
        <v>2836</v>
      </c>
      <c r="S68">
        <v>2066</v>
      </c>
      <c r="Z68" t="s">
        <v>3229</v>
      </c>
      <c r="AA68" t="s">
        <v>3890</v>
      </c>
    </row>
    <row r="69" spans="1:27" x14ac:dyDescent="0.25">
      <c r="A69" s="6" t="s">
        <v>324</v>
      </c>
      <c r="B69" t="s">
        <v>325</v>
      </c>
      <c r="C69" s="6" t="s">
        <v>4103</v>
      </c>
      <c r="D69" s="6" t="str">
        <f t="shared" si="2"/>
        <v>NACE B - 06.2 Extraction of natural gas</v>
      </c>
      <c r="E69" s="4" t="s">
        <v>326</v>
      </c>
      <c r="F69" t="s">
        <v>327</v>
      </c>
      <c r="G69" t="str">
        <f t="shared" si="3"/>
        <v>EG</v>
      </c>
      <c r="I69" t="s">
        <v>2700</v>
      </c>
      <c r="K69" t="s">
        <v>2837</v>
      </c>
      <c r="S69">
        <v>2067</v>
      </c>
      <c r="Z69" t="s">
        <v>3230</v>
      </c>
      <c r="AA69" t="s">
        <v>3891</v>
      </c>
    </row>
    <row r="70" spans="1:27" x14ac:dyDescent="0.25">
      <c r="A70" s="7" t="s">
        <v>328</v>
      </c>
      <c r="B70" t="s">
        <v>329</v>
      </c>
      <c r="C70" s="6" t="s">
        <v>4104</v>
      </c>
      <c r="D70" s="7" t="str">
        <f t="shared" si="2"/>
        <v>NACE B - 06.20 Extraction of natural gas</v>
      </c>
      <c r="E70" s="4" t="s">
        <v>330</v>
      </c>
      <c r="F70" t="s">
        <v>331</v>
      </c>
      <c r="G70" t="str">
        <f t="shared" si="3"/>
        <v>EH</v>
      </c>
      <c r="I70" t="s">
        <v>2699</v>
      </c>
      <c r="K70" t="s">
        <v>2838</v>
      </c>
      <c r="S70">
        <v>2068</v>
      </c>
      <c r="Z70" t="s">
        <v>3231</v>
      </c>
      <c r="AA70" t="s">
        <v>3892</v>
      </c>
    </row>
    <row r="71" spans="1:27" x14ac:dyDescent="0.25">
      <c r="A71" s="5" t="s">
        <v>332</v>
      </c>
      <c r="B71" t="s">
        <v>333</v>
      </c>
      <c r="C71" s="5" t="s">
        <v>4105</v>
      </c>
      <c r="D71" s="5" t="str">
        <f t="shared" si="2"/>
        <v>NACE B - 06 Mining of metal ores</v>
      </c>
      <c r="E71" s="4" t="s">
        <v>334</v>
      </c>
      <c r="F71" t="s">
        <v>335</v>
      </c>
      <c r="G71" t="str">
        <f t="shared" si="3"/>
        <v>ER</v>
      </c>
      <c r="I71" t="s">
        <v>2698</v>
      </c>
      <c r="K71" t="s">
        <v>2839</v>
      </c>
      <c r="S71">
        <v>2069</v>
      </c>
      <c r="Z71" t="s">
        <v>3232</v>
      </c>
      <c r="AA71" t="s">
        <v>3893</v>
      </c>
    </row>
    <row r="72" spans="1:27" x14ac:dyDescent="0.25">
      <c r="A72" s="6" t="s">
        <v>336</v>
      </c>
      <c r="B72" t="s">
        <v>337</v>
      </c>
      <c r="C72" s="6" t="s">
        <v>4106</v>
      </c>
      <c r="D72" s="6" t="str">
        <f t="shared" si="2"/>
        <v>NACE B - 07.1 Mining of iron ores</v>
      </c>
      <c r="E72" s="4" t="s">
        <v>338</v>
      </c>
      <c r="F72" t="s">
        <v>339</v>
      </c>
      <c r="G72" t="str">
        <f t="shared" si="3"/>
        <v>ES</v>
      </c>
      <c r="I72" t="s">
        <v>4446</v>
      </c>
      <c r="K72" t="s">
        <v>2755</v>
      </c>
      <c r="S72">
        <v>2070</v>
      </c>
      <c r="Z72" t="s">
        <v>3233</v>
      </c>
      <c r="AA72" t="s">
        <v>3894</v>
      </c>
    </row>
    <row r="73" spans="1:27" x14ac:dyDescent="0.25">
      <c r="A73" s="7" t="s">
        <v>340</v>
      </c>
      <c r="B73" t="s">
        <v>341</v>
      </c>
      <c r="C73" s="6" t="s">
        <v>4107</v>
      </c>
      <c r="D73" s="7" t="str">
        <f t="shared" si="2"/>
        <v>NACE B - 07.10 Mining of iron ores</v>
      </c>
      <c r="E73" s="4" t="s">
        <v>342</v>
      </c>
      <c r="F73" t="s">
        <v>343</v>
      </c>
      <c r="G73" t="str">
        <f t="shared" si="3"/>
        <v>ET</v>
      </c>
      <c r="I73" t="s">
        <v>2697</v>
      </c>
      <c r="K73" t="s">
        <v>3185</v>
      </c>
      <c r="S73">
        <v>2071</v>
      </c>
      <c r="Z73" t="s">
        <v>3234</v>
      </c>
      <c r="AA73" t="s">
        <v>3895</v>
      </c>
    </row>
    <row r="74" spans="1:27" x14ac:dyDescent="0.25">
      <c r="A74" s="6" t="s">
        <v>344</v>
      </c>
      <c r="B74" t="s">
        <v>345</v>
      </c>
      <c r="C74" s="5" t="s">
        <v>4108</v>
      </c>
      <c r="D74" s="6" t="str">
        <f t="shared" si="2"/>
        <v>NACE B - 07.2 Mining of non-ferrous metal ores</v>
      </c>
      <c r="E74" s="4" t="s">
        <v>346</v>
      </c>
      <c r="F74" t="s">
        <v>347</v>
      </c>
      <c r="G74" t="str">
        <f t="shared" si="3"/>
        <v>FI</v>
      </c>
      <c r="I74" t="s">
        <v>2696</v>
      </c>
      <c r="K74" t="s">
        <v>3324</v>
      </c>
      <c r="S74">
        <v>2072</v>
      </c>
      <c r="Z74" t="s">
        <v>2763</v>
      </c>
      <c r="AA74" t="s">
        <v>3896</v>
      </c>
    </row>
    <row r="75" spans="1:27" x14ac:dyDescent="0.25">
      <c r="A75" s="7" t="s">
        <v>348</v>
      </c>
      <c r="B75" t="s">
        <v>349</v>
      </c>
      <c r="C75" s="6" t="s">
        <v>4109</v>
      </c>
      <c r="D75" s="7" t="str">
        <f t="shared" si="2"/>
        <v>NACE B - 07.21 Mining of uranium and thorium ores</v>
      </c>
      <c r="E75" s="4" t="s">
        <v>350</v>
      </c>
      <c r="F75" t="s">
        <v>351</v>
      </c>
      <c r="G75" t="str">
        <f t="shared" si="3"/>
        <v>FJ</v>
      </c>
      <c r="I75" t="s">
        <v>2695</v>
      </c>
      <c r="K75" t="s">
        <v>3325</v>
      </c>
      <c r="S75">
        <v>2073</v>
      </c>
      <c r="Z75" t="s">
        <v>3235</v>
      </c>
      <c r="AA75" t="s">
        <v>3897</v>
      </c>
    </row>
    <row r="76" spans="1:27" x14ac:dyDescent="0.25">
      <c r="A76" s="7" t="s">
        <v>352</v>
      </c>
      <c r="B76" t="s">
        <v>353</v>
      </c>
      <c r="C76" s="6" t="s">
        <v>4110</v>
      </c>
      <c r="D76" s="7" t="str">
        <f t="shared" si="2"/>
        <v>NACE B - 07.29 Mining of other non-ferrous metal ores</v>
      </c>
      <c r="E76" s="4" t="s">
        <v>354</v>
      </c>
      <c r="F76" t="s">
        <v>355</v>
      </c>
      <c r="G76" t="str">
        <f t="shared" si="3"/>
        <v>FK</v>
      </c>
      <c r="I76" t="s">
        <v>2694</v>
      </c>
      <c r="K76" t="s">
        <v>3326</v>
      </c>
      <c r="S76">
        <v>2074</v>
      </c>
      <c r="Z76" t="s">
        <v>3236</v>
      </c>
      <c r="AA76" t="s">
        <v>3898</v>
      </c>
    </row>
    <row r="77" spans="1:27" x14ac:dyDescent="0.25">
      <c r="A77" s="5" t="s">
        <v>356</v>
      </c>
      <c r="B77" t="s">
        <v>357</v>
      </c>
      <c r="C77" s="6" t="s">
        <v>4111</v>
      </c>
      <c r="D77" s="5" t="str">
        <f t="shared" si="2"/>
        <v>NACE B - 07 Other mining and quarrying</v>
      </c>
      <c r="E77" s="4" t="s">
        <v>358</v>
      </c>
      <c r="F77" t="s">
        <v>359</v>
      </c>
      <c r="G77" t="str">
        <f t="shared" si="3"/>
        <v>FM</v>
      </c>
      <c r="I77" t="s">
        <v>2693</v>
      </c>
      <c r="K77" t="s">
        <v>3327</v>
      </c>
      <c r="S77">
        <v>2075</v>
      </c>
      <c r="Z77" t="s">
        <v>3237</v>
      </c>
      <c r="AA77" t="s">
        <v>3899</v>
      </c>
    </row>
    <row r="78" spans="1:27" x14ac:dyDescent="0.25">
      <c r="A78" s="6" t="s">
        <v>360</v>
      </c>
      <c r="B78" t="s">
        <v>361</v>
      </c>
      <c r="C78" s="6" t="s">
        <v>4112</v>
      </c>
      <c r="D78" s="6" t="str">
        <f t="shared" si="2"/>
        <v>NACE B - 08.1 Quarrying of stone, sand and clay</v>
      </c>
      <c r="E78" s="4" t="s">
        <v>362</v>
      </c>
      <c r="F78" t="s">
        <v>363</v>
      </c>
      <c r="G78" t="str">
        <f t="shared" si="3"/>
        <v>FO</v>
      </c>
      <c r="I78" t="s">
        <v>2692</v>
      </c>
      <c r="K78" t="s">
        <v>3186</v>
      </c>
      <c r="S78">
        <v>2076</v>
      </c>
      <c r="Z78" t="s">
        <v>3238</v>
      </c>
      <c r="AA78" t="s">
        <v>3900</v>
      </c>
    </row>
    <row r="79" spans="1:27" x14ac:dyDescent="0.25">
      <c r="A79" s="7" t="s">
        <v>364</v>
      </c>
      <c r="B79" t="s">
        <v>365</v>
      </c>
      <c r="C79" s="6" t="s">
        <v>4113</v>
      </c>
      <c r="D79" s="7" t="str">
        <f t="shared" si="2"/>
        <v>NACE B - 08.11 Quarrying of ornamental stone, limestone, gypsum, slate and other stone</v>
      </c>
      <c r="E79" s="4" t="s">
        <v>366</v>
      </c>
      <c r="F79" t="s">
        <v>367</v>
      </c>
      <c r="G79" t="str">
        <f t="shared" si="3"/>
        <v>FR</v>
      </c>
      <c r="I79" t="s">
        <v>2691</v>
      </c>
      <c r="K79" t="s">
        <v>2840</v>
      </c>
      <c r="S79">
        <v>2077</v>
      </c>
      <c r="Z79" t="s">
        <v>2764</v>
      </c>
      <c r="AA79" t="s">
        <v>3901</v>
      </c>
    </row>
    <row r="80" spans="1:27" x14ac:dyDescent="0.25">
      <c r="A80" s="7" t="s">
        <v>368</v>
      </c>
      <c r="B80" t="s">
        <v>369</v>
      </c>
      <c r="C80" s="6" t="s">
        <v>4114</v>
      </c>
      <c r="D80" s="7" t="str">
        <f t="shared" si="2"/>
        <v>NACE B - 08.12 Operation of gravel and sand pits and mining of clay and kaolin</v>
      </c>
      <c r="E80" s="4" t="s">
        <v>370</v>
      </c>
      <c r="F80" t="s">
        <v>371</v>
      </c>
      <c r="G80" t="str">
        <f t="shared" si="3"/>
        <v>GA</v>
      </c>
      <c r="I80" t="s">
        <v>4454</v>
      </c>
      <c r="K80" t="s">
        <v>2841</v>
      </c>
      <c r="S80">
        <v>2078</v>
      </c>
      <c r="Z80" t="s">
        <v>3239</v>
      </c>
      <c r="AA80" t="s">
        <v>3902</v>
      </c>
    </row>
    <row r="81" spans="1:27" x14ac:dyDescent="0.25">
      <c r="A81" s="6" t="s">
        <v>372</v>
      </c>
      <c r="B81" t="s">
        <v>373</v>
      </c>
      <c r="C81" s="5" t="s">
        <v>4115</v>
      </c>
      <c r="D81" s="6" t="str">
        <f t="shared" si="2"/>
        <v>NACE B - 08.9 Mining and quarrying n.e.c.</v>
      </c>
      <c r="E81" s="4" t="s">
        <v>374</v>
      </c>
      <c r="F81" t="s">
        <v>375</v>
      </c>
      <c r="G81" t="str">
        <f t="shared" si="3"/>
        <v>GB</v>
      </c>
      <c r="I81" t="s">
        <v>2690</v>
      </c>
      <c r="K81" t="s">
        <v>2842</v>
      </c>
      <c r="S81">
        <v>2079</v>
      </c>
      <c r="Z81" t="s">
        <v>3240</v>
      </c>
      <c r="AA81" t="s">
        <v>3903</v>
      </c>
    </row>
    <row r="82" spans="1:27" x14ac:dyDescent="0.25">
      <c r="A82" s="7" t="s">
        <v>376</v>
      </c>
      <c r="B82" t="s">
        <v>377</v>
      </c>
      <c r="C82" s="6" t="s">
        <v>4116</v>
      </c>
      <c r="D82" s="7" t="str">
        <f t="shared" si="2"/>
        <v>NACE B - 08.91 Mining of chemical and fertiliser minerals</v>
      </c>
      <c r="E82" s="4" t="s">
        <v>378</v>
      </c>
      <c r="F82" t="s">
        <v>379</v>
      </c>
      <c r="G82" t="str">
        <f t="shared" si="3"/>
        <v>GD</v>
      </c>
      <c r="I82" t="s">
        <v>2689</v>
      </c>
      <c r="K82" t="s">
        <v>2843</v>
      </c>
      <c r="S82">
        <v>2080</v>
      </c>
      <c r="Z82" t="s">
        <v>3241</v>
      </c>
      <c r="AA82" t="s">
        <v>3904</v>
      </c>
    </row>
    <row r="83" spans="1:27" x14ac:dyDescent="0.25">
      <c r="A83" s="7" t="s">
        <v>380</v>
      </c>
      <c r="B83" t="s">
        <v>381</v>
      </c>
      <c r="C83" s="6" t="s">
        <v>4117</v>
      </c>
      <c r="D83" s="7" t="str">
        <f t="shared" si="2"/>
        <v>NACE B - 08.92 Extraction of peat</v>
      </c>
      <c r="E83" s="4" t="s">
        <v>382</v>
      </c>
      <c r="F83" t="s">
        <v>383</v>
      </c>
      <c r="G83" t="str">
        <f t="shared" si="3"/>
        <v>GE</v>
      </c>
      <c r="I83" t="s">
        <v>4447</v>
      </c>
      <c r="K83" t="s">
        <v>3187</v>
      </c>
      <c r="S83">
        <v>2081</v>
      </c>
      <c r="Z83" t="s">
        <v>2765</v>
      </c>
      <c r="AA83" t="s">
        <v>3905</v>
      </c>
    </row>
    <row r="84" spans="1:27" x14ac:dyDescent="0.25">
      <c r="A84" s="7" t="s">
        <v>384</v>
      </c>
      <c r="B84" t="s">
        <v>385</v>
      </c>
      <c r="C84" s="5" t="s">
        <v>4118</v>
      </c>
      <c r="D84" s="7" t="str">
        <f t="shared" si="2"/>
        <v>NACE B - 08.93 Extraction of salt</v>
      </c>
      <c r="E84" s="4" t="s">
        <v>386</v>
      </c>
      <c r="F84" t="s">
        <v>387</v>
      </c>
      <c r="G84" t="str">
        <f t="shared" si="3"/>
        <v>GF</v>
      </c>
      <c r="I84" t="s">
        <v>2688</v>
      </c>
      <c r="K84" t="s">
        <v>2844</v>
      </c>
      <c r="S84">
        <v>2082</v>
      </c>
      <c r="Z84" t="s">
        <v>3242</v>
      </c>
      <c r="AA84" t="s">
        <v>3906</v>
      </c>
    </row>
    <row r="85" spans="1:27" x14ac:dyDescent="0.25">
      <c r="A85" s="7" t="s">
        <v>388</v>
      </c>
      <c r="B85" t="s">
        <v>389</v>
      </c>
      <c r="C85" s="6" t="s">
        <v>4119</v>
      </c>
      <c r="D85" s="7" t="str">
        <f t="shared" si="2"/>
        <v>NACE B - 08.99 Other mining and quarrying n.e.c.</v>
      </c>
      <c r="E85" s="4" t="s">
        <v>390</v>
      </c>
      <c r="F85" t="s">
        <v>391</v>
      </c>
      <c r="G85" t="str">
        <f t="shared" si="3"/>
        <v>GG</v>
      </c>
      <c r="I85" t="s">
        <v>2687</v>
      </c>
      <c r="K85" t="s">
        <v>2845</v>
      </c>
      <c r="S85">
        <v>2083</v>
      </c>
      <c r="Z85" t="s">
        <v>3243</v>
      </c>
      <c r="AA85" t="s">
        <v>3907</v>
      </c>
    </row>
    <row r="86" spans="1:27" x14ac:dyDescent="0.25">
      <c r="A86" s="5" t="s">
        <v>392</v>
      </c>
      <c r="B86" t="s">
        <v>393</v>
      </c>
      <c r="C86" s="6" t="s">
        <v>4120</v>
      </c>
      <c r="D86" s="5" t="str">
        <f t="shared" si="2"/>
        <v>NACE B - 08 Mining support service activities</v>
      </c>
      <c r="E86" s="4" t="s">
        <v>394</v>
      </c>
      <c r="F86" t="s">
        <v>395</v>
      </c>
      <c r="G86" t="str">
        <f t="shared" si="3"/>
        <v>GH</v>
      </c>
      <c r="I86" t="s">
        <v>2686</v>
      </c>
      <c r="K86" t="s">
        <v>2846</v>
      </c>
      <c r="S86">
        <v>2084</v>
      </c>
      <c r="Z86" t="s">
        <v>3244</v>
      </c>
      <c r="AA86" t="s">
        <v>3908</v>
      </c>
    </row>
    <row r="87" spans="1:27" x14ac:dyDescent="0.25">
      <c r="A87" s="6" t="s">
        <v>396</v>
      </c>
      <c r="B87" t="s">
        <v>397</v>
      </c>
      <c r="C87" s="5" t="s">
        <v>4121</v>
      </c>
      <c r="D87" s="6" t="str">
        <f t="shared" si="2"/>
        <v>NACE B - 09.1 Support activities for petroleum and natural gas extraction</v>
      </c>
      <c r="E87" s="4" t="s">
        <v>398</v>
      </c>
      <c r="F87" t="s">
        <v>399</v>
      </c>
      <c r="G87" t="str">
        <f t="shared" si="3"/>
        <v>GI</v>
      </c>
      <c r="I87" t="s">
        <v>2685</v>
      </c>
      <c r="K87" t="s">
        <v>2847</v>
      </c>
      <c r="S87">
        <v>2085</v>
      </c>
      <c r="Z87" t="s">
        <v>3245</v>
      </c>
      <c r="AA87" t="s">
        <v>3909</v>
      </c>
    </row>
    <row r="88" spans="1:27" x14ac:dyDescent="0.25">
      <c r="A88" s="7" t="s">
        <v>400</v>
      </c>
      <c r="B88" t="s">
        <v>401</v>
      </c>
      <c r="C88" s="6" t="s">
        <v>4122</v>
      </c>
      <c r="D88" s="7" t="str">
        <f t="shared" si="2"/>
        <v>NACE B - 09.10 Support activities for petroleum and natural gas extraction</v>
      </c>
      <c r="E88" s="4" t="s">
        <v>402</v>
      </c>
      <c r="F88" t="s">
        <v>403</v>
      </c>
      <c r="G88" t="str">
        <f t="shared" si="3"/>
        <v>GL</v>
      </c>
      <c r="I88" t="s">
        <v>4455</v>
      </c>
      <c r="K88" t="s">
        <v>2848</v>
      </c>
      <c r="S88">
        <v>2086</v>
      </c>
      <c r="Z88" t="s">
        <v>3246</v>
      </c>
      <c r="AA88" t="s">
        <v>3910</v>
      </c>
    </row>
    <row r="89" spans="1:27" x14ac:dyDescent="0.25">
      <c r="A89" s="6" t="s">
        <v>404</v>
      </c>
      <c r="B89" t="s">
        <v>405</v>
      </c>
      <c r="C89" s="6" t="s">
        <v>4123</v>
      </c>
      <c r="D89" s="6" t="str">
        <f t="shared" si="2"/>
        <v>NACE B - 09.9 Support activities for other mining and quarrying</v>
      </c>
      <c r="E89" s="4" t="s">
        <v>406</v>
      </c>
      <c r="F89" t="s">
        <v>407</v>
      </c>
      <c r="G89" t="str">
        <f t="shared" si="3"/>
        <v>GM</v>
      </c>
      <c r="I89" t="s">
        <v>2684</v>
      </c>
      <c r="K89" t="s">
        <v>2849</v>
      </c>
      <c r="S89">
        <v>2087</v>
      </c>
      <c r="Z89" t="s">
        <v>3247</v>
      </c>
      <c r="AA89" t="s">
        <v>3911</v>
      </c>
    </row>
    <row r="90" spans="1:27" x14ac:dyDescent="0.25">
      <c r="A90" s="7" t="s">
        <v>408</v>
      </c>
      <c r="B90" t="s">
        <v>409</v>
      </c>
      <c r="C90" s="6" t="s">
        <v>4124</v>
      </c>
      <c r="D90" s="7" t="str">
        <f t="shared" si="2"/>
        <v>NACE B - 09.90 Support activities for other mining and quarrying</v>
      </c>
      <c r="E90" s="4" t="s">
        <v>410</v>
      </c>
      <c r="F90" t="s">
        <v>411</v>
      </c>
      <c r="G90" t="str">
        <f t="shared" si="3"/>
        <v>GN</v>
      </c>
      <c r="I90" t="s">
        <v>2683</v>
      </c>
      <c r="K90" t="s">
        <v>2850</v>
      </c>
      <c r="S90">
        <v>2088</v>
      </c>
      <c r="Z90" t="s">
        <v>3530</v>
      </c>
      <c r="AA90" t="s">
        <v>3912</v>
      </c>
    </row>
    <row r="91" spans="1:27" x14ac:dyDescent="0.25">
      <c r="A91" s="4" t="s">
        <v>412</v>
      </c>
      <c r="B91" t="s">
        <v>413</v>
      </c>
      <c r="C91" s="6" t="s">
        <v>4125</v>
      </c>
      <c r="D91" s="4" t="str">
        <f t="shared" si="2"/>
        <v>NACE C - MANUFACTURING</v>
      </c>
      <c r="E91" s="4" t="s">
        <v>414</v>
      </c>
      <c r="F91" t="s">
        <v>415</v>
      </c>
      <c r="G91" t="str">
        <f t="shared" si="3"/>
        <v>GP</v>
      </c>
      <c r="I91" t="s">
        <v>2682</v>
      </c>
      <c r="K91" t="s">
        <v>2851</v>
      </c>
      <c r="S91">
        <v>2089</v>
      </c>
      <c r="Z91" t="s">
        <v>3248</v>
      </c>
      <c r="AA91" t="s">
        <v>3913</v>
      </c>
    </row>
    <row r="92" spans="1:27" x14ac:dyDescent="0.25">
      <c r="A92" s="5" t="s">
        <v>416</v>
      </c>
      <c r="B92" t="s">
        <v>417</v>
      </c>
      <c r="C92" s="6" t="s">
        <v>4126</v>
      </c>
      <c r="D92" s="5" t="str">
        <f t="shared" si="2"/>
        <v>NACE C - 10 Manufacture of food products</v>
      </c>
      <c r="E92" s="4" t="s">
        <v>418</v>
      </c>
      <c r="F92" t="s">
        <v>419</v>
      </c>
      <c r="G92" t="str">
        <f t="shared" si="3"/>
        <v>GQ</v>
      </c>
      <c r="I92" t="s">
        <v>2681</v>
      </c>
      <c r="K92" t="s">
        <v>2756</v>
      </c>
      <c r="S92">
        <v>2090</v>
      </c>
      <c r="Z92" t="s">
        <v>3249</v>
      </c>
      <c r="AA92" t="s">
        <v>3914</v>
      </c>
    </row>
    <row r="93" spans="1:27" x14ac:dyDescent="0.25">
      <c r="A93" s="6" t="s">
        <v>420</v>
      </c>
      <c r="B93" t="s">
        <v>421</v>
      </c>
      <c r="C93" s="6" t="s">
        <v>4127</v>
      </c>
      <c r="D93" s="6" t="str">
        <f t="shared" si="2"/>
        <v>NACE C - 10.1 Processing and preserving of meat and production of meat products</v>
      </c>
      <c r="E93" s="4" t="s">
        <v>422</v>
      </c>
      <c r="F93" t="s">
        <v>423</v>
      </c>
      <c r="G93" t="str">
        <f t="shared" si="3"/>
        <v>GR</v>
      </c>
      <c r="I93" t="s">
        <v>2680</v>
      </c>
      <c r="K93" t="s">
        <v>3188</v>
      </c>
      <c r="S93">
        <v>2091</v>
      </c>
      <c r="Z93" t="s">
        <v>3250</v>
      </c>
      <c r="AA93" t="s">
        <v>3915</v>
      </c>
    </row>
    <row r="94" spans="1:27" x14ac:dyDescent="0.25">
      <c r="A94" s="7" t="s">
        <v>424</v>
      </c>
      <c r="B94" t="s">
        <v>425</v>
      </c>
      <c r="C94" s="6" t="s">
        <v>4128</v>
      </c>
      <c r="D94" s="7" t="str">
        <f t="shared" si="2"/>
        <v>NACE C - 10.11 Processing and preserving of meat, except of poultry meat</v>
      </c>
      <c r="E94" s="4" t="s">
        <v>426</v>
      </c>
      <c r="F94" t="s">
        <v>427</v>
      </c>
      <c r="G94" t="str">
        <f t="shared" si="3"/>
        <v>GS</v>
      </c>
      <c r="I94" t="s">
        <v>2679</v>
      </c>
      <c r="K94" t="s">
        <v>2852</v>
      </c>
      <c r="S94">
        <v>2092</v>
      </c>
      <c r="Z94" t="s">
        <v>3251</v>
      </c>
      <c r="AA94" t="s">
        <v>3916</v>
      </c>
    </row>
    <row r="95" spans="1:27" x14ac:dyDescent="0.25">
      <c r="A95" s="7" t="s">
        <v>428</v>
      </c>
      <c r="B95" t="s">
        <v>429</v>
      </c>
      <c r="C95" s="6" t="s">
        <v>4129</v>
      </c>
      <c r="D95" s="7" t="str">
        <f t="shared" si="2"/>
        <v>NACE C - 10.12 Processing and preserving of poultry meat</v>
      </c>
      <c r="E95" s="4" t="s">
        <v>430</v>
      </c>
      <c r="F95" t="s">
        <v>431</v>
      </c>
      <c r="G95" t="str">
        <f t="shared" si="3"/>
        <v>GT</v>
      </c>
      <c r="I95" t="s">
        <v>4448</v>
      </c>
      <c r="K95" t="s">
        <v>2853</v>
      </c>
      <c r="S95">
        <v>2093</v>
      </c>
      <c r="Z95" t="s">
        <v>3252</v>
      </c>
      <c r="AA95" t="s">
        <v>3917</v>
      </c>
    </row>
    <row r="96" spans="1:27" x14ac:dyDescent="0.25">
      <c r="A96" s="7" t="s">
        <v>432</v>
      </c>
      <c r="B96" t="s">
        <v>433</v>
      </c>
      <c r="C96" s="5" t="s">
        <v>4130</v>
      </c>
      <c r="D96" s="7" t="str">
        <f t="shared" si="2"/>
        <v>NACE C - 10.13 Production of meat and poultry meat products</v>
      </c>
      <c r="E96" s="4" t="s">
        <v>434</v>
      </c>
      <c r="F96" t="s">
        <v>435</v>
      </c>
      <c r="G96" t="str">
        <f t="shared" si="3"/>
        <v>GU</v>
      </c>
      <c r="K96" t="s">
        <v>3328</v>
      </c>
      <c r="S96">
        <v>2094</v>
      </c>
      <c r="Z96" t="s">
        <v>2766</v>
      </c>
      <c r="AA96" t="s">
        <v>3918</v>
      </c>
    </row>
    <row r="97" spans="1:27" x14ac:dyDescent="0.25">
      <c r="A97" s="6" t="s">
        <v>436</v>
      </c>
      <c r="B97" t="s">
        <v>437</v>
      </c>
      <c r="C97" s="6" t="s">
        <v>4131</v>
      </c>
      <c r="D97" s="6" t="str">
        <f t="shared" si="2"/>
        <v>NACE C - 10.2 Processing and preserving of fish, crustaceans and molluscs</v>
      </c>
      <c r="E97" s="4" t="s">
        <v>438</v>
      </c>
      <c r="F97" t="s">
        <v>439</v>
      </c>
      <c r="G97" t="str">
        <f t="shared" si="3"/>
        <v>GW</v>
      </c>
      <c r="K97" t="s">
        <v>2854</v>
      </c>
      <c r="S97">
        <v>2095</v>
      </c>
      <c r="Z97" t="s">
        <v>3253</v>
      </c>
      <c r="AA97" t="s">
        <v>3919</v>
      </c>
    </row>
    <row r="98" spans="1:27" x14ac:dyDescent="0.25">
      <c r="A98" s="7" t="s">
        <v>440</v>
      </c>
      <c r="B98" t="s">
        <v>441</v>
      </c>
      <c r="C98" s="6" t="s">
        <v>4132</v>
      </c>
      <c r="D98" s="7" t="str">
        <f t="shared" si="2"/>
        <v>NACE C - 10.20 Processing and preserving of fish, crustaceans and molluscs</v>
      </c>
      <c r="E98" s="4" t="s">
        <v>442</v>
      </c>
      <c r="F98" t="s">
        <v>443</v>
      </c>
      <c r="G98" t="str">
        <f t="shared" si="3"/>
        <v>GY</v>
      </c>
      <c r="K98" t="s">
        <v>2855</v>
      </c>
      <c r="S98">
        <v>2096</v>
      </c>
      <c r="Z98" t="s">
        <v>3254</v>
      </c>
      <c r="AA98" t="s">
        <v>3920</v>
      </c>
    </row>
    <row r="99" spans="1:27" x14ac:dyDescent="0.25">
      <c r="A99" s="6" t="s">
        <v>444</v>
      </c>
      <c r="B99" t="s">
        <v>445</v>
      </c>
      <c r="C99" s="6" t="s">
        <v>4133</v>
      </c>
      <c r="D99" s="6" t="str">
        <f t="shared" si="2"/>
        <v>NACE C - 10.3 Processing and preserving of fruit and vegetables</v>
      </c>
      <c r="E99" s="4" t="s">
        <v>446</v>
      </c>
      <c r="F99" t="s">
        <v>447</v>
      </c>
      <c r="G99" t="str">
        <f t="shared" si="3"/>
        <v>HK</v>
      </c>
      <c r="K99" t="s">
        <v>2856</v>
      </c>
      <c r="S99">
        <v>2097</v>
      </c>
      <c r="Z99" t="s">
        <v>2767</v>
      </c>
      <c r="AA99" t="s">
        <v>3921</v>
      </c>
    </row>
    <row r="100" spans="1:27" x14ac:dyDescent="0.25">
      <c r="A100" s="7" t="s">
        <v>448</v>
      </c>
      <c r="B100" t="s">
        <v>449</v>
      </c>
      <c r="C100" s="6" t="s">
        <v>4134</v>
      </c>
      <c r="D100" s="7" t="str">
        <f t="shared" si="2"/>
        <v>NACE C - 10.31 Processing and preserving of potatoes</v>
      </c>
      <c r="E100" s="4" t="s">
        <v>450</v>
      </c>
      <c r="F100" t="s">
        <v>451</v>
      </c>
      <c r="G100" t="str">
        <f t="shared" si="3"/>
        <v>HM</v>
      </c>
      <c r="K100" t="s">
        <v>2857</v>
      </c>
      <c r="S100">
        <v>2098</v>
      </c>
      <c r="Z100" t="s">
        <v>3255</v>
      </c>
      <c r="AA100" t="s">
        <v>3922</v>
      </c>
    </row>
    <row r="101" spans="1:27" x14ac:dyDescent="0.25">
      <c r="A101" s="7" t="s">
        <v>452</v>
      </c>
      <c r="B101" t="s">
        <v>453</v>
      </c>
      <c r="C101" s="6" t="s">
        <v>4135</v>
      </c>
      <c r="D101" s="7" t="str">
        <f t="shared" si="2"/>
        <v>NACE C - 10.32 Manufacture of fruit and vegetable juice</v>
      </c>
      <c r="E101" s="4" t="s">
        <v>454</v>
      </c>
      <c r="F101" t="s">
        <v>455</v>
      </c>
      <c r="G101" t="str">
        <f t="shared" si="3"/>
        <v>HN</v>
      </c>
      <c r="K101" t="s">
        <v>2858</v>
      </c>
      <c r="S101">
        <v>2099</v>
      </c>
      <c r="Z101" t="s">
        <v>3256</v>
      </c>
      <c r="AA101" t="s">
        <v>3923</v>
      </c>
    </row>
    <row r="102" spans="1:27" x14ac:dyDescent="0.25">
      <c r="A102" s="7" t="s">
        <v>456</v>
      </c>
      <c r="B102" t="s">
        <v>457</v>
      </c>
      <c r="C102" s="5" t="s">
        <v>4136</v>
      </c>
      <c r="D102" s="7" t="str">
        <f t="shared" si="2"/>
        <v>NACE C - 10.39 Other processing and preserving of fruit and vegetables</v>
      </c>
      <c r="E102" s="4" t="s">
        <v>458</v>
      </c>
      <c r="F102" t="s">
        <v>459</v>
      </c>
      <c r="G102" t="str">
        <f t="shared" si="3"/>
        <v>HR</v>
      </c>
      <c r="K102" t="s">
        <v>2859</v>
      </c>
      <c r="S102">
        <v>2100</v>
      </c>
      <c r="Z102" t="s">
        <v>3257</v>
      </c>
      <c r="AA102" t="s">
        <v>3924</v>
      </c>
    </row>
    <row r="103" spans="1:27" x14ac:dyDescent="0.25">
      <c r="A103" s="6" t="s">
        <v>460</v>
      </c>
      <c r="B103" t="s">
        <v>461</v>
      </c>
      <c r="C103" s="6" t="s">
        <v>4137</v>
      </c>
      <c r="D103" s="6" t="str">
        <f t="shared" si="2"/>
        <v>NACE C - 10.4 Manufacture of vegetable and animal oils and fats</v>
      </c>
      <c r="E103" s="4" t="s">
        <v>462</v>
      </c>
      <c r="F103" t="s">
        <v>463</v>
      </c>
      <c r="G103" t="str">
        <f t="shared" si="3"/>
        <v>HT</v>
      </c>
      <c r="K103" t="s">
        <v>2860</v>
      </c>
      <c r="Z103" t="s">
        <v>3258</v>
      </c>
      <c r="AA103" t="s">
        <v>3925</v>
      </c>
    </row>
    <row r="104" spans="1:27" x14ac:dyDescent="0.25">
      <c r="A104" s="7" t="s">
        <v>464</v>
      </c>
      <c r="B104" t="s">
        <v>465</v>
      </c>
      <c r="C104" s="6" t="s">
        <v>4138</v>
      </c>
      <c r="D104" s="7" t="str">
        <f t="shared" si="2"/>
        <v>NACE C - 10.41 Manufacture of oils and fats</v>
      </c>
      <c r="E104" s="4" t="s">
        <v>466</v>
      </c>
      <c r="F104" t="s">
        <v>467</v>
      </c>
      <c r="G104" t="str">
        <f t="shared" si="3"/>
        <v>HU</v>
      </c>
      <c r="K104" t="s">
        <v>3189</v>
      </c>
      <c r="Z104" t="s">
        <v>3259</v>
      </c>
      <c r="AA104" t="s">
        <v>3926</v>
      </c>
    </row>
    <row r="105" spans="1:27" x14ac:dyDescent="0.25">
      <c r="A105" s="7" t="s">
        <v>468</v>
      </c>
      <c r="B105" t="s">
        <v>469</v>
      </c>
      <c r="C105" s="6" t="s">
        <v>4139</v>
      </c>
      <c r="D105" s="7" t="str">
        <f t="shared" si="2"/>
        <v>NACE C - 10.42 Manufacture of margarine and similar edible fats</v>
      </c>
      <c r="E105" s="4" t="s">
        <v>470</v>
      </c>
      <c r="F105" t="s">
        <v>471</v>
      </c>
      <c r="G105" t="str">
        <f t="shared" si="3"/>
        <v>ID</v>
      </c>
      <c r="K105" t="s">
        <v>2861</v>
      </c>
      <c r="Z105" t="s">
        <v>3260</v>
      </c>
      <c r="AA105" t="s">
        <v>3927</v>
      </c>
    </row>
    <row r="106" spans="1:27" x14ac:dyDescent="0.25">
      <c r="A106" s="6" t="s">
        <v>472</v>
      </c>
      <c r="B106" t="s">
        <v>473</v>
      </c>
      <c r="C106" s="6" t="s">
        <v>4140</v>
      </c>
      <c r="D106" s="6" t="str">
        <f t="shared" si="2"/>
        <v>NACE C - 10.5 Manufacture of dairy products and edible ice</v>
      </c>
      <c r="E106" s="4" t="s">
        <v>474</v>
      </c>
      <c r="F106" t="s">
        <v>475</v>
      </c>
      <c r="G106" t="str">
        <f t="shared" si="3"/>
        <v>IE</v>
      </c>
      <c r="K106" t="s">
        <v>2862</v>
      </c>
      <c r="Z106" t="s">
        <v>3261</v>
      </c>
      <c r="AA106" t="s">
        <v>3928</v>
      </c>
    </row>
    <row r="107" spans="1:27" x14ac:dyDescent="0.25">
      <c r="A107" s="7" t="s">
        <v>476</v>
      </c>
      <c r="B107" t="s">
        <v>477</v>
      </c>
      <c r="C107" s="6" t="s">
        <v>4141</v>
      </c>
      <c r="D107" s="7" t="str">
        <f t="shared" si="2"/>
        <v>NACE C - 10.51 Manufacture of dairy products</v>
      </c>
      <c r="E107" s="4" t="s">
        <v>478</v>
      </c>
      <c r="F107" t="s">
        <v>479</v>
      </c>
      <c r="G107" t="str">
        <f t="shared" si="3"/>
        <v>IL</v>
      </c>
      <c r="K107" t="s">
        <v>2863</v>
      </c>
      <c r="Z107" t="s">
        <v>3262</v>
      </c>
      <c r="AA107" t="s">
        <v>3929</v>
      </c>
    </row>
    <row r="108" spans="1:27" x14ac:dyDescent="0.25">
      <c r="A108" s="7" t="s">
        <v>480</v>
      </c>
      <c r="B108" t="s">
        <v>481</v>
      </c>
      <c r="C108" s="6" t="s">
        <v>4142</v>
      </c>
      <c r="D108" s="7" t="str">
        <f t="shared" si="2"/>
        <v>NACE C - 10.52 Manufacture of ice cream and other edible ice</v>
      </c>
      <c r="E108" s="4" t="s">
        <v>482</v>
      </c>
      <c r="F108" t="s">
        <v>483</v>
      </c>
      <c r="G108" t="str">
        <f t="shared" si="3"/>
        <v>IM</v>
      </c>
      <c r="K108" t="s">
        <v>2864</v>
      </c>
      <c r="Z108" t="s">
        <v>2768</v>
      </c>
      <c r="AA108" t="s">
        <v>3930</v>
      </c>
    </row>
    <row r="109" spans="1:27" x14ac:dyDescent="0.25">
      <c r="A109" s="6" t="s">
        <v>484</v>
      </c>
      <c r="B109" t="s">
        <v>485</v>
      </c>
      <c r="C109" s="6" t="s">
        <v>4143</v>
      </c>
      <c r="D109" s="6" t="str">
        <f t="shared" si="2"/>
        <v>NACE C - 10.6 Manufacture of grain mill products, starches and starch products</v>
      </c>
      <c r="E109" s="4" t="s">
        <v>486</v>
      </c>
      <c r="F109" t="s">
        <v>487</v>
      </c>
      <c r="G109" t="str">
        <f t="shared" si="3"/>
        <v>IN</v>
      </c>
      <c r="K109" t="s">
        <v>2865</v>
      </c>
      <c r="Z109" t="s">
        <v>3263</v>
      </c>
      <c r="AA109" t="s">
        <v>3931</v>
      </c>
    </row>
    <row r="110" spans="1:27" x14ac:dyDescent="0.25">
      <c r="A110" s="7" t="s">
        <v>488</v>
      </c>
      <c r="B110" t="s">
        <v>489</v>
      </c>
      <c r="C110" s="5" t="s">
        <v>4144</v>
      </c>
      <c r="D110" s="7" t="str">
        <f t="shared" si="2"/>
        <v>NACE C - 10.61 Manufacture of grain mill products</v>
      </c>
      <c r="E110" s="4" t="s">
        <v>490</v>
      </c>
      <c r="F110" t="s">
        <v>491</v>
      </c>
      <c r="G110" t="str">
        <f t="shared" si="3"/>
        <v>IO</v>
      </c>
      <c r="K110" t="s">
        <v>2866</v>
      </c>
      <c r="Z110" t="s">
        <v>3264</v>
      </c>
      <c r="AA110" t="s">
        <v>3932</v>
      </c>
    </row>
    <row r="111" spans="1:27" x14ac:dyDescent="0.25">
      <c r="A111" s="7" t="s">
        <v>492</v>
      </c>
      <c r="B111" t="s">
        <v>493</v>
      </c>
      <c r="C111" s="6" t="s">
        <v>4145</v>
      </c>
      <c r="D111" s="7" t="str">
        <f t="shared" si="2"/>
        <v>NACE C - 10.62 Manufacture of starches and starch products</v>
      </c>
      <c r="E111" s="4" t="s">
        <v>494</v>
      </c>
      <c r="F111" t="s">
        <v>495</v>
      </c>
      <c r="G111" t="str">
        <f t="shared" si="3"/>
        <v>IQ</v>
      </c>
      <c r="K111" t="s">
        <v>2867</v>
      </c>
      <c r="Z111" t="s">
        <v>3265</v>
      </c>
      <c r="AA111" t="s">
        <v>3933</v>
      </c>
    </row>
    <row r="112" spans="1:27" x14ac:dyDescent="0.25">
      <c r="A112" s="6" t="s">
        <v>496</v>
      </c>
      <c r="B112" t="s">
        <v>497</v>
      </c>
      <c r="C112" s="6" t="s">
        <v>4146</v>
      </c>
      <c r="D112" s="6" t="str">
        <f t="shared" si="2"/>
        <v>NACE C - 10.7 Manufacture of bakery and farinaceous products</v>
      </c>
      <c r="E112" s="4" t="s">
        <v>498</v>
      </c>
      <c r="F112" t="s">
        <v>499</v>
      </c>
      <c r="G112" t="str">
        <f t="shared" si="3"/>
        <v>IR</v>
      </c>
      <c r="K112" t="s">
        <v>2868</v>
      </c>
      <c r="Z112" t="s">
        <v>3266</v>
      </c>
      <c r="AA112" t="s">
        <v>3934</v>
      </c>
    </row>
    <row r="113" spans="1:27" x14ac:dyDescent="0.25">
      <c r="A113" s="7" t="s">
        <v>500</v>
      </c>
      <c r="B113" t="s">
        <v>501</v>
      </c>
      <c r="C113" s="6" t="s">
        <v>4147</v>
      </c>
      <c r="D113" s="7" t="str">
        <f t="shared" si="2"/>
        <v>NACE C - 10.71 Manufacture of bread; manufacture of fresh pastry goods and cakes</v>
      </c>
      <c r="E113" s="4" t="s">
        <v>502</v>
      </c>
      <c r="F113" t="s">
        <v>503</v>
      </c>
      <c r="G113" t="str">
        <f t="shared" si="3"/>
        <v>IS</v>
      </c>
      <c r="K113" t="s">
        <v>2869</v>
      </c>
      <c r="Z113" t="s">
        <v>3267</v>
      </c>
      <c r="AA113" t="s">
        <v>3935</v>
      </c>
    </row>
    <row r="114" spans="1:27" x14ac:dyDescent="0.25">
      <c r="A114" s="7" t="s">
        <v>504</v>
      </c>
      <c r="B114" t="s">
        <v>505</v>
      </c>
      <c r="C114" s="6" t="s">
        <v>4148</v>
      </c>
      <c r="D114" s="7" t="str">
        <f t="shared" si="2"/>
        <v>NACE C - 10.72 Manufacture of rusks, biscuits, preserved pastries and cakes</v>
      </c>
      <c r="E114" s="4" t="s">
        <v>506</v>
      </c>
      <c r="F114" t="s">
        <v>507</v>
      </c>
      <c r="G114" t="str">
        <f t="shared" si="3"/>
        <v>IT</v>
      </c>
      <c r="K114" t="s">
        <v>2870</v>
      </c>
      <c r="Z114" t="s">
        <v>3268</v>
      </c>
      <c r="AA114" t="s">
        <v>3936</v>
      </c>
    </row>
    <row r="115" spans="1:27" x14ac:dyDescent="0.25">
      <c r="A115" s="7" t="s">
        <v>508</v>
      </c>
      <c r="B115" t="s">
        <v>509</v>
      </c>
      <c r="C115" s="6" t="s">
        <v>4149</v>
      </c>
      <c r="D115" s="7" t="str">
        <f t="shared" si="2"/>
        <v>NACE C - 10.73 Manufacture of farinaceous products</v>
      </c>
      <c r="E115" s="4" t="s">
        <v>510</v>
      </c>
      <c r="F115" t="s">
        <v>511</v>
      </c>
      <c r="G115" t="str">
        <f t="shared" si="3"/>
        <v>JE</v>
      </c>
      <c r="K115" t="s">
        <v>3329</v>
      </c>
      <c r="Z115" t="s">
        <v>3269</v>
      </c>
      <c r="AA115" t="s">
        <v>3937</v>
      </c>
    </row>
    <row r="116" spans="1:27" x14ac:dyDescent="0.25">
      <c r="A116" s="6" t="s">
        <v>512</v>
      </c>
      <c r="B116" t="s">
        <v>513</v>
      </c>
      <c r="C116" s="6" t="s">
        <v>4150</v>
      </c>
      <c r="D116" s="6" t="str">
        <f t="shared" si="2"/>
        <v>NACE C - 10.8 Manufacture of other food products</v>
      </c>
      <c r="E116" s="4" t="s">
        <v>514</v>
      </c>
      <c r="F116" t="s">
        <v>515</v>
      </c>
      <c r="G116" t="str">
        <f t="shared" si="3"/>
        <v>JM</v>
      </c>
      <c r="K116" t="s">
        <v>2871</v>
      </c>
      <c r="Z116" t="s">
        <v>2769</v>
      </c>
      <c r="AA116" t="s">
        <v>3938</v>
      </c>
    </row>
    <row r="117" spans="1:27" x14ac:dyDescent="0.25">
      <c r="A117" s="7" t="s">
        <v>516</v>
      </c>
      <c r="B117" t="s">
        <v>517</v>
      </c>
      <c r="C117" s="6" t="s">
        <v>4151</v>
      </c>
      <c r="D117" s="7" t="str">
        <f t="shared" si="2"/>
        <v>NACE C - 10.81 Manufacture of sugar</v>
      </c>
      <c r="E117" s="4" t="s">
        <v>518</v>
      </c>
      <c r="F117" t="s">
        <v>519</v>
      </c>
      <c r="G117" t="str">
        <f t="shared" si="3"/>
        <v>JO</v>
      </c>
      <c r="K117" t="s">
        <v>3330</v>
      </c>
      <c r="Z117" t="s">
        <v>3270</v>
      </c>
      <c r="AA117" t="s">
        <v>3939</v>
      </c>
    </row>
    <row r="118" spans="1:27" x14ac:dyDescent="0.25">
      <c r="A118" s="7" t="s">
        <v>520</v>
      </c>
      <c r="B118" t="s">
        <v>521</v>
      </c>
      <c r="C118" s="5" t="s">
        <v>4152</v>
      </c>
      <c r="D118" s="7" t="str">
        <f t="shared" si="2"/>
        <v>NACE C - 10.82 Manufacture of cocoa, chocolate and sugar confectionery</v>
      </c>
      <c r="E118" s="4" t="s">
        <v>522</v>
      </c>
      <c r="F118" t="s">
        <v>523</v>
      </c>
      <c r="G118" t="str">
        <f t="shared" si="3"/>
        <v>JP</v>
      </c>
      <c r="K118" t="s">
        <v>2872</v>
      </c>
      <c r="Z118" t="s">
        <v>3271</v>
      </c>
      <c r="AA118" t="s">
        <v>3940</v>
      </c>
    </row>
    <row r="119" spans="1:27" x14ac:dyDescent="0.25">
      <c r="A119" s="7" t="s">
        <v>524</v>
      </c>
      <c r="B119" t="s">
        <v>525</v>
      </c>
      <c r="C119" s="6" t="s">
        <v>4153</v>
      </c>
      <c r="D119" s="7" t="str">
        <f t="shared" si="2"/>
        <v>NACE C - 10.83 Processing of tea and coffee</v>
      </c>
      <c r="E119" s="4" t="s">
        <v>526</v>
      </c>
      <c r="F119" t="s">
        <v>527</v>
      </c>
      <c r="G119" t="str">
        <f t="shared" si="3"/>
        <v>KE</v>
      </c>
      <c r="K119" t="s">
        <v>3331</v>
      </c>
      <c r="Z119" t="s">
        <v>2770</v>
      </c>
      <c r="AA119" t="s">
        <v>3941</v>
      </c>
    </row>
    <row r="120" spans="1:27" x14ac:dyDescent="0.25">
      <c r="A120" s="7" t="s">
        <v>528</v>
      </c>
      <c r="B120" t="s">
        <v>529</v>
      </c>
      <c r="C120" s="6" t="s">
        <v>4154</v>
      </c>
      <c r="D120" s="7" t="str">
        <f t="shared" si="2"/>
        <v>NACE C - 10.84 Manufacture of condiments and seasonings</v>
      </c>
      <c r="E120" s="4" t="s">
        <v>530</v>
      </c>
      <c r="F120" t="s">
        <v>531</v>
      </c>
      <c r="G120" t="str">
        <f t="shared" si="3"/>
        <v>KG</v>
      </c>
      <c r="K120" t="s">
        <v>2873</v>
      </c>
      <c r="Z120" t="s">
        <v>3273</v>
      </c>
      <c r="AA120" t="s">
        <v>3942</v>
      </c>
    </row>
    <row r="121" spans="1:27" x14ac:dyDescent="0.25">
      <c r="A121" s="7" t="s">
        <v>532</v>
      </c>
      <c r="B121" t="s">
        <v>533</v>
      </c>
      <c r="C121" s="6" t="s">
        <v>4155</v>
      </c>
      <c r="D121" s="7" t="str">
        <f t="shared" si="2"/>
        <v>NACE C - 10.85 Manufacture of prepared meals and dishes</v>
      </c>
      <c r="E121" s="4" t="s">
        <v>534</v>
      </c>
      <c r="F121" t="s">
        <v>535</v>
      </c>
      <c r="G121" t="str">
        <f t="shared" si="3"/>
        <v>KH</v>
      </c>
      <c r="K121" t="s">
        <v>2874</v>
      </c>
      <c r="Z121" t="s">
        <v>3274</v>
      </c>
      <c r="AA121" t="s">
        <v>3943</v>
      </c>
    </row>
    <row r="122" spans="1:27" x14ac:dyDescent="0.25">
      <c r="A122" s="7" t="s">
        <v>536</v>
      </c>
      <c r="B122" t="s">
        <v>537</v>
      </c>
      <c r="C122" s="6" t="s">
        <v>4156</v>
      </c>
      <c r="D122" s="7" t="str">
        <f t="shared" si="2"/>
        <v>NACE C - 10.86 Manufacture of homogenised food preparations and dietetic food</v>
      </c>
      <c r="E122" s="4" t="s">
        <v>538</v>
      </c>
      <c r="F122" t="s">
        <v>539</v>
      </c>
      <c r="G122" t="str">
        <f t="shared" si="3"/>
        <v>KI</v>
      </c>
      <c r="K122" t="s">
        <v>2757</v>
      </c>
      <c r="Z122" t="s">
        <v>3275</v>
      </c>
      <c r="AA122" t="s">
        <v>3944</v>
      </c>
    </row>
    <row r="123" spans="1:27" x14ac:dyDescent="0.25">
      <c r="A123" s="7" t="s">
        <v>540</v>
      </c>
      <c r="B123" t="s">
        <v>541</v>
      </c>
      <c r="C123" s="6" t="s">
        <v>4157</v>
      </c>
      <c r="D123" s="7" t="str">
        <f t="shared" si="2"/>
        <v>NACE C - 10.89 Manufacture of other food products n.e.c.</v>
      </c>
      <c r="E123" s="4" t="s">
        <v>542</v>
      </c>
      <c r="F123" t="s">
        <v>543</v>
      </c>
      <c r="G123" t="str">
        <f t="shared" si="3"/>
        <v>KM</v>
      </c>
      <c r="K123" t="s">
        <v>3190</v>
      </c>
      <c r="Z123" t="s">
        <v>3276</v>
      </c>
      <c r="AA123" t="s">
        <v>3945</v>
      </c>
    </row>
    <row r="124" spans="1:27" x14ac:dyDescent="0.25">
      <c r="A124" s="6" t="s">
        <v>544</v>
      </c>
      <c r="B124" t="s">
        <v>545</v>
      </c>
      <c r="C124" s="6" t="s">
        <v>4158</v>
      </c>
      <c r="D124" s="6" t="str">
        <f t="shared" si="2"/>
        <v>NACE C - 10.9 Manufacture of prepared animal feeds</v>
      </c>
      <c r="E124" s="4" t="s">
        <v>546</v>
      </c>
      <c r="F124" t="s">
        <v>547</v>
      </c>
      <c r="G124" t="str">
        <f t="shared" si="3"/>
        <v>KN</v>
      </c>
      <c r="K124" t="s">
        <v>2875</v>
      </c>
      <c r="Z124" t="s">
        <v>3277</v>
      </c>
      <c r="AA124" t="s">
        <v>3946</v>
      </c>
    </row>
    <row r="125" spans="1:27" x14ac:dyDescent="0.25">
      <c r="A125" s="7" t="s">
        <v>548</v>
      </c>
      <c r="B125" t="s">
        <v>549</v>
      </c>
      <c r="C125" s="5" t="s">
        <v>4159</v>
      </c>
      <c r="D125" s="7" t="str">
        <f t="shared" si="2"/>
        <v>NACE C - 10.91 Manufacture of prepared feeds for farm animals</v>
      </c>
      <c r="E125" s="4" t="s">
        <v>550</v>
      </c>
      <c r="F125" t="s">
        <v>551</v>
      </c>
      <c r="G125" t="str">
        <f t="shared" si="3"/>
        <v>KP</v>
      </c>
      <c r="K125" t="s">
        <v>3332</v>
      </c>
      <c r="Z125" t="s">
        <v>3278</v>
      </c>
      <c r="AA125" t="s">
        <v>3947</v>
      </c>
    </row>
    <row r="126" spans="1:27" x14ac:dyDescent="0.25">
      <c r="A126" s="7" t="s">
        <v>552</v>
      </c>
      <c r="B126" t="s">
        <v>553</v>
      </c>
      <c r="C126" s="6" t="s">
        <v>4160</v>
      </c>
      <c r="D126" s="7" t="str">
        <f t="shared" si="2"/>
        <v>NACE C - 10.92 Manufacture of prepared pet foods</v>
      </c>
      <c r="E126" s="4" t="s">
        <v>554</v>
      </c>
      <c r="F126" t="s">
        <v>555</v>
      </c>
      <c r="G126" t="str">
        <f t="shared" si="3"/>
        <v>KR</v>
      </c>
      <c r="K126" t="s">
        <v>3333</v>
      </c>
      <c r="Z126" t="s">
        <v>3279</v>
      </c>
      <c r="AA126" t="s">
        <v>3948</v>
      </c>
    </row>
    <row r="127" spans="1:27" x14ac:dyDescent="0.25">
      <c r="A127" s="5" t="s">
        <v>556</v>
      </c>
      <c r="B127" t="s">
        <v>557</v>
      </c>
      <c r="C127" s="6" t="s">
        <v>4161</v>
      </c>
      <c r="D127" s="5" t="str">
        <f t="shared" si="2"/>
        <v>NACE C - 11 Manufacture of beverages</v>
      </c>
      <c r="E127" s="4" t="s">
        <v>558</v>
      </c>
      <c r="F127" t="s">
        <v>559</v>
      </c>
      <c r="G127" t="str">
        <f t="shared" si="3"/>
        <v>KW</v>
      </c>
      <c r="K127" t="s">
        <v>3334</v>
      </c>
      <c r="Z127" t="s">
        <v>3280</v>
      </c>
      <c r="AA127" t="s">
        <v>3949</v>
      </c>
    </row>
    <row r="128" spans="1:27" x14ac:dyDescent="0.25">
      <c r="A128" s="6" t="s">
        <v>560</v>
      </c>
      <c r="B128" t="s">
        <v>561</v>
      </c>
      <c r="C128" s="6" t="s">
        <v>4162</v>
      </c>
      <c r="D128" s="6" t="str">
        <f t="shared" si="2"/>
        <v>NACE C - 11.0 Manufacture of beverages</v>
      </c>
      <c r="E128" s="4" t="s">
        <v>562</v>
      </c>
      <c r="F128" t="s">
        <v>563</v>
      </c>
      <c r="G128" t="str">
        <f t="shared" si="3"/>
        <v>KY</v>
      </c>
      <c r="K128" t="s">
        <v>2876</v>
      </c>
      <c r="Z128" t="s">
        <v>3281</v>
      </c>
      <c r="AA128" t="s">
        <v>3950</v>
      </c>
    </row>
    <row r="129" spans="1:27" x14ac:dyDescent="0.25">
      <c r="A129" s="7" t="s">
        <v>564</v>
      </c>
      <c r="B129" t="s">
        <v>565</v>
      </c>
      <c r="C129" s="6" t="s">
        <v>4163</v>
      </c>
      <c r="D129" s="7" t="str">
        <f t="shared" si="2"/>
        <v>NACE C - 11.01 Distilling, rectifying and blending of spirits</v>
      </c>
      <c r="E129" s="4" t="s">
        <v>566</v>
      </c>
      <c r="F129" t="s">
        <v>567</v>
      </c>
      <c r="G129" t="str">
        <f t="shared" si="3"/>
        <v>KZ</v>
      </c>
      <c r="K129" t="s">
        <v>3335</v>
      </c>
      <c r="Z129" t="s">
        <v>3282</v>
      </c>
      <c r="AA129" t="s">
        <v>3951</v>
      </c>
    </row>
    <row r="130" spans="1:27" x14ac:dyDescent="0.25">
      <c r="A130" s="7" t="s">
        <v>568</v>
      </c>
      <c r="B130" t="s">
        <v>569</v>
      </c>
      <c r="C130" s="6" t="s">
        <v>4164</v>
      </c>
      <c r="D130" s="7" t="str">
        <f t="shared" ref="D130:D193" si="4">_xlfn.CONCAT("NACE ", A130)</f>
        <v>NACE C - 11.02 Manufacture of wine from grape</v>
      </c>
      <c r="E130" s="4" t="s">
        <v>570</v>
      </c>
      <c r="F130" t="s">
        <v>571</v>
      </c>
      <c r="G130" t="str">
        <f t="shared" si="3"/>
        <v>LA</v>
      </c>
      <c r="K130" t="s">
        <v>3336</v>
      </c>
      <c r="Z130" t="s">
        <v>2771</v>
      </c>
      <c r="AA130" t="s">
        <v>3952</v>
      </c>
    </row>
    <row r="131" spans="1:27" x14ac:dyDescent="0.25">
      <c r="A131" s="7" t="s">
        <v>572</v>
      </c>
      <c r="B131" t="s">
        <v>573</v>
      </c>
      <c r="C131" s="5" t="s">
        <v>4165</v>
      </c>
      <c r="D131" s="7" t="str">
        <f t="shared" si="4"/>
        <v>NACE C - 11.03 Manufacture of cider and other fermented fruit beverages</v>
      </c>
      <c r="E131" s="4" t="s">
        <v>574</v>
      </c>
      <c r="F131" t="s">
        <v>575</v>
      </c>
      <c r="G131" t="str">
        <f t="shared" ref="G131:G194" si="5">RIGHT(F131,2)</f>
        <v>LB</v>
      </c>
      <c r="K131" t="s">
        <v>3337</v>
      </c>
      <c r="Z131" t="s">
        <v>3283</v>
      </c>
      <c r="AA131" t="s">
        <v>3953</v>
      </c>
    </row>
    <row r="132" spans="1:27" x14ac:dyDescent="0.25">
      <c r="A132" s="7" t="s">
        <v>576</v>
      </c>
      <c r="B132" t="s">
        <v>577</v>
      </c>
      <c r="C132" s="6" t="s">
        <v>4166</v>
      </c>
      <c r="D132" s="7" t="str">
        <f t="shared" si="4"/>
        <v>NACE C - 11.04 Manufacture of other non-distilled fermented beverages</v>
      </c>
      <c r="E132" s="4" t="s">
        <v>578</v>
      </c>
      <c r="F132" t="s">
        <v>579</v>
      </c>
      <c r="G132" t="str">
        <f t="shared" si="5"/>
        <v>LC</v>
      </c>
      <c r="K132" t="s">
        <v>2877</v>
      </c>
      <c r="Z132" t="s">
        <v>3284</v>
      </c>
      <c r="AA132" t="s">
        <v>3954</v>
      </c>
    </row>
    <row r="133" spans="1:27" x14ac:dyDescent="0.25">
      <c r="A133" s="7" t="s">
        <v>580</v>
      </c>
      <c r="B133" t="s">
        <v>581</v>
      </c>
      <c r="C133" s="6" t="s">
        <v>4167</v>
      </c>
      <c r="D133" s="7" t="str">
        <f t="shared" si="4"/>
        <v>NACE C - 11.05 Manufacture of beer</v>
      </c>
      <c r="E133" s="4" t="s">
        <v>582</v>
      </c>
      <c r="F133" t="s">
        <v>583</v>
      </c>
      <c r="G133" t="str">
        <f t="shared" si="5"/>
        <v>LI</v>
      </c>
      <c r="K133" t="s">
        <v>2878</v>
      </c>
      <c r="Z133" t="s">
        <v>3285</v>
      </c>
      <c r="AA133" t="s">
        <v>3955</v>
      </c>
    </row>
    <row r="134" spans="1:27" x14ac:dyDescent="0.25">
      <c r="A134" s="7" t="s">
        <v>584</v>
      </c>
      <c r="B134" t="s">
        <v>585</v>
      </c>
      <c r="C134" s="6" t="s">
        <v>4168</v>
      </c>
      <c r="D134" s="7" t="str">
        <f t="shared" si="4"/>
        <v>NACE C - 11.06 Manufacture of malt</v>
      </c>
      <c r="E134" s="4" t="s">
        <v>586</v>
      </c>
      <c r="F134" t="s">
        <v>587</v>
      </c>
      <c r="G134" t="str">
        <f t="shared" si="5"/>
        <v>LK</v>
      </c>
      <c r="K134" t="s">
        <v>3191</v>
      </c>
      <c r="AA134" t="s">
        <v>3956</v>
      </c>
    </row>
    <row r="135" spans="1:27" x14ac:dyDescent="0.25">
      <c r="A135" s="7" t="s">
        <v>588</v>
      </c>
      <c r="B135" t="s">
        <v>589</v>
      </c>
      <c r="C135" s="5" t="s">
        <v>4169</v>
      </c>
      <c r="D135" s="7" t="str">
        <f t="shared" si="4"/>
        <v>NACE C - 11.07 Manufacture of soft drinks and bottled waters</v>
      </c>
      <c r="E135" s="4" t="s">
        <v>590</v>
      </c>
      <c r="F135" t="s">
        <v>591</v>
      </c>
      <c r="G135" t="str">
        <f t="shared" si="5"/>
        <v>LR</v>
      </c>
      <c r="K135" t="s">
        <v>2879</v>
      </c>
      <c r="AA135" t="s">
        <v>3957</v>
      </c>
    </row>
    <row r="136" spans="1:27" x14ac:dyDescent="0.25">
      <c r="A136" s="5" t="s">
        <v>592</v>
      </c>
      <c r="B136" t="s">
        <v>593</v>
      </c>
      <c r="C136" s="6" t="s">
        <v>4170</v>
      </c>
      <c r="D136" s="5" t="str">
        <f t="shared" si="4"/>
        <v>NACE C - 12 Manufacture of tobacco products</v>
      </c>
      <c r="E136" s="4" t="s">
        <v>594</v>
      </c>
      <c r="F136" t="s">
        <v>595</v>
      </c>
      <c r="G136" t="str">
        <f t="shared" si="5"/>
        <v>LS</v>
      </c>
      <c r="K136" t="s">
        <v>2880</v>
      </c>
      <c r="AA136" t="s">
        <v>3958</v>
      </c>
    </row>
    <row r="137" spans="1:27" x14ac:dyDescent="0.25">
      <c r="A137" s="6" t="s">
        <v>596</v>
      </c>
      <c r="B137" t="s">
        <v>597</v>
      </c>
      <c r="C137" s="6" t="s">
        <v>4171</v>
      </c>
      <c r="D137" s="6" t="str">
        <f t="shared" si="4"/>
        <v>NACE C - 12.0 Manufacture of tobacco products</v>
      </c>
      <c r="E137" s="4" t="s">
        <v>598</v>
      </c>
      <c r="F137" t="s">
        <v>599</v>
      </c>
      <c r="G137" t="str">
        <f t="shared" si="5"/>
        <v>LT</v>
      </c>
      <c r="K137" t="s">
        <v>2881</v>
      </c>
      <c r="AA137" t="s">
        <v>3959</v>
      </c>
    </row>
    <row r="138" spans="1:27" x14ac:dyDescent="0.25">
      <c r="A138" s="7" t="s">
        <v>600</v>
      </c>
      <c r="B138" t="s">
        <v>601</v>
      </c>
      <c r="C138" s="6" t="s">
        <v>4172</v>
      </c>
      <c r="D138" s="7" t="str">
        <f t="shared" si="4"/>
        <v>NACE C - 12.00 Manufacture of tobacco products</v>
      </c>
      <c r="E138" s="4" t="s">
        <v>602</v>
      </c>
      <c r="F138" t="s">
        <v>603</v>
      </c>
      <c r="G138" t="str">
        <f t="shared" si="5"/>
        <v>LU</v>
      </c>
      <c r="K138" t="s">
        <v>3192</v>
      </c>
      <c r="AA138" t="s">
        <v>3960</v>
      </c>
    </row>
    <row r="139" spans="1:27" x14ac:dyDescent="0.25">
      <c r="A139" s="5" t="s">
        <v>604</v>
      </c>
      <c r="B139" t="s">
        <v>605</v>
      </c>
      <c r="C139" s="6" t="s">
        <v>4173</v>
      </c>
      <c r="D139" s="5" t="str">
        <f t="shared" si="4"/>
        <v>NACE C - 13 Manufacture of textiles</v>
      </c>
      <c r="E139" s="4" t="s">
        <v>606</v>
      </c>
      <c r="F139" t="s">
        <v>607</v>
      </c>
      <c r="G139" t="str">
        <f t="shared" si="5"/>
        <v>LV</v>
      </c>
      <c r="K139" t="s">
        <v>3338</v>
      </c>
      <c r="AA139" t="s">
        <v>3961</v>
      </c>
    </row>
    <row r="140" spans="1:27" x14ac:dyDescent="0.25">
      <c r="A140" s="6" t="s">
        <v>608</v>
      </c>
      <c r="B140" t="s">
        <v>609</v>
      </c>
      <c r="C140" s="6" t="s">
        <v>4174</v>
      </c>
      <c r="D140" s="6" t="str">
        <f t="shared" si="4"/>
        <v>NACE C - 13.1 Preparation and spinning of textile fibres</v>
      </c>
      <c r="E140" s="4" t="s">
        <v>610</v>
      </c>
      <c r="F140" t="s">
        <v>611</v>
      </c>
      <c r="G140" t="str">
        <f t="shared" si="5"/>
        <v>LY</v>
      </c>
      <c r="K140" t="s">
        <v>3193</v>
      </c>
      <c r="AA140" t="s">
        <v>3962</v>
      </c>
    </row>
    <row r="141" spans="1:27" x14ac:dyDescent="0.25">
      <c r="A141" s="7" t="s">
        <v>612</v>
      </c>
      <c r="B141" t="s">
        <v>613</v>
      </c>
      <c r="C141" s="5" t="s">
        <v>4175</v>
      </c>
      <c r="D141" s="7" t="str">
        <f t="shared" si="4"/>
        <v>NACE C - 13.10 Preparation and spinning of textile fibres</v>
      </c>
      <c r="E141" s="4" t="s">
        <v>614</v>
      </c>
      <c r="F141" t="s">
        <v>615</v>
      </c>
      <c r="G141" t="str">
        <f t="shared" si="5"/>
        <v>MA</v>
      </c>
      <c r="K141" t="s">
        <v>2882</v>
      </c>
      <c r="AA141" t="s">
        <v>3963</v>
      </c>
    </row>
    <row r="142" spans="1:27" x14ac:dyDescent="0.25">
      <c r="A142" s="6" t="s">
        <v>616</v>
      </c>
      <c r="B142" t="s">
        <v>617</v>
      </c>
      <c r="C142" s="6" t="s">
        <v>4176</v>
      </c>
      <c r="D142" s="6" t="str">
        <f t="shared" si="4"/>
        <v>NACE C - 13.2 Weaving of textiles</v>
      </c>
      <c r="E142" s="4" t="s">
        <v>618</v>
      </c>
      <c r="F142" t="s">
        <v>619</v>
      </c>
      <c r="G142" t="str">
        <f t="shared" si="5"/>
        <v>MC</v>
      </c>
      <c r="K142" t="s">
        <v>2883</v>
      </c>
      <c r="AA142" t="s">
        <v>3964</v>
      </c>
    </row>
    <row r="143" spans="1:27" x14ac:dyDescent="0.25">
      <c r="A143" s="7" t="s">
        <v>620</v>
      </c>
      <c r="B143" t="s">
        <v>621</v>
      </c>
      <c r="C143" s="5" t="s">
        <v>4177</v>
      </c>
      <c r="D143" s="7" t="str">
        <f t="shared" si="4"/>
        <v>NACE C - 13.20 Weaving of textiles</v>
      </c>
      <c r="E143" s="4" t="s">
        <v>622</v>
      </c>
      <c r="F143" t="s">
        <v>623</v>
      </c>
      <c r="G143" t="str">
        <f t="shared" si="5"/>
        <v>MD</v>
      </c>
      <c r="K143" t="s">
        <v>3194</v>
      </c>
      <c r="AA143" t="s">
        <v>3965</v>
      </c>
    </row>
    <row r="144" spans="1:27" x14ac:dyDescent="0.25">
      <c r="A144" s="6" t="s">
        <v>624</v>
      </c>
      <c r="B144" t="s">
        <v>625</v>
      </c>
      <c r="C144" s="6" t="s">
        <v>4178</v>
      </c>
      <c r="D144" s="6" t="str">
        <f t="shared" si="4"/>
        <v>NACE C - 13.3 Finishing of textiles</v>
      </c>
      <c r="E144" s="4" t="s">
        <v>626</v>
      </c>
      <c r="F144" t="s">
        <v>627</v>
      </c>
      <c r="G144" t="str">
        <f t="shared" si="5"/>
        <v>ME</v>
      </c>
      <c r="K144" t="s">
        <v>3339</v>
      </c>
      <c r="AA144" t="s">
        <v>3966</v>
      </c>
    </row>
    <row r="145" spans="1:27" x14ac:dyDescent="0.25">
      <c r="A145" s="7" t="s">
        <v>628</v>
      </c>
      <c r="B145" t="s">
        <v>629</v>
      </c>
      <c r="C145" s="6" t="s">
        <v>4179</v>
      </c>
      <c r="D145" s="7" t="str">
        <f t="shared" si="4"/>
        <v>NACE C - 13.30 Finishing of textiles</v>
      </c>
      <c r="E145" s="4" t="s">
        <v>630</v>
      </c>
      <c r="F145" t="s">
        <v>631</v>
      </c>
      <c r="G145" t="str">
        <f t="shared" si="5"/>
        <v>MF</v>
      </c>
      <c r="K145" t="s">
        <v>2884</v>
      </c>
      <c r="AA145" t="s">
        <v>3967</v>
      </c>
    </row>
    <row r="146" spans="1:27" x14ac:dyDescent="0.25">
      <c r="A146" s="6" t="s">
        <v>632</v>
      </c>
      <c r="B146" t="s">
        <v>633</v>
      </c>
      <c r="C146" s="6" t="s">
        <v>4180</v>
      </c>
      <c r="D146" s="6" t="str">
        <f t="shared" si="4"/>
        <v>NACE C - 13.9 Manufacture of other textiles</v>
      </c>
      <c r="E146" s="4" t="s">
        <v>634</v>
      </c>
      <c r="F146" t="s">
        <v>635</v>
      </c>
      <c r="G146" t="str">
        <f t="shared" si="5"/>
        <v>MG</v>
      </c>
      <c r="K146" t="s">
        <v>3340</v>
      </c>
      <c r="AA146" t="s">
        <v>3968</v>
      </c>
    </row>
    <row r="147" spans="1:27" x14ac:dyDescent="0.25">
      <c r="A147" s="7" t="s">
        <v>636</v>
      </c>
      <c r="B147" t="s">
        <v>637</v>
      </c>
      <c r="C147" s="6" t="s">
        <v>4181</v>
      </c>
      <c r="D147" s="7" t="str">
        <f t="shared" si="4"/>
        <v>NACE C - 13.91 Manufacture of knitted and crocheted fabrics</v>
      </c>
      <c r="E147" s="4" t="s">
        <v>638</v>
      </c>
      <c r="F147" t="s">
        <v>639</v>
      </c>
      <c r="G147" t="str">
        <f t="shared" si="5"/>
        <v>MH</v>
      </c>
      <c r="K147" t="s">
        <v>2885</v>
      </c>
      <c r="AA147" t="s">
        <v>3969</v>
      </c>
    </row>
    <row r="148" spans="1:27" x14ac:dyDescent="0.25">
      <c r="A148" s="7" t="s">
        <v>640</v>
      </c>
      <c r="B148" t="s">
        <v>641</v>
      </c>
      <c r="C148" s="6" t="s">
        <v>4182</v>
      </c>
      <c r="D148" s="7" t="str">
        <f t="shared" si="4"/>
        <v>NACE C - 13.92 Manufacture of household textiles and made-up furnishing articles</v>
      </c>
      <c r="E148" s="4" t="s">
        <v>642</v>
      </c>
      <c r="F148" t="s">
        <v>643</v>
      </c>
      <c r="G148" t="str">
        <f t="shared" si="5"/>
        <v>MK</v>
      </c>
      <c r="K148" t="s">
        <v>2886</v>
      </c>
      <c r="AA148" t="s">
        <v>3970</v>
      </c>
    </row>
    <row r="149" spans="1:27" x14ac:dyDescent="0.25">
      <c r="A149" s="7" t="s">
        <v>644</v>
      </c>
      <c r="B149" t="s">
        <v>645</v>
      </c>
      <c r="C149" s="6" t="s">
        <v>4183</v>
      </c>
      <c r="D149" s="7" t="str">
        <f t="shared" si="4"/>
        <v>NACE C - 13.93 Manufacture of carpets and rugs</v>
      </c>
      <c r="E149" s="4" t="s">
        <v>646</v>
      </c>
      <c r="F149" t="s">
        <v>647</v>
      </c>
      <c r="G149" t="str">
        <f t="shared" si="5"/>
        <v>ML</v>
      </c>
      <c r="K149" t="s">
        <v>3195</v>
      </c>
      <c r="AA149" t="s">
        <v>3971</v>
      </c>
    </row>
    <row r="150" spans="1:27" x14ac:dyDescent="0.25">
      <c r="A150" s="7" t="s">
        <v>648</v>
      </c>
      <c r="B150" t="s">
        <v>649</v>
      </c>
      <c r="C150" s="5" t="s">
        <v>4184</v>
      </c>
      <c r="D150" s="7" t="str">
        <f t="shared" si="4"/>
        <v>NACE C - 13.94 Manufacture of cordage, rope, twine and netting</v>
      </c>
      <c r="E150" s="4" t="s">
        <v>650</v>
      </c>
      <c r="F150" t="s">
        <v>651</v>
      </c>
      <c r="G150" t="str">
        <f t="shared" si="5"/>
        <v>MM</v>
      </c>
      <c r="K150" t="s">
        <v>3341</v>
      </c>
      <c r="AA150" t="s">
        <v>3972</v>
      </c>
    </row>
    <row r="151" spans="1:27" x14ac:dyDescent="0.25">
      <c r="A151" s="7" t="s">
        <v>652</v>
      </c>
      <c r="B151" t="s">
        <v>653</v>
      </c>
      <c r="C151" s="6" t="s">
        <v>4185</v>
      </c>
      <c r="D151" s="7" t="str">
        <f t="shared" si="4"/>
        <v>NACE C - 13.95 Manufacture of non-wovens and non-woven articles</v>
      </c>
      <c r="E151" s="4" t="s">
        <v>654</v>
      </c>
      <c r="F151" t="s">
        <v>655</v>
      </c>
      <c r="G151" t="str">
        <f t="shared" si="5"/>
        <v>MN</v>
      </c>
      <c r="K151" t="s">
        <v>2887</v>
      </c>
      <c r="AA151" t="s">
        <v>3973</v>
      </c>
    </row>
    <row r="152" spans="1:27" x14ac:dyDescent="0.25">
      <c r="A152" s="7" t="s">
        <v>656</v>
      </c>
      <c r="B152" t="s">
        <v>657</v>
      </c>
      <c r="C152" s="6" t="s">
        <v>4186</v>
      </c>
      <c r="D152" s="7" t="str">
        <f t="shared" si="4"/>
        <v>NACE C - 13.96 Manufacture of other technical and industrial textiles</v>
      </c>
      <c r="E152" s="4" t="s">
        <v>658</v>
      </c>
      <c r="F152" t="s">
        <v>659</v>
      </c>
      <c r="G152" t="str">
        <f t="shared" si="5"/>
        <v>MO</v>
      </c>
      <c r="K152" t="s">
        <v>2888</v>
      </c>
      <c r="AA152" t="s">
        <v>3974</v>
      </c>
    </row>
    <row r="153" spans="1:27" x14ac:dyDescent="0.25">
      <c r="A153" s="7" t="s">
        <v>660</v>
      </c>
      <c r="B153" t="s">
        <v>661</v>
      </c>
      <c r="C153" s="4" t="s">
        <v>4069</v>
      </c>
      <c r="D153" s="7" t="str">
        <f t="shared" si="4"/>
        <v>NACE C - 13.99 Manufacture of other textiles n.e.c.</v>
      </c>
      <c r="E153" s="4" t="s">
        <v>662</v>
      </c>
      <c r="F153" t="s">
        <v>663</v>
      </c>
      <c r="G153" t="str">
        <f t="shared" si="5"/>
        <v>MP</v>
      </c>
      <c r="K153" t="s">
        <v>3196</v>
      </c>
      <c r="AA153" t="s">
        <v>3975</v>
      </c>
    </row>
    <row r="154" spans="1:27" x14ac:dyDescent="0.25">
      <c r="A154" s="5" t="s">
        <v>664</v>
      </c>
      <c r="B154" t="s">
        <v>665</v>
      </c>
      <c r="C154" s="5" t="s">
        <v>4188</v>
      </c>
      <c r="D154" s="5" t="str">
        <f t="shared" si="4"/>
        <v>NACE C - 14 Manufacture of wearing apparel</v>
      </c>
      <c r="E154" s="4" t="s">
        <v>666</v>
      </c>
      <c r="F154" t="s">
        <v>667</v>
      </c>
      <c r="G154" t="str">
        <f t="shared" si="5"/>
        <v>MQ</v>
      </c>
      <c r="K154" t="s">
        <v>3342</v>
      </c>
      <c r="AA154" t="s">
        <v>3976</v>
      </c>
    </row>
    <row r="155" spans="1:27" x14ac:dyDescent="0.25">
      <c r="A155" s="6" t="s">
        <v>668</v>
      </c>
      <c r="B155" t="s">
        <v>669</v>
      </c>
      <c r="C155" s="6" t="s">
        <v>4189</v>
      </c>
      <c r="D155" s="6" t="str">
        <f t="shared" si="4"/>
        <v>NACE C - 14.1 Manufacture of knitted and crocheted apparel</v>
      </c>
      <c r="E155" s="4" t="s">
        <v>670</v>
      </c>
      <c r="F155" t="s">
        <v>671</v>
      </c>
      <c r="G155" t="str">
        <f t="shared" si="5"/>
        <v>MR</v>
      </c>
      <c r="K155" t="s">
        <v>3343</v>
      </c>
      <c r="AA155" t="s">
        <v>3977</v>
      </c>
    </row>
    <row r="156" spans="1:27" x14ac:dyDescent="0.25">
      <c r="A156" s="7" t="s">
        <v>672</v>
      </c>
      <c r="B156" t="s">
        <v>673</v>
      </c>
      <c r="C156" s="6" t="s">
        <v>4190</v>
      </c>
      <c r="D156" s="7" t="str">
        <f t="shared" si="4"/>
        <v>NACE C - 14.10 Manufacture of knitted and crocheted apparel</v>
      </c>
      <c r="E156" s="4" t="s">
        <v>674</v>
      </c>
      <c r="F156" t="s">
        <v>675</v>
      </c>
      <c r="G156" t="str">
        <f t="shared" si="5"/>
        <v>MS</v>
      </c>
      <c r="K156" t="s">
        <v>3344</v>
      </c>
      <c r="AA156" t="s">
        <v>3978</v>
      </c>
    </row>
    <row r="157" spans="1:27" x14ac:dyDescent="0.25">
      <c r="A157" s="6" t="s">
        <v>676</v>
      </c>
      <c r="B157" t="s">
        <v>677</v>
      </c>
      <c r="C157" s="6" t="s">
        <v>4191</v>
      </c>
      <c r="D157" s="6" t="str">
        <f t="shared" si="4"/>
        <v>NACE C - 14.2 Manufacture of other wearing apparel and accessories</v>
      </c>
      <c r="E157" s="4" t="s">
        <v>678</v>
      </c>
      <c r="F157" t="s">
        <v>679</v>
      </c>
      <c r="G157" t="str">
        <f t="shared" si="5"/>
        <v>MT</v>
      </c>
      <c r="K157" t="s">
        <v>3345</v>
      </c>
      <c r="AA157" t="s">
        <v>3979</v>
      </c>
    </row>
    <row r="158" spans="1:27" x14ac:dyDescent="0.25">
      <c r="A158" s="7" t="s">
        <v>680</v>
      </c>
      <c r="B158" t="s">
        <v>681</v>
      </c>
      <c r="C158" s="6" t="s">
        <v>4192</v>
      </c>
      <c r="D158" s="7" t="str">
        <f t="shared" si="4"/>
        <v>NACE C - 14.21 Manufacture of outerwear</v>
      </c>
      <c r="E158" s="4" t="s">
        <v>682</v>
      </c>
      <c r="F158" t="s">
        <v>683</v>
      </c>
      <c r="G158" t="str">
        <f t="shared" si="5"/>
        <v>MU</v>
      </c>
      <c r="K158" t="s">
        <v>3346</v>
      </c>
      <c r="AA158" t="s">
        <v>3980</v>
      </c>
    </row>
    <row r="159" spans="1:27" x14ac:dyDescent="0.25">
      <c r="A159" s="7" t="s">
        <v>684</v>
      </c>
      <c r="B159" t="s">
        <v>685</v>
      </c>
      <c r="C159" s="4" t="s">
        <v>4187</v>
      </c>
      <c r="D159" s="7" t="str">
        <f t="shared" si="4"/>
        <v>NACE C - 14.22 Manufacture of underwear</v>
      </c>
      <c r="E159" s="4" t="s">
        <v>686</v>
      </c>
      <c r="F159" t="s">
        <v>687</v>
      </c>
      <c r="G159" t="str">
        <f t="shared" si="5"/>
        <v>MV</v>
      </c>
      <c r="K159" t="s">
        <v>2758</v>
      </c>
      <c r="AA159" t="s">
        <v>3981</v>
      </c>
    </row>
    <row r="160" spans="1:27" x14ac:dyDescent="0.25">
      <c r="A160" s="7" t="s">
        <v>688</v>
      </c>
      <c r="B160" t="s">
        <v>689</v>
      </c>
      <c r="C160" s="5" t="s">
        <v>4194</v>
      </c>
      <c r="D160" s="7" t="str">
        <f t="shared" si="4"/>
        <v>NACE C - 14.23 Manufacture of workwear</v>
      </c>
      <c r="E160" s="4" t="s">
        <v>690</v>
      </c>
      <c r="F160" t="s">
        <v>691</v>
      </c>
      <c r="G160" t="str">
        <f t="shared" si="5"/>
        <v>MW</v>
      </c>
      <c r="K160" t="s">
        <v>3197</v>
      </c>
      <c r="AA160" t="s">
        <v>3982</v>
      </c>
    </row>
    <row r="161" spans="1:27" x14ac:dyDescent="0.25">
      <c r="A161" s="7" t="s">
        <v>692</v>
      </c>
      <c r="B161" t="s">
        <v>693</v>
      </c>
      <c r="C161" s="6" t="s">
        <v>4195</v>
      </c>
      <c r="D161" s="7" t="str">
        <f t="shared" si="4"/>
        <v>NACE C - 14.24 Manufacture of leather clothes and fur apparel</v>
      </c>
      <c r="E161" s="4" t="s">
        <v>694</v>
      </c>
      <c r="F161" t="s">
        <v>695</v>
      </c>
      <c r="G161" t="str">
        <f t="shared" si="5"/>
        <v>MX</v>
      </c>
      <c r="K161" t="s">
        <v>3347</v>
      </c>
      <c r="AA161" t="s">
        <v>3983</v>
      </c>
    </row>
    <row r="162" spans="1:27" x14ac:dyDescent="0.25">
      <c r="A162" s="7" t="s">
        <v>696</v>
      </c>
      <c r="B162" t="s">
        <v>697</v>
      </c>
      <c r="C162" s="5" t="s">
        <v>4196</v>
      </c>
      <c r="D162" s="7" t="str">
        <f t="shared" si="4"/>
        <v>NACE C - 14.29 Manufacture of other wearing apparel and accessories n.e.c.</v>
      </c>
      <c r="E162" s="4" t="s">
        <v>698</v>
      </c>
      <c r="F162" t="s">
        <v>699</v>
      </c>
      <c r="G162" t="str">
        <f t="shared" si="5"/>
        <v>MY</v>
      </c>
      <c r="K162" t="s">
        <v>3348</v>
      </c>
      <c r="AA162" t="s">
        <v>3984</v>
      </c>
    </row>
    <row r="163" spans="1:27" x14ac:dyDescent="0.25">
      <c r="A163" s="5" t="s">
        <v>700</v>
      </c>
      <c r="B163" t="s">
        <v>701</v>
      </c>
      <c r="C163" s="6" t="s">
        <v>4197</v>
      </c>
      <c r="D163" s="5" t="str">
        <f t="shared" si="4"/>
        <v>NACE C - 15 Manufacture of leather and related products of other materials</v>
      </c>
      <c r="E163" s="4" t="s">
        <v>702</v>
      </c>
      <c r="F163" t="s">
        <v>703</v>
      </c>
      <c r="G163" t="str">
        <f t="shared" si="5"/>
        <v>MZ</v>
      </c>
      <c r="K163" t="s">
        <v>3349</v>
      </c>
      <c r="AA163" t="s">
        <v>3985</v>
      </c>
    </row>
    <row r="164" spans="1:27" x14ac:dyDescent="0.25">
      <c r="A164" s="6" t="s">
        <v>704</v>
      </c>
      <c r="B164" t="s">
        <v>705</v>
      </c>
      <c r="C164" s="5" t="s">
        <v>4198</v>
      </c>
      <c r="D164" s="6" t="str">
        <f t="shared" si="4"/>
        <v>NACE C - 15.1 Tanning, dyeing, dressing of leather and fur; manufacture of luggage, handbags, saddlery and harness</v>
      </c>
      <c r="E164" s="4" t="s">
        <v>706</v>
      </c>
      <c r="F164" t="s">
        <v>707</v>
      </c>
      <c r="G164" t="str">
        <f t="shared" si="5"/>
        <v>NA</v>
      </c>
      <c r="K164" t="s">
        <v>3350</v>
      </c>
      <c r="AA164" t="s">
        <v>3986</v>
      </c>
    </row>
    <row r="165" spans="1:27" x14ac:dyDescent="0.25">
      <c r="A165" s="7" t="s">
        <v>708</v>
      </c>
      <c r="B165" t="s">
        <v>709</v>
      </c>
      <c r="C165" s="6" t="s">
        <v>4199</v>
      </c>
      <c r="D165" s="7" t="str">
        <f t="shared" si="4"/>
        <v>NACE C - 15.11 Tanning, dressing, dyeing of leather and fur</v>
      </c>
      <c r="E165" s="4" t="s">
        <v>710</v>
      </c>
      <c r="F165" t="s">
        <v>711</v>
      </c>
      <c r="G165" t="str">
        <f t="shared" si="5"/>
        <v>NC</v>
      </c>
      <c r="K165" t="s">
        <v>3351</v>
      </c>
      <c r="AA165" t="s">
        <v>3987</v>
      </c>
    </row>
    <row r="166" spans="1:27" x14ac:dyDescent="0.25">
      <c r="A166" s="7" t="s">
        <v>712</v>
      </c>
      <c r="B166" t="s">
        <v>713</v>
      </c>
      <c r="C166" s="6" t="s">
        <v>4200</v>
      </c>
      <c r="D166" s="7" t="str">
        <f t="shared" si="4"/>
        <v>NACE C - 15.12 Manufacture of luggage, handbags, saddlery and harness of any material</v>
      </c>
      <c r="E166" s="4" t="s">
        <v>714</v>
      </c>
      <c r="F166" t="s">
        <v>715</v>
      </c>
      <c r="G166" t="str">
        <f t="shared" si="5"/>
        <v>NE</v>
      </c>
      <c r="K166" t="s">
        <v>3352</v>
      </c>
      <c r="AA166" t="s">
        <v>3988</v>
      </c>
    </row>
    <row r="167" spans="1:27" x14ac:dyDescent="0.25">
      <c r="A167" s="6" t="s">
        <v>716</v>
      </c>
      <c r="B167" t="s">
        <v>717</v>
      </c>
      <c r="C167" s="6" t="s">
        <v>4201</v>
      </c>
      <c r="D167" s="6" t="str">
        <f t="shared" si="4"/>
        <v>NACE C - 15.2 Manufacture of footwear</v>
      </c>
      <c r="E167" s="4" t="s">
        <v>718</v>
      </c>
      <c r="F167" t="s">
        <v>719</v>
      </c>
      <c r="G167" t="str">
        <f t="shared" si="5"/>
        <v>NF</v>
      </c>
      <c r="K167" t="s">
        <v>3198</v>
      </c>
      <c r="AA167" t="s">
        <v>3989</v>
      </c>
    </row>
    <row r="168" spans="1:27" x14ac:dyDescent="0.25">
      <c r="A168" s="7" t="s">
        <v>720</v>
      </c>
      <c r="B168" t="s">
        <v>721</v>
      </c>
      <c r="C168" s="5" t="s">
        <v>4202</v>
      </c>
      <c r="D168" s="7" t="str">
        <f t="shared" si="4"/>
        <v>NACE C - 15.20 Manufacture of footwear</v>
      </c>
      <c r="E168" s="4" t="s">
        <v>722</v>
      </c>
      <c r="F168" t="s">
        <v>723</v>
      </c>
      <c r="G168" t="str">
        <f t="shared" si="5"/>
        <v>NG</v>
      </c>
      <c r="K168" t="s">
        <v>3353</v>
      </c>
      <c r="AA168" t="s">
        <v>3990</v>
      </c>
    </row>
    <row r="169" spans="1:27" x14ac:dyDescent="0.25">
      <c r="A169" s="5" t="s">
        <v>724</v>
      </c>
      <c r="B169" t="s">
        <v>725</v>
      </c>
      <c r="C169" s="6" t="s">
        <v>4203</v>
      </c>
      <c r="D169" s="5" t="str">
        <f t="shared" si="4"/>
        <v>NACE C - 16 Manufacture of wood and of products of wood and cork, except furniture; manufacture of articles of straw and plaiting materials</v>
      </c>
      <c r="E169" s="4" t="s">
        <v>726</v>
      </c>
      <c r="F169" t="s">
        <v>727</v>
      </c>
      <c r="G169" t="str">
        <f t="shared" si="5"/>
        <v>NI</v>
      </c>
      <c r="K169" t="s">
        <v>3354</v>
      </c>
      <c r="AA169" t="s">
        <v>3991</v>
      </c>
    </row>
    <row r="170" spans="1:27" x14ac:dyDescent="0.25">
      <c r="A170" s="6" t="s">
        <v>728</v>
      </c>
      <c r="B170" t="s">
        <v>729</v>
      </c>
      <c r="C170" s="4" t="s">
        <v>4193</v>
      </c>
      <c r="D170" s="6" t="str">
        <f t="shared" si="4"/>
        <v>NACE C - 16.1 Sawmilling and planing of wood; processing and finishing of wood</v>
      </c>
      <c r="E170" s="4" t="s">
        <v>730</v>
      </c>
      <c r="F170" t="s">
        <v>731</v>
      </c>
      <c r="G170" t="str">
        <f t="shared" si="5"/>
        <v>NL</v>
      </c>
      <c r="K170" t="s">
        <v>3355</v>
      </c>
      <c r="AA170" t="s">
        <v>3992</v>
      </c>
    </row>
    <row r="171" spans="1:27" x14ac:dyDescent="0.25">
      <c r="A171" s="7" t="s">
        <v>732</v>
      </c>
      <c r="B171" t="s">
        <v>733</v>
      </c>
      <c r="C171" s="5" t="s">
        <v>4205</v>
      </c>
      <c r="D171" s="7" t="str">
        <f t="shared" si="4"/>
        <v>NACE C - 16.11 Sawmilling and planing of wood</v>
      </c>
      <c r="E171" s="4" t="s">
        <v>734</v>
      </c>
      <c r="F171" t="s">
        <v>735</v>
      </c>
      <c r="G171" t="str">
        <f t="shared" si="5"/>
        <v>NO</v>
      </c>
      <c r="K171" t="s">
        <v>3356</v>
      </c>
    </row>
    <row r="172" spans="1:27" x14ac:dyDescent="0.25">
      <c r="A172" s="7" t="s">
        <v>736</v>
      </c>
      <c r="B172" t="s">
        <v>737</v>
      </c>
      <c r="C172" s="6" t="s">
        <v>4206</v>
      </c>
      <c r="D172" s="7" t="str">
        <f t="shared" si="4"/>
        <v>NACE C - 16.12 Processing and finishing of wood</v>
      </c>
      <c r="E172" s="4" t="s">
        <v>738</v>
      </c>
      <c r="F172" t="s">
        <v>739</v>
      </c>
      <c r="G172" t="str">
        <f t="shared" si="5"/>
        <v>NP</v>
      </c>
      <c r="K172" t="s">
        <v>3199</v>
      </c>
    </row>
    <row r="173" spans="1:27" x14ac:dyDescent="0.25">
      <c r="A173" s="6" t="s">
        <v>740</v>
      </c>
      <c r="B173" t="s">
        <v>741</v>
      </c>
      <c r="C173" s="5" t="s">
        <v>4207</v>
      </c>
      <c r="D173" s="6" t="str">
        <f t="shared" si="4"/>
        <v>NACE C - 16.2 Manufacture of products of wood, cork, straw and plaiting materials</v>
      </c>
      <c r="E173" s="4" t="s">
        <v>742</v>
      </c>
      <c r="F173" t="s">
        <v>743</v>
      </c>
      <c r="G173" t="str">
        <f t="shared" si="5"/>
        <v>NR</v>
      </c>
      <c r="K173" t="s">
        <v>2889</v>
      </c>
    </row>
    <row r="174" spans="1:27" x14ac:dyDescent="0.25">
      <c r="A174" s="7" t="s">
        <v>744</v>
      </c>
      <c r="B174" t="s">
        <v>745</v>
      </c>
      <c r="C174" s="6" t="s">
        <v>4208</v>
      </c>
      <c r="D174" s="7" t="str">
        <f t="shared" si="4"/>
        <v>NACE C - 16.21 Manufacture of veneer sheets and wood-based panels</v>
      </c>
      <c r="E174" s="4" t="s">
        <v>746</v>
      </c>
      <c r="F174" t="s">
        <v>747</v>
      </c>
      <c r="G174" t="str">
        <f t="shared" si="5"/>
        <v>NT</v>
      </c>
      <c r="K174" t="s">
        <v>2890</v>
      </c>
    </row>
    <row r="175" spans="1:27" x14ac:dyDescent="0.25">
      <c r="A175" s="7" t="s">
        <v>748</v>
      </c>
      <c r="B175" t="s">
        <v>749</v>
      </c>
      <c r="C175" s="6" t="s">
        <v>4209</v>
      </c>
      <c r="D175" s="7" t="str">
        <f t="shared" si="4"/>
        <v>NACE C - 16.22 Manufacture of assembled parquet floors</v>
      </c>
      <c r="E175" s="4" t="s">
        <v>750</v>
      </c>
      <c r="F175" t="s">
        <v>751</v>
      </c>
      <c r="G175" t="str">
        <f t="shared" si="5"/>
        <v>NU</v>
      </c>
      <c r="K175" t="s">
        <v>2891</v>
      </c>
    </row>
    <row r="176" spans="1:27" x14ac:dyDescent="0.25">
      <c r="A176" s="7" t="s">
        <v>752</v>
      </c>
      <c r="B176" t="s">
        <v>753</v>
      </c>
      <c r="C176" s="6" t="s">
        <v>4210</v>
      </c>
      <c r="D176" s="7" t="str">
        <f t="shared" si="4"/>
        <v>NACE C - 16.23 Manufacture of other builders’ carpentry and joinery</v>
      </c>
      <c r="E176" s="4" t="s">
        <v>754</v>
      </c>
      <c r="F176" t="s">
        <v>755</v>
      </c>
      <c r="G176" t="str">
        <f t="shared" si="5"/>
        <v>NZ</v>
      </c>
      <c r="K176" t="s">
        <v>2892</v>
      </c>
    </row>
    <row r="177" spans="1:11" x14ac:dyDescent="0.25">
      <c r="A177" s="7" t="s">
        <v>756</v>
      </c>
      <c r="B177" t="s">
        <v>757</v>
      </c>
      <c r="C177" s="5" t="s">
        <v>4211</v>
      </c>
      <c r="D177" s="7" t="str">
        <f t="shared" si="4"/>
        <v>NACE C - 16.24 Manufacture of wooden containers</v>
      </c>
      <c r="E177" s="4" t="s">
        <v>758</v>
      </c>
      <c r="F177" t="s">
        <v>759</v>
      </c>
      <c r="G177" t="str">
        <f t="shared" si="5"/>
        <v>OM</v>
      </c>
      <c r="K177" t="s">
        <v>2893</v>
      </c>
    </row>
    <row r="178" spans="1:11" x14ac:dyDescent="0.25">
      <c r="A178" s="7" t="s">
        <v>760</v>
      </c>
      <c r="B178" t="s">
        <v>761</v>
      </c>
      <c r="C178" s="6" t="s">
        <v>4212</v>
      </c>
      <c r="D178" s="7" t="str">
        <f t="shared" si="4"/>
        <v>NACE C - 16.25 Manufacture of doors and windows of wood</v>
      </c>
      <c r="E178" s="4" t="s">
        <v>762</v>
      </c>
      <c r="F178" t="s">
        <v>763</v>
      </c>
      <c r="G178" t="str">
        <f t="shared" si="5"/>
        <v>PA</v>
      </c>
      <c r="K178" t="s">
        <v>2894</v>
      </c>
    </row>
    <row r="179" spans="1:11" x14ac:dyDescent="0.25">
      <c r="A179" s="7" t="s">
        <v>764</v>
      </c>
      <c r="B179" t="s">
        <v>765</v>
      </c>
      <c r="C179" s="6" t="s">
        <v>4213</v>
      </c>
      <c r="D179" s="7" t="str">
        <f t="shared" si="4"/>
        <v>NACE C - 16.26 Manufacture of solid fuels from vegetable biomass</v>
      </c>
      <c r="E179" s="4" t="s">
        <v>766</v>
      </c>
      <c r="F179" t="s">
        <v>767</v>
      </c>
      <c r="G179" t="str">
        <f t="shared" si="5"/>
        <v>PE</v>
      </c>
      <c r="K179" t="s">
        <v>2895</v>
      </c>
    </row>
    <row r="180" spans="1:11" x14ac:dyDescent="0.25">
      <c r="A180" s="7" t="s">
        <v>768</v>
      </c>
      <c r="B180" t="s">
        <v>769</v>
      </c>
      <c r="C180" s="6" t="s">
        <v>4214</v>
      </c>
      <c r="D180" s="7" t="str">
        <f t="shared" si="4"/>
        <v>NACE C - 16.27 Finishing of wooden products</v>
      </c>
      <c r="E180" s="4" t="s">
        <v>770</v>
      </c>
      <c r="F180" t="s">
        <v>771</v>
      </c>
      <c r="G180" t="str">
        <f t="shared" si="5"/>
        <v>PF</v>
      </c>
      <c r="K180" t="s">
        <v>2896</v>
      </c>
    </row>
    <row r="181" spans="1:11" x14ac:dyDescent="0.25">
      <c r="A181" s="7" t="s">
        <v>772</v>
      </c>
      <c r="B181" t="s">
        <v>773</v>
      </c>
      <c r="C181" s="6" t="s">
        <v>4215</v>
      </c>
      <c r="D181" s="7" t="str">
        <f t="shared" si="4"/>
        <v>NACE C - 16.28 Manufacture of other products of wood and articles of cork, straw and plaiting materials</v>
      </c>
      <c r="E181" s="4" t="s">
        <v>774</v>
      </c>
      <c r="F181" t="s">
        <v>775</v>
      </c>
      <c r="G181" t="str">
        <f t="shared" si="5"/>
        <v>PG</v>
      </c>
      <c r="K181" t="s">
        <v>2897</v>
      </c>
    </row>
    <row r="182" spans="1:11" x14ac:dyDescent="0.25">
      <c r="A182" s="5" t="s">
        <v>776</v>
      </c>
      <c r="B182" t="s">
        <v>777</v>
      </c>
      <c r="C182" s="6" t="s">
        <v>4216</v>
      </c>
      <c r="D182" s="5" t="str">
        <f t="shared" si="4"/>
        <v>NACE C - 17 Manufacture of paper and paper products</v>
      </c>
      <c r="E182" s="4" t="s">
        <v>778</v>
      </c>
      <c r="F182" t="s">
        <v>779</v>
      </c>
      <c r="G182" t="str">
        <f t="shared" si="5"/>
        <v>PH</v>
      </c>
      <c r="K182" t="s">
        <v>2898</v>
      </c>
    </row>
    <row r="183" spans="1:11" x14ac:dyDescent="0.25">
      <c r="A183" s="6" t="s">
        <v>780</v>
      </c>
      <c r="B183" t="s">
        <v>781</v>
      </c>
      <c r="C183" s="6" t="s">
        <v>4217</v>
      </c>
      <c r="D183" s="6" t="str">
        <f t="shared" si="4"/>
        <v>NACE C - 17.1 Manufacture of pulp, paper and paperboard</v>
      </c>
      <c r="E183" s="4" t="s">
        <v>782</v>
      </c>
      <c r="F183" t="s">
        <v>783</v>
      </c>
      <c r="G183" t="str">
        <f t="shared" si="5"/>
        <v>PK</v>
      </c>
      <c r="K183" t="s">
        <v>3357</v>
      </c>
    </row>
    <row r="184" spans="1:11" x14ac:dyDescent="0.25">
      <c r="A184" s="7" t="s">
        <v>784</v>
      </c>
      <c r="B184" t="s">
        <v>785</v>
      </c>
      <c r="C184" s="6" t="s">
        <v>4218</v>
      </c>
      <c r="D184" s="7" t="str">
        <f t="shared" si="4"/>
        <v>NACE C - 17.11 Manufacture of pulp</v>
      </c>
      <c r="E184" s="4" t="s">
        <v>786</v>
      </c>
      <c r="F184" t="s">
        <v>787</v>
      </c>
      <c r="G184" t="str">
        <f t="shared" si="5"/>
        <v>PL</v>
      </c>
      <c r="K184" t="s">
        <v>2899</v>
      </c>
    </row>
    <row r="185" spans="1:11" x14ac:dyDescent="0.25">
      <c r="A185" s="7" t="s">
        <v>788</v>
      </c>
      <c r="B185" t="s">
        <v>789</v>
      </c>
      <c r="C185" s="4" t="s">
        <v>4204</v>
      </c>
      <c r="D185" s="7" t="str">
        <f t="shared" si="4"/>
        <v>NACE C - 17.12 Manufacture of paper and paperboard</v>
      </c>
      <c r="E185" s="4" t="s">
        <v>790</v>
      </c>
      <c r="F185" t="s">
        <v>791</v>
      </c>
      <c r="G185" t="str">
        <f t="shared" si="5"/>
        <v>PM</v>
      </c>
      <c r="K185" t="s">
        <v>2900</v>
      </c>
    </row>
    <row r="186" spans="1:11" x14ac:dyDescent="0.25">
      <c r="A186" s="6" t="s">
        <v>792</v>
      </c>
      <c r="B186" t="s">
        <v>793</v>
      </c>
      <c r="C186" s="5" t="s">
        <v>4220</v>
      </c>
      <c r="D186" s="6" t="str">
        <f t="shared" si="4"/>
        <v>NACE C - 17.2 Manufacture of articles of paper and paperboard</v>
      </c>
      <c r="E186" s="4" t="s">
        <v>794</v>
      </c>
      <c r="F186" t="s">
        <v>795</v>
      </c>
      <c r="G186" t="str">
        <f t="shared" si="5"/>
        <v>PN</v>
      </c>
      <c r="K186" t="s">
        <v>3200</v>
      </c>
    </row>
    <row r="187" spans="1:11" x14ac:dyDescent="0.25">
      <c r="A187" s="7" t="s">
        <v>796</v>
      </c>
      <c r="B187" t="s">
        <v>797</v>
      </c>
      <c r="C187" s="6" t="s">
        <v>4221</v>
      </c>
      <c r="D187" s="7" t="str">
        <f t="shared" si="4"/>
        <v>NACE C - 17.21 Manufacture of corrugated paper, paperboard and containers of paper and paperboard</v>
      </c>
      <c r="E187" s="4" t="s">
        <v>798</v>
      </c>
      <c r="F187" t="s">
        <v>799</v>
      </c>
      <c r="G187" t="str">
        <f t="shared" si="5"/>
        <v>PR</v>
      </c>
      <c r="K187" t="s">
        <v>2901</v>
      </c>
    </row>
    <row r="188" spans="1:11" x14ac:dyDescent="0.25">
      <c r="A188" s="7" t="s">
        <v>800</v>
      </c>
      <c r="B188" t="s">
        <v>801</v>
      </c>
      <c r="C188" s="6" t="s">
        <v>4222</v>
      </c>
      <c r="D188" s="7" t="str">
        <f t="shared" si="4"/>
        <v>NACE C - 17.22 Manufacture of household and sanitary goods and of toilet requisites</v>
      </c>
      <c r="E188" s="4" t="s">
        <v>802</v>
      </c>
      <c r="F188" t="s">
        <v>803</v>
      </c>
      <c r="G188" t="str">
        <f t="shared" si="5"/>
        <v>PS</v>
      </c>
      <c r="K188" t="s">
        <v>3358</v>
      </c>
    </row>
    <row r="189" spans="1:11" x14ac:dyDescent="0.25">
      <c r="A189" s="7" t="s">
        <v>804</v>
      </c>
      <c r="B189" t="s">
        <v>805</v>
      </c>
      <c r="C189" s="6" t="s">
        <v>4223</v>
      </c>
      <c r="D189" s="7" t="str">
        <f t="shared" si="4"/>
        <v>NACE C - 17.23 Manufacture of paper stationery</v>
      </c>
      <c r="E189" s="4" t="s">
        <v>806</v>
      </c>
      <c r="F189" t="s">
        <v>807</v>
      </c>
      <c r="G189" t="str">
        <f t="shared" si="5"/>
        <v>PT</v>
      </c>
      <c r="K189" t="s">
        <v>3359</v>
      </c>
    </row>
    <row r="190" spans="1:11" x14ac:dyDescent="0.25">
      <c r="A190" s="7" t="s">
        <v>808</v>
      </c>
      <c r="B190" t="s">
        <v>809</v>
      </c>
      <c r="C190" s="6" t="s">
        <v>4224</v>
      </c>
      <c r="D190" s="7" t="str">
        <f t="shared" si="4"/>
        <v>NACE C - 17.24 Manufacture of wallpaper</v>
      </c>
      <c r="E190" s="4" t="s">
        <v>810</v>
      </c>
      <c r="F190" t="s">
        <v>811</v>
      </c>
      <c r="G190" t="str">
        <f t="shared" si="5"/>
        <v>PW</v>
      </c>
      <c r="K190" t="s">
        <v>3360</v>
      </c>
    </row>
    <row r="191" spans="1:11" x14ac:dyDescent="0.25">
      <c r="A191" s="7" t="s">
        <v>812</v>
      </c>
      <c r="B191" t="s">
        <v>813</v>
      </c>
      <c r="C191" s="6" t="s">
        <v>4225</v>
      </c>
      <c r="D191" s="7" t="str">
        <f t="shared" si="4"/>
        <v>NACE C - 17.25 Manufacture of other articles of paper and paperboard</v>
      </c>
      <c r="E191" s="4" t="s">
        <v>814</v>
      </c>
      <c r="F191" t="s">
        <v>815</v>
      </c>
      <c r="G191" t="str">
        <f t="shared" si="5"/>
        <v>PY</v>
      </c>
      <c r="K191" t="s">
        <v>3361</v>
      </c>
    </row>
    <row r="192" spans="1:11" x14ac:dyDescent="0.25">
      <c r="A192" s="5" t="s">
        <v>816</v>
      </c>
      <c r="B192" t="s">
        <v>817</v>
      </c>
      <c r="C192" s="6" t="s">
        <v>4226</v>
      </c>
      <c r="D192" s="5" t="str">
        <f t="shared" si="4"/>
        <v>NACE C - 18 Printing and reproduction of recorded media</v>
      </c>
      <c r="E192" s="4" t="s">
        <v>818</v>
      </c>
      <c r="F192" t="s">
        <v>819</v>
      </c>
      <c r="G192" t="str">
        <f t="shared" si="5"/>
        <v>QA</v>
      </c>
      <c r="K192" t="s">
        <v>2902</v>
      </c>
    </row>
    <row r="193" spans="1:11" x14ac:dyDescent="0.25">
      <c r="A193" s="6" t="s">
        <v>820</v>
      </c>
      <c r="B193" t="s">
        <v>821</v>
      </c>
      <c r="C193" s="6" t="s">
        <v>4227</v>
      </c>
      <c r="D193" s="6" t="str">
        <f t="shared" si="4"/>
        <v>NACE C - 18.1 Printing and service activities related to printing</v>
      </c>
      <c r="E193" s="4" t="s">
        <v>822</v>
      </c>
      <c r="F193" t="s">
        <v>823</v>
      </c>
      <c r="G193" t="str">
        <f t="shared" si="5"/>
        <v>RE</v>
      </c>
      <c r="K193" t="s">
        <v>3201</v>
      </c>
    </row>
    <row r="194" spans="1:11" x14ac:dyDescent="0.25">
      <c r="A194" s="7" t="s">
        <v>824</v>
      </c>
      <c r="B194" t="s">
        <v>825</v>
      </c>
      <c r="C194" s="6" t="s">
        <v>4228</v>
      </c>
      <c r="D194" s="7" t="str">
        <f t="shared" ref="D194:D257" si="6">_xlfn.CONCAT("NACE ", A194)</f>
        <v>NACE C - 18.11 Printing of newspapers</v>
      </c>
      <c r="E194" s="4" t="s">
        <v>826</v>
      </c>
      <c r="F194" t="s">
        <v>827</v>
      </c>
      <c r="G194" t="str">
        <f t="shared" si="5"/>
        <v>RO</v>
      </c>
      <c r="K194" t="s">
        <v>3362</v>
      </c>
    </row>
    <row r="195" spans="1:11" x14ac:dyDescent="0.25">
      <c r="A195" s="7" t="s">
        <v>828</v>
      </c>
      <c r="B195" t="s">
        <v>829</v>
      </c>
      <c r="C195" s="6" t="s">
        <v>4229</v>
      </c>
      <c r="D195" s="7" t="str">
        <f t="shared" si="6"/>
        <v>NACE C - 18.12 Other printing</v>
      </c>
      <c r="E195" s="4" t="s">
        <v>830</v>
      </c>
      <c r="F195" t="s">
        <v>831</v>
      </c>
      <c r="G195" t="str">
        <f t="shared" ref="G195:G257" si="7">RIGHT(F195,2)</f>
        <v>RS</v>
      </c>
      <c r="K195" t="s">
        <v>2903</v>
      </c>
    </row>
    <row r="196" spans="1:11" x14ac:dyDescent="0.25">
      <c r="A196" s="7" t="s">
        <v>832</v>
      </c>
      <c r="B196" t="s">
        <v>833</v>
      </c>
      <c r="C196" s="5" t="s">
        <v>4230</v>
      </c>
      <c r="D196" s="7" t="str">
        <f t="shared" si="6"/>
        <v>NACE C - 18.13 Pre-press and pre-media services</v>
      </c>
      <c r="E196" s="4" t="s">
        <v>834</v>
      </c>
      <c r="F196" t="s">
        <v>835</v>
      </c>
      <c r="G196" t="str">
        <f t="shared" si="7"/>
        <v>RU</v>
      </c>
      <c r="K196" t="s">
        <v>3202</v>
      </c>
    </row>
    <row r="197" spans="1:11" x14ac:dyDescent="0.25">
      <c r="A197" s="7" t="s">
        <v>836</v>
      </c>
      <c r="B197" t="s">
        <v>837</v>
      </c>
      <c r="C197" s="6" t="s">
        <v>4231</v>
      </c>
      <c r="D197" s="7" t="str">
        <f t="shared" si="6"/>
        <v>NACE C - 18.14 Binding and related services</v>
      </c>
      <c r="E197" s="4" t="s">
        <v>838</v>
      </c>
      <c r="F197" t="s">
        <v>839</v>
      </c>
      <c r="G197" t="str">
        <f t="shared" si="7"/>
        <v>RW</v>
      </c>
      <c r="K197" t="s">
        <v>2904</v>
      </c>
    </row>
    <row r="198" spans="1:11" x14ac:dyDescent="0.25">
      <c r="A198" s="6" t="s">
        <v>840</v>
      </c>
      <c r="B198" t="s">
        <v>841</v>
      </c>
      <c r="C198" s="6" t="s">
        <v>4232</v>
      </c>
      <c r="D198" s="6" t="str">
        <f t="shared" si="6"/>
        <v>NACE C - 18.2 Reproduction of recorded media</v>
      </c>
      <c r="E198" s="4" t="s">
        <v>842</v>
      </c>
      <c r="F198" t="s">
        <v>843</v>
      </c>
      <c r="G198" t="str">
        <f t="shared" si="7"/>
        <v>SA</v>
      </c>
      <c r="K198" t="s">
        <v>2905</v>
      </c>
    </row>
    <row r="199" spans="1:11" x14ac:dyDescent="0.25">
      <c r="A199" s="7" t="s">
        <v>844</v>
      </c>
      <c r="B199" t="s">
        <v>845</v>
      </c>
      <c r="C199" s="6" t="s">
        <v>4233</v>
      </c>
      <c r="D199" s="7" t="str">
        <f t="shared" si="6"/>
        <v>NACE C - 18.20 Reproduction of recorded media</v>
      </c>
      <c r="E199" s="4" t="s">
        <v>846</v>
      </c>
      <c r="F199" t="s">
        <v>847</v>
      </c>
      <c r="G199" t="str">
        <f t="shared" si="7"/>
        <v>SB</v>
      </c>
      <c r="K199" t="s">
        <v>3203</v>
      </c>
    </row>
    <row r="200" spans="1:11" x14ac:dyDescent="0.25">
      <c r="A200" s="5" t="s">
        <v>848</v>
      </c>
      <c r="B200" t="s">
        <v>849</v>
      </c>
      <c r="C200" s="6" t="s">
        <v>4234</v>
      </c>
      <c r="D200" s="5" t="str">
        <f t="shared" si="6"/>
        <v>NACE C - 19 Manufacture of coke and refined petroleum products</v>
      </c>
      <c r="E200" s="4" t="s">
        <v>850</v>
      </c>
      <c r="F200" t="s">
        <v>851</v>
      </c>
      <c r="G200" t="str">
        <f t="shared" si="7"/>
        <v>SC</v>
      </c>
      <c r="K200" t="s">
        <v>3363</v>
      </c>
    </row>
    <row r="201" spans="1:11" x14ac:dyDescent="0.25">
      <c r="A201" s="6" t="s">
        <v>852</v>
      </c>
      <c r="B201" t="s">
        <v>853</v>
      </c>
      <c r="C201" s="6" t="s">
        <v>4235</v>
      </c>
      <c r="D201" s="6" t="str">
        <f t="shared" si="6"/>
        <v>NACE C - 19.1 Manufacture of coke oven products</v>
      </c>
      <c r="E201" s="4" t="s">
        <v>854</v>
      </c>
      <c r="F201" t="s">
        <v>855</v>
      </c>
      <c r="G201" t="str">
        <f t="shared" si="7"/>
        <v>SD</v>
      </c>
      <c r="K201" t="s">
        <v>3364</v>
      </c>
    </row>
    <row r="202" spans="1:11" x14ac:dyDescent="0.25">
      <c r="A202" s="7" t="s">
        <v>856</v>
      </c>
      <c r="B202" t="s">
        <v>857</v>
      </c>
      <c r="C202" s="6" t="s">
        <v>4236</v>
      </c>
      <c r="D202" s="7" t="str">
        <f t="shared" si="6"/>
        <v>NACE C - 19.10 Manufacture of coke oven products</v>
      </c>
      <c r="E202" s="4" t="s">
        <v>858</v>
      </c>
      <c r="F202" t="s">
        <v>859</v>
      </c>
      <c r="G202" t="str">
        <f t="shared" si="7"/>
        <v>SE</v>
      </c>
      <c r="K202" t="s">
        <v>2906</v>
      </c>
    </row>
    <row r="203" spans="1:11" x14ac:dyDescent="0.25">
      <c r="A203" s="6" t="s">
        <v>860</v>
      </c>
      <c r="B203" t="s">
        <v>861</v>
      </c>
      <c r="C203" s="6" t="s">
        <v>4237</v>
      </c>
      <c r="D203" s="6" t="str">
        <f t="shared" si="6"/>
        <v>NACE C - 19.2 Manufacture of refined petroleum products and fossil fuel products</v>
      </c>
      <c r="E203" s="4" t="s">
        <v>862</v>
      </c>
      <c r="F203" t="s">
        <v>863</v>
      </c>
      <c r="G203" t="str">
        <f t="shared" si="7"/>
        <v>SG</v>
      </c>
      <c r="K203" t="s">
        <v>3204</v>
      </c>
    </row>
    <row r="204" spans="1:11" x14ac:dyDescent="0.25">
      <c r="A204" s="7" t="s">
        <v>864</v>
      </c>
      <c r="B204" t="s">
        <v>865</v>
      </c>
      <c r="C204" s="6" t="s">
        <v>4238</v>
      </c>
      <c r="D204" s="7" t="str">
        <f t="shared" si="6"/>
        <v>NACE C - 19.20 Manufacture of refined petroleum products and fossil fuel products</v>
      </c>
      <c r="E204" s="4" t="s">
        <v>866</v>
      </c>
      <c r="F204" t="s">
        <v>867</v>
      </c>
      <c r="G204" t="str">
        <f t="shared" si="7"/>
        <v>SH</v>
      </c>
      <c r="K204" t="s">
        <v>2907</v>
      </c>
    </row>
    <row r="205" spans="1:11" x14ac:dyDescent="0.25">
      <c r="A205" s="5" t="s">
        <v>868</v>
      </c>
      <c r="B205" t="s">
        <v>869</v>
      </c>
      <c r="C205" s="6" t="s">
        <v>4239</v>
      </c>
      <c r="D205" s="5" t="str">
        <f t="shared" si="6"/>
        <v>NACE C - 20 Manufacture of chemicals and chemical products</v>
      </c>
      <c r="E205" s="4" t="s">
        <v>870</v>
      </c>
      <c r="F205" t="s">
        <v>871</v>
      </c>
      <c r="G205" t="str">
        <f t="shared" si="7"/>
        <v>SI</v>
      </c>
      <c r="K205" t="s">
        <v>3205</v>
      </c>
    </row>
    <row r="206" spans="1:11" x14ac:dyDescent="0.25">
      <c r="A206" s="6" t="s">
        <v>872</v>
      </c>
      <c r="B206" t="s">
        <v>873</v>
      </c>
      <c r="C206" s="4" t="s">
        <v>4219</v>
      </c>
      <c r="D206" s="6" t="str">
        <f t="shared" si="6"/>
        <v>NACE C - 20.1 Manufacture of basic chemicals, fertilisers and nitrogen compounds, plastics and synthetic rubber in primary forms</v>
      </c>
      <c r="E206" s="4" t="s">
        <v>874</v>
      </c>
      <c r="F206" t="s">
        <v>875</v>
      </c>
      <c r="G206" t="str">
        <f t="shared" si="7"/>
        <v>SJ</v>
      </c>
      <c r="K206" t="s">
        <v>2908</v>
      </c>
    </row>
    <row r="207" spans="1:11" x14ac:dyDescent="0.25">
      <c r="A207" s="7" t="s">
        <v>876</v>
      </c>
      <c r="B207" t="s">
        <v>877</v>
      </c>
      <c r="C207" s="5" t="s">
        <v>4241</v>
      </c>
      <c r="D207" s="7" t="str">
        <f t="shared" si="6"/>
        <v>NACE C - 20.11 Manufacture of industrial gases</v>
      </c>
      <c r="E207" s="4" t="s">
        <v>878</v>
      </c>
      <c r="F207" t="s">
        <v>879</v>
      </c>
      <c r="G207" t="str">
        <f t="shared" si="7"/>
        <v>SK</v>
      </c>
      <c r="K207" t="s">
        <v>2909</v>
      </c>
    </row>
    <row r="208" spans="1:11" x14ac:dyDescent="0.25">
      <c r="A208" s="7" t="s">
        <v>880</v>
      </c>
      <c r="B208" t="s">
        <v>881</v>
      </c>
      <c r="C208" s="6" t="s">
        <v>4242</v>
      </c>
      <c r="D208" s="7" t="str">
        <f t="shared" si="6"/>
        <v>NACE C - 20.12 Manufacture of dyes and pigments</v>
      </c>
      <c r="E208" s="4" t="s">
        <v>882</v>
      </c>
      <c r="F208" t="s">
        <v>883</v>
      </c>
      <c r="G208" t="str">
        <f t="shared" si="7"/>
        <v>SL</v>
      </c>
      <c r="K208" t="s">
        <v>2910</v>
      </c>
    </row>
    <row r="209" spans="1:11" x14ac:dyDescent="0.25">
      <c r="A209" s="7" t="s">
        <v>884</v>
      </c>
      <c r="B209" t="s">
        <v>885</v>
      </c>
      <c r="C209" s="6" t="s">
        <v>4243</v>
      </c>
      <c r="D209" s="7" t="str">
        <f t="shared" si="6"/>
        <v>NACE C - 20.13 Manufacture of other inorganic basic chemicals</v>
      </c>
      <c r="E209" s="4" t="s">
        <v>886</v>
      </c>
      <c r="F209" t="s">
        <v>887</v>
      </c>
      <c r="G209" t="str">
        <f t="shared" si="7"/>
        <v>SM</v>
      </c>
      <c r="K209" t="s">
        <v>3206</v>
      </c>
    </row>
    <row r="210" spans="1:11" x14ac:dyDescent="0.25">
      <c r="A210" s="7" t="s">
        <v>888</v>
      </c>
      <c r="B210" t="s">
        <v>889</v>
      </c>
      <c r="C210" s="6" t="s">
        <v>4244</v>
      </c>
      <c r="D210" s="7" t="str">
        <f t="shared" si="6"/>
        <v>NACE C - 20.14 Manufacture of other organic basic chemicals</v>
      </c>
      <c r="E210" s="4" t="s">
        <v>890</v>
      </c>
      <c r="F210" t="s">
        <v>891</v>
      </c>
      <c r="G210" t="str">
        <f t="shared" si="7"/>
        <v>SN</v>
      </c>
      <c r="K210" t="s">
        <v>2911</v>
      </c>
    </row>
    <row r="211" spans="1:11" x14ac:dyDescent="0.25">
      <c r="A211" s="7" t="s">
        <v>892</v>
      </c>
      <c r="B211" t="s">
        <v>893</v>
      </c>
      <c r="C211" s="6" t="s">
        <v>4245</v>
      </c>
      <c r="D211" s="7" t="str">
        <f t="shared" si="6"/>
        <v>NACE C - 20.15 Manufacture of fertilisers and nitrogen compounds</v>
      </c>
      <c r="E211" s="4" t="s">
        <v>894</v>
      </c>
      <c r="F211" t="s">
        <v>895</v>
      </c>
      <c r="G211" t="str">
        <f t="shared" si="7"/>
        <v>SO</v>
      </c>
      <c r="K211" t="s">
        <v>3207</v>
      </c>
    </row>
    <row r="212" spans="1:11" x14ac:dyDescent="0.25">
      <c r="A212" s="7" t="s">
        <v>896</v>
      </c>
      <c r="B212" t="s">
        <v>897</v>
      </c>
      <c r="C212" s="6" t="s">
        <v>4246</v>
      </c>
      <c r="D212" s="7" t="str">
        <f t="shared" si="6"/>
        <v>NACE C - 20.16 Manufacture of plastics in primary forms</v>
      </c>
      <c r="E212" s="4" t="s">
        <v>898</v>
      </c>
      <c r="F212" t="s">
        <v>899</v>
      </c>
      <c r="G212" t="str">
        <f t="shared" si="7"/>
        <v>SR</v>
      </c>
      <c r="K212" t="s">
        <v>2912</v>
      </c>
    </row>
    <row r="213" spans="1:11" x14ac:dyDescent="0.25">
      <c r="A213" s="7" t="s">
        <v>900</v>
      </c>
      <c r="B213" t="s">
        <v>901</v>
      </c>
      <c r="C213" s="5" t="s">
        <v>4247</v>
      </c>
      <c r="D213" s="7" t="str">
        <f t="shared" si="6"/>
        <v>NACE C - 20.17 Manufacture of synthetic rubber in primary forms</v>
      </c>
      <c r="E213" s="4" t="s">
        <v>902</v>
      </c>
      <c r="F213" t="s">
        <v>903</v>
      </c>
      <c r="G213" t="str">
        <f t="shared" si="7"/>
        <v>SS</v>
      </c>
      <c r="K213" t="s">
        <v>2913</v>
      </c>
    </row>
    <row r="214" spans="1:11" x14ac:dyDescent="0.25">
      <c r="A214" s="6" t="s">
        <v>904</v>
      </c>
      <c r="B214" t="s">
        <v>905</v>
      </c>
      <c r="C214" s="6" t="s">
        <v>4248</v>
      </c>
      <c r="D214" s="6" t="str">
        <f t="shared" si="6"/>
        <v>NACE C - 20.2 Manufacture of pesticides, disinfectants and other agrochemical products</v>
      </c>
      <c r="E214" s="4" t="s">
        <v>906</v>
      </c>
      <c r="F214" t="s">
        <v>907</v>
      </c>
      <c r="G214" t="str">
        <f t="shared" si="7"/>
        <v>ST</v>
      </c>
      <c r="K214" t="s">
        <v>3208</v>
      </c>
    </row>
    <row r="215" spans="1:11" x14ac:dyDescent="0.25">
      <c r="A215" s="7" t="s">
        <v>908</v>
      </c>
      <c r="B215" t="s">
        <v>909</v>
      </c>
      <c r="C215" s="6" t="s">
        <v>4249</v>
      </c>
      <c r="D215" s="7" t="str">
        <f t="shared" si="6"/>
        <v>NACE C - 20.20 Manufacture of pesticides, disinfectants and other agrochemical products</v>
      </c>
      <c r="E215" s="4" t="s">
        <v>910</v>
      </c>
      <c r="F215" t="s">
        <v>911</v>
      </c>
      <c r="G215" t="str">
        <f t="shared" si="7"/>
        <v>SV</v>
      </c>
      <c r="K215" t="s">
        <v>3365</v>
      </c>
    </row>
    <row r="216" spans="1:11" x14ac:dyDescent="0.25">
      <c r="A216" s="6" t="s">
        <v>912</v>
      </c>
      <c r="B216" t="s">
        <v>913</v>
      </c>
      <c r="C216" s="6" t="s">
        <v>4250</v>
      </c>
      <c r="D216" s="6" t="str">
        <f t="shared" si="6"/>
        <v>NACE C - 20.3 Manufacture of paints, varnishes and similar coatings, printing ink and mastics</v>
      </c>
      <c r="E216" s="4" t="s">
        <v>914</v>
      </c>
      <c r="F216" t="s">
        <v>915</v>
      </c>
      <c r="G216" t="str">
        <f t="shared" si="7"/>
        <v>SX</v>
      </c>
      <c r="K216" t="s">
        <v>3366</v>
      </c>
    </row>
    <row r="217" spans="1:11" x14ac:dyDescent="0.25">
      <c r="A217" s="7" t="s">
        <v>916</v>
      </c>
      <c r="B217" t="s">
        <v>917</v>
      </c>
      <c r="C217" s="6" t="s">
        <v>4251</v>
      </c>
      <c r="D217" s="7" t="str">
        <f t="shared" si="6"/>
        <v>NACE C - 20.30 Manufacture of paints, varnishes and similar coatings, printing ink and mastics</v>
      </c>
      <c r="E217" s="4" t="s">
        <v>918</v>
      </c>
      <c r="F217" t="s">
        <v>919</v>
      </c>
      <c r="G217" t="str">
        <f t="shared" si="7"/>
        <v>SY</v>
      </c>
      <c r="K217" t="s">
        <v>2914</v>
      </c>
    </row>
    <row r="218" spans="1:11" x14ac:dyDescent="0.25">
      <c r="A218" s="6" t="s">
        <v>920</v>
      </c>
      <c r="B218" t="s">
        <v>921</v>
      </c>
      <c r="C218" s="5" t="s">
        <v>4252</v>
      </c>
      <c r="D218" s="6" t="str">
        <f t="shared" si="6"/>
        <v>NACE C - 20.4 Manufacture of washing, cleaning and polishing preparations</v>
      </c>
      <c r="E218" s="4" t="s">
        <v>922</v>
      </c>
      <c r="F218" t="s">
        <v>923</v>
      </c>
      <c r="G218" t="str">
        <f t="shared" si="7"/>
        <v>SZ</v>
      </c>
      <c r="K218" t="s">
        <v>3367</v>
      </c>
    </row>
    <row r="219" spans="1:11" x14ac:dyDescent="0.25">
      <c r="A219" s="7" t="s">
        <v>924</v>
      </c>
      <c r="B219" t="s">
        <v>925</v>
      </c>
      <c r="C219" s="6" t="s">
        <v>4253</v>
      </c>
      <c r="D219" s="7" t="str">
        <f t="shared" si="6"/>
        <v>NACE C - 20.41 Manufacture of soap and detergents, cleaning and polishing preparations</v>
      </c>
      <c r="E219" s="4" t="s">
        <v>926</v>
      </c>
      <c r="F219" t="s">
        <v>927</v>
      </c>
      <c r="G219" t="str">
        <f t="shared" si="7"/>
        <v>TC</v>
      </c>
      <c r="K219" t="s">
        <v>2915</v>
      </c>
    </row>
    <row r="220" spans="1:11" x14ac:dyDescent="0.25">
      <c r="A220" s="7" t="s">
        <v>928</v>
      </c>
      <c r="B220" t="s">
        <v>929</v>
      </c>
      <c r="C220" s="6" t="s">
        <v>4254</v>
      </c>
      <c r="D220" s="7" t="str">
        <f t="shared" si="6"/>
        <v>NACE C - 20.42 Manufacture of perfume and toilet preparations</v>
      </c>
      <c r="E220" s="4" t="s">
        <v>930</v>
      </c>
      <c r="F220" t="s">
        <v>931</v>
      </c>
      <c r="G220" t="str">
        <f t="shared" si="7"/>
        <v>TD</v>
      </c>
      <c r="K220" t="s">
        <v>2759</v>
      </c>
    </row>
    <row r="221" spans="1:11" x14ac:dyDescent="0.25">
      <c r="A221" s="6" t="s">
        <v>932</v>
      </c>
      <c r="B221" t="s">
        <v>933</v>
      </c>
      <c r="C221" s="5" t="s">
        <v>4255</v>
      </c>
      <c r="D221" s="6" t="str">
        <f t="shared" si="6"/>
        <v>NACE C - 20.5 Manufacture of other chemical products</v>
      </c>
      <c r="E221" s="4" t="s">
        <v>934</v>
      </c>
      <c r="F221" t="s">
        <v>935</v>
      </c>
      <c r="G221" t="str">
        <f t="shared" si="7"/>
        <v>TF</v>
      </c>
      <c r="K221" t="s">
        <v>3209</v>
      </c>
    </row>
    <row r="222" spans="1:11" x14ac:dyDescent="0.25">
      <c r="A222" s="7" t="s">
        <v>936</v>
      </c>
      <c r="B222" t="s">
        <v>937</v>
      </c>
      <c r="C222" s="6" t="s">
        <v>4256</v>
      </c>
      <c r="D222" s="7" t="str">
        <f t="shared" si="6"/>
        <v>NACE C - 20.51 Manufacture of liquid biofuels</v>
      </c>
      <c r="E222" s="4" t="s">
        <v>938</v>
      </c>
      <c r="F222" t="s">
        <v>939</v>
      </c>
      <c r="G222" t="str">
        <f t="shared" si="7"/>
        <v>TG</v>
      </c>
      <c r="K222" t="s">
        <v>3378</v>
      </c>
    </row>
    <row r="223" spans="1:11" x14ac:dyDescent="0.25">
      <c r="A223" s="7" t="s">
        <v>940</v>
      </c>
      <c r="B223" t="s">
        <v>941</v>
      </c>
      <c r="C223" s="6" t="s">
        <v>4257</v>
      </c>
      <c r="D223" s="7" t="str">
        <f t="shared" si="6"/>
        <v>NACE C - 20.59 Manufacture of other chemical products n.e.c.</v>
      </c>
      <c r="E223" s="4" t="s">
        <v>942</v>
      </c>
      <c r="F223" t="s">
        <v>943</v>
      </c>
      <c r="G223" t="str">
        <f t="shared" si="7"/>
        <v>TH</v>
      </c>
      <c r="K223" t="s">
        <v>3379</v>
      </c>
    </row>
    <row r="224" spans="1:11" x14ac:dyDescent="0.25">
      <c r="A224" s="6" t="s">
        <v>944</v>
      </c>
      <c r="B224" t="s">
        <v>945</v>
      </c>
      <c r="C224" s="6" t="s">
        <v>4258</v>
      </c>
      <c r="D224" s="6" t="str">
        <f t="shared" si="6"/>
        <v>NACE C - 20.6 Manufacture of man-made fibres</v>
      </c>
      <c r="E224" s="4" t="s">
        <v>946</v>
      </c>
      <c r="F224" t="s">
        <v>947</v>
      </c>
      <c r="G224" t="str">
        <f t="shared" si="7"/>
        <v>TJ</v>
      </c>
      <c r="K224" t="s">
        <v>3380</v>
      </c>
    </row>
    <row r="225" spans="1:11" x14ac:dyDescent="0.25">
      <c r="A225" s="7" t="s">
        <v>948</v>
      </c>
      <c r="B225" t="s">
        <v>949</v>
      </c>
      <c r="C225" s="5" t="s">
        <v>4259</v>
      </c>
      <c r="D225" s="7" t="str">
        <f t="shared" si="6"/>
        <v>NACE C - 20.60 Manufacture of man-made fibres</v>
      </c>
      <c r="E225" s="4" t="s">
        <v>950</v>
      </c>
      <c r="F225" t="s">
        <v>951</v>
      </c>
      <c r="G225" t="str">
        <f t="shared" si="7"/>
        <v>TK</v>
      </c>
      <c r="K225" t="s">
        <v>3381</v>
      </c>
    </row>
    <row r="226" spans="1:11" x14ac:dyDescent="0.25">
      <c r="A226" s="5" t="s">
        <v>952</v>
      </c>
      <c r="B226" t="s">
        <v>953</v>
      </c>
      <c r="C226" s="6" t="s">
        <v>4260</v>
      </c>
      <c r="D226" s="5" t="str">
        <f t="shared" si="6"/>
        <v>NACE C - 21 Manufacture of basic pharmaceutical products and pharmaceutical preparations</v>
      </c>
      <c r="E226" s="4" t="s">
        <v>954</v>
      </c>
      <c r="F226" t="s">
        <v>955</v>
      </c>
      <c r="G226" t="str">
        <f t="shared" si="7"/>
        <v>TL</v>
      </c>
      <c r="K226" t="s">
        <v>3382</v>
      </c>
    </row>
    <row r="227" spans="1:11" x14ac:dyDescent="0.25">
      <c r="A227" s="6" t="s">
        <v>956</v>
      </c>
      <c r="B227" t="s">
        <v>957</v>
      </c>
      <c r="C227" s="6" t="s">
        <v>4261</v>
      </c>
      <c r="D227" s="6" t="str">
        <f t="shared" si="6"/>
        <v>NACE C - 21.1 Manufacture of basic pharmaceutical products</v>
      </c>
      <c r="E227" s="4" t="s">
        <v>958</v>
      </c>
      <c r="F227" t="s">
        <v>959</v>
      </c>
      <c r="G227" t="str">
        <f t="shared" si="7"/>
        <v>TM</v>
      </c>
      <c r="K227" t="s">
        <v>3383</v>
      </c>
    </row>
    <row r="228" spans="1:11" x14ac:dyDescent="0.25">
      <c r="A228" s="7" t="s">
        <v>960</v>
      </c>
      <c r="B228" t="s">
        <v>961</v>
      </c>
      <c r="C228" s="6" t="s">
        <v>4262</v>
      </c>
      <c r="D228" s="7" t="str">
        <f t="shared" si="6"/>
        <v>NACE C - 21.10 Manufacture of basic pharmaceutical products</v>
      </c>
      <c r="E228" s="4" t="s">
        <v>962</v>
      </c>
      <c r="F228" t="s">
        <v>963</v>
      </c>
      <c r="G228" t="str">
        <f t="shared" si="7"/>
        <v>TN</v>
      </c>
      <c r="K228" t="s">
        <v>3384</v>
      </c>
    </row>
    <row r="229" spans="1:11" x14ac:dyDescent="0.25">
      <c r="A229" s="6" t="s">
        <v>964</v>
      </c>
      <c r="B229" t="s">
        <v>965</v>
      </c>
      <c r="C229" s="4" t="s">
        <v>4240</v>
      </c>
      <c r="D229" s="6" t="str">
        <f t="shared" si="6"/>
        <v>NACE C - 21.2 Manufacture of pharmaceutical preparations</v>
      </c>
      <c r="E229" s="4" t="s">
        <v>966</v>
      </c>
      <c r="F229" t="s">
        <v>967</v>
      </c>
      <c r="G229" t="str">
        <f t="shared" si="7"/>
        <v>TO</v>
      </c>
      <c r="K229" t="s">
        <v>3385</v>
      </c>
    </row>
    <row r="230" spans="1:11" x14ac:dyDescent="0.25">
      <c r="A230" s="7" t="s">
        <v>968</v>
      </c>
      <c r="B230" t="s">
        <v>969</v>
      </c>
      <c r="C230" s="5" t="s">
        <v>4264</v>
      </c>
      <c r="D230" s="7" t="str">
        <f t="shared" si="6"/>
        <v>NACE C - 21.20 Manufacture of pharmaceutical preparations</v>
      </c>
      <c r="E230" s="4" t="s">
        <v>970</v>
      </c>
      <c r="F230" t="s">
        <v>971</v>
      </c>
      <c r="G230" t="str">
        <f t="shared" si="7"/>
        <v>TP</v>
      </c>
      <c r="K230" t="s">
        <v>2916</v>
      </c>
    </row>
    <row r="231" spans="1:11" x14ac:dyDescent="0.25">
      <c r="A231" s="5" t="s">
        <v>972</v>
      </c>
      <c r="B231" t="s">
        <v>973</v>
      </c>
      <c r="C231" s="6" t="s">
        <v>4265</v>
      </c>
      <c r="D231" s="5" t="str">
        <f t="shared" si="6"/>
        <v>NACE C - 22 Manufacture of rubber and plastic products</v>
      </c>
      <c r="E231" s="4" t="s">
        <v>974</v>
      </c>
      <c r="F231" t="s">
        <v>975</v>
      </c>
      <c r="G231" t="str">
        <f t="shared" si="7"/>
        <v>TR</v>
      </c>
      <c r="K231" t="s">
        <v>2917</v>
      </c>
    </row>
    <row r="232" spans="1:11" x14ac:dyDescent="0.25">
      <c r="A232" s="6" t="s">
        <v>976</v>
      </c>
      <c r="B232" t="s">
        <v>977</v>
      </c>
      <c r="C232" s="6" t="s">
        <v>4266</v>
      </c>
      <c r="D232" s="6" t="str">
        <f t="shared" si="6"/>
        <v>NACE C - 22.1 Manufacture of rubber products</v>
      </c>
      <c r="E232" s="4" t="s">
        <v>978</v>
      </c>
      <c r="F232" t="s">
        <v>979</v>
      </c>
      <c r="G232" t="str">
        <f t="shared" si="7"/>
        <v>TT</v>
      </c>
      <c r="K232" t="s">
        <v>3210</v>
      </c>
    </row>
    <row r="233" spans="1:11" x14ac:dyDescent="0.25">
      <c r="A233" s="7" t="s">
        <v>980</v>
      </c>
      <c r="B233" t="s">
        <v>981</v>
      </c>
      <c r="C233" s="6" t="s">
        <v>4267</v>
      </c>
      <c r="D233" s="7" t="str">
        <f t="shared" si="6"/>
        <v>NACE C - 22.11 Manufacture, retreading and rebuilding of rubber tyres and manufacture of tubes</v>
      </c>
      <c r="E233" s="4" t="s">
        <v>982</v>
      </c>
      <c r="F233" t="s">
        <v>983</v>
      </c>
      <c r="G233" t="str">
        <f t="shared" si="7"/>
        <v>TV</v>
      </c>
      <c r="K233" t="s">
        <v>3386</v>
      </c>
    </row>
    <row r="234" spans="1:11" x14ac:dyDescent="0.25">
      <c r="A234" s="7" t="s">
        <v>984</v>
      </c>
      <c r="B234" t="s">
        <v>985</v>
      </c>
      <c r="C234" s="6" t="s">
        <v>4268</v>
      </c>
      <c r="D234" s="7" t="str">
        <f t="shared" si="6"/>
        <v>NACE C - 22.12 Manufacture of other rubber products</v>
      </c>
      <c r="E234" s="4" t="s">
        <v>986</v>
      </c>
      <c r="F234" t="s">
        <v>987</v>
      </c>
      <c r="G234" t="str">
        <f t="shared" si="7"/>
        <v>TW</v>
      </c>
      <c r="K234" t="s">
        <v>3387</v>
      </c>
    </row>
    <row r="235" spans="1:11" x14ac:dyDescent="0.25">
      <c r="A235" s="6" t="s">
        <v>988</v>
      </c>
      <c r="B235" t="s">
        <v>989</v>
      </c>
      <c r="C235" s="6" t="s">
        <v>4269</v>
      </c>
      <c r="D235" s="6" t="str">
        <f t="shared" si="6"/>
        <v>NACE C - 22.2 Manufacture of plastic products</v>
      </c>
      <c r="E235" s="4" t="s">
        <v>990</v>
      </c>
      <c r="F235" t="s">
        <v>991</v>
      </c>
      <c r="G235" t="str">
        <f t="shared" si="7"/>
        <v>TZ</v>
      </c>
      <c r="K235" t="s">
        <v>3388</v>
      </c>
    </row>
    <row r="236" spans="1:11" x14ac:dyDescent="0.25">
      <c r="A236" s="7" t="s">
        <v>992</v>
      </c>
      <c r="B236" t="s">
        <v>993</v>
      </c>
      <c r="C236" s="5" t="s">
        <v>4270</v>
      </c>
      <c r="D236" s="7" t="str">
        <f t="shared" si="6"/>
        <v>NACE C - 22.21 Manufacture of plastic plates, sheets, tubes and profiles</v>
      </c>
      <c r="E236" s="4" t="s">
        <v>994</v>
      </c>
      <c r="F236" t="s">
        <v>995</v>
      </c>
      <c r="G236" t="str">
        <f t="shared" si="7"/>
        <v>UA</v>
      </c>
      <c r="K236" t="s">
        <v>3389</v>
      </c>
    </row>
    <row r="237" spans="1:11" x14ac:dyDescent="0.25">
      <c r="A237" s="7" t="s">
        <v>996</v>
      </c>
      <c r="B237" t="s">
        <v>997</v>
      </c>
      <c r="C237" s="6" t="s">
        <v>4271</v>
      </c>
      <c r="D237" s="7" t="str">
        <f t="shared" si="6"/>
        <v>NACE C - 22.22 Manufacture of plastic packing goods</v>
      </c>
      <c r="E237" s="4" t="s">
        <v>998</v>
      </c>
      <c r="F237" t="s">
        <v>999</v>
      </c>
      <c r="G237" t="str">
        <f t="shared" si="7"/>
        <v>UG</v>
      </c>
      <c r="K237" t="s">
        <v>3390</v>
      </c>
    </row>
    <row r="238" spans="1:11" x14ac:dyDescent="0.25">
      <c r="A238" s="7" t="s">
        <v>1000</v>
      </c>
      <c r="B238" t="s">
        <v>1001</v>
      </c>
      <c r="C238" s="6" t="s">
        <v>4272</v>
      </c>
      <c r="D238" s="7" t="str">
        <f t="shared" si="6"/>
        <v>NACE C - 22.23 Manufacture of doors and windows of plastic</v>
      </c>
      <c r="E238" s="4" t="s">
        <v>1002</v>
      </c>
      <c r="F238" t="s">
        <v>1003</v>
      </c>
      <c r="G238" t="str">
        <f t="shared" si="7"/>
        <v>UM</v>
      </c>
      <c r="K238" t="s">
        <v>3391</v>
      </c>
    </row>
    <row r="239" spans="1:11" x14ac:dyDescent="0.25">
      <c r="A239" s="7" t="s">
        <v>1004</v>
      </c>
      <c r="B239" t="s">
        <v>1005</v>
      </c>
      <c r="C239" s="7" t="s">
        <v>4273</v>
      </c>
      <c r="D239" s="7" t="str">
        <f t="shared" si="6"/>
        <v>NACE C - 22.24 Manufacture of builders’ ware of plastic</v>
      </c>
      <c r="E239" s="4" t="s">
        <v>1006</v>
      </c>
      <c r="F239" t="s">
        <v>1007</v>
      </c>
      <c r="G239" t="str">
        <f t="shared" si="7"/>
        <v>US</v>
      </c>
      <c r="K239" t="s">
        <v>3392</v>
      </c>
    </row>
    <row r="240" spans="1:11" x14ac:dyDescent="0.25">
      <c r="A240" s="7" t="s">
        <v>1008</v>
      </c>
      <c r="B240" t="s">
        <v>1009</v>
      </c>
      <c r="C240" s="6" t="s">
        <v>4274</v>
      </c>
      <c r="D240" s="7" t="str">
        <f t="shared" si="6"/>
        <v>NACE C - 22.25 Processing and finishing of plastic products</v>
      </c>
      <c r="E240" s="4" t="s">
        <v>1010</v>
      </c>
      <c r="F240" t="s">
        <v>1011</v>
      </c>
      <c r="G240" t="str">
        <f t="shared" si="7"/>
        <v>UY</v>
      </c>
      <c r="K240" t="s">
        <v>3393</v>
      </c>
    </row>
    <row r="241" spans="1:11" x14ac:dyDescent="0.25">
      <c r="A241" s="7" t="s">
        <v>1012</v>
      </c>
      <c r="B241" t="s">
        <v>1013</v>
      </c>
      <c r="C241" s="6" t="s">
        <v>4275</v>
      </c>
      <c r="D241" s="7" t="str">
        <f t="shared" si="6"/>
        <v>NACE C - 22.26 Manufacture of other plastic products</v>
      </c>
      <c r="E241" s="4" t="s">
        <v>1014</v>
      </c>
      <c r="F241" t="s">
        <v>1015</v>
      </c>
      <c r="G241" t="str">
        <f t="shared" si="7"/>
        <v>UZ</v>
      </c>
      <c r="K241" t="s">
        <v>2918</v>
      </c>
    </row>
    <row r="242" spans="1:11" x14ac:dyDescent="0.25">
      <c r="A242" s="5" t="s">
        <v>1016</v>
      </c>
      <c r="B242" t="s">
        <v>1017</v>
      </c>
      <c r="C242" s="4" t="s">
        <v>4263</v>
      </c>
      <c r="D242" s="5" t="str">
        <f t="shared" si="6"/>
        <v>NACE C - 23 Manufacture of other non-metallic mineral products</v>
      </c>
      <c r="E242" s="4" t="s">
        <v>1018</v>
      </c>
      <c r="F242" t="s">
        <v>1019</v>
      </c>
      <c r="G242" t="str">
        <f t="shared" si="7"/>
        <v>VA</v>
      </c>
      <c r="K242" t="s">
        <v>2919</v>
      </c>
    </row>
    <row r="243" spans="1:11" x14ac:dyDescent="0.25">
      <c r="A243" s="6" t="s">
        <v>1020</v>
      </c>
      <c r="B243" t="s">
        <v>1021</v>
      </c>
      <c r="C243" s="5" t="s">
        <v>4277</v>
      </c>
      <c r="D243" s="6" t="str">
        <f t="shared" si="6"/>
        <v>NACE C - 23.1 Manufacture of glass and glass products</v>
      </c>
      <c r="E243" s="4" t="s">
        <v>1022</v>
      </c>
      <c r="F243" t="s">
        <v>1023</v>
      </c>
      <c r="G243" t="str">
        <f t="shared" si="7"/>
        <v>VC</v>
      </c>
      <c r="K243" t="s">
        <v>2920</v>
      </c>
    </row>
    <row r="244" spans="1:11" x14ac:dyDescent="0.25">
      <c r="A244" s="7" t="s">
        <v>1024</v>
      </c>
      <c r="B244" t="s">
        <v>1025</v>
      </c>
      <c r="C244" s="6" t="s">
        <v>4278</v>
      </c>
      <c r="D244" s="7" t="str">
        <f t="shared" si="6"/>
        <v>NACE C - 23.11 Manufacture of flat glass</v>
      </c>
      <c r="E244" s="4" t="s">
        <v>1026</v>
      </c>
      <c r="F244" t="s">
        <v>1027</v>
      </c>
      <c r="G244" t="str">
        <f t="shared" si="7"/>
        <v>VE</v>
      </c>
      <c r="K244" t="s">
        <v>3211</v>
      </c>
    </row>
    <row r="245" spans="1:11" x14ac:dyDescent="0.25">
      <c r="A245" s="7" t="s">
        <v>1028</v>
      </c>
      <c r="B245" t="s">
        <v>1029</v>
      </c>
      <c r="C245" s="6" t="s">
        <v>4279</v>
      </c>
      <c r="D245" s="7" t="str">
        <f t="shared" si="6"/>
        <v>NACE C - 23.12 Shaping and processing of flat glass</v>
      </c>
      <c r="E245" s="4" t="s">
        <v>1030</v>
      </c>
      <c r="F245" t="s">
        <v>1031</v>
      </c>
      <c r="G245" t="str">
        <f t="shared" si="7"/>
        <v>VG</v>
      </c>
      <c r="K245" t="s">
        <v>3394</v>
      </c>
    </row>
    <row r="246" spans="1:11" x14ac:dyDescent="0.25">
      <c r="A246" s="7" t="s">
        <v>1032</v>
      </c>
      <c r="B246" t="s">
        <v>1033</v>
      </c>
      <c r="C246" s="5" t="s">
        <v>4280</v>
      </c>
      <c r="D246" s="7" t="str">
        <f t="shared" si="6"/>
        <v>NACE C - 23.13 Manufacture of hollow glass</v>
      </c>
      <c r="E246" s="4" t="s">
        <v>1034</v>
      </c>
      <c r="F246" t="s">
        <v>1035</v>
      </c>
      <c r="G246" t="str">
        <f t="shared" si="7"/>
        <v>VI</v>
      </c>
      <c r="K246" t="s">
        <v>3395</v>
      </c>
    </row>
    <row r="247" spans="1:11" x14ac:dyDescent="0.25">
      <c r="A247" s="7" t="s">
        <v>1036</v>
      </c>
      <c r="B247" t="s">
        <v>1037</v>
      </c>
      <c r="C247" s="6" t="s">
        <v>4281</v>
      </c>
      <c r="D247" s="7" t="str">
        <f t="shared" si="6"/>
        <v>NACE C - 23.14 Manufacture of glass fibres</v>
      </c>
      <c r="E247" s="4" t="s">
        <v>1038</v>
      </c>
      <c r="F247" t="s">
        <v>1039</v>
      </c>
      <c r="G247" t="str">
        <f t="shared" si="7"/>
        <v>VN</v>
      </c>
      <c r="K247" t="s">
        <v>3396</v>
      </c>
    </row>
    <row r="248" spans="1:11" x14ac:dyDescent="0.25">
      <c r="A248" s="7" t="s">
        <v>1040</v>
      </c>
      <c r="B248" t="s">
        <v>1041</v>
      </c>
      <c r="C248" s="6" t="s">
        <v>4282</v>
      </c>
      <c r="D248" s="7" t="str">
        <f t="shared" si="6"/>
        <v>NACE C - 23.15 Manufacture and processing of other glass, including technical glassware</v>
      </c>
      <c r="E248" s="4" t="s">
        <v>1042</v>
      </c>
      <c r="F248" t="s">
        <v>1043</v>
      </c>
      <c r="G248" t="str">
        <f t="shared" si="7"/>
        <v>VU</v>
      </c>
      <c r="K248" t="s">
        <v>3397</v>
      </c>
    </row>
    <row r="249" spans="1:11" x14ac:dyDescent="0.25">
      <c r="A249" s="6" t="s">
        <v>1044</v>
      </c>
      <c r="B249" t="s">
        <v>1045</v>
      </c>
      <c r="C249" s="5" t="s">
        <v>4283</v>
      </c>
      <c r="D249" s="6" t="str">
        <f t="shared" si="6"/>
        <v>NACE C - 23.2 Manufacture of refractory products</v>
      </c>
      <c r="E249" s="4" t="s">
        <v>1046</v>
      </c>
      <c r="F249" t="s">
        <v>1047</v>
      </c>
      <c r="G249" t="str">
        <f t="shared" si="7"/>
        <v>WF</v>
      </c>
      <c r="K249" t="s">
        <v>3398</v>
      </c>
    </row>
    <row r="250" spans="1:11" x14ac:dyDescent="0.25">
      <c r="A250" s="7" t="s">
        <v>1048</v>
      </c>
      <c r="B250" t="s">
        <v>1049</v>
      </c>
      <c r="C250" s="6" t="s">
        <v>4284</v>
      </c>
      <c r="D250" s="7" t="str">
        <f t="shared" si="6"/>
        <v>NACE C - 23.20 Manufacture of refractory products</v>
      </c>
      <c r="E250" s="4" t="s">
        <v>1050</v>
      </c>
      <c r="F250" t="s">
        <v>1051</v>
      </c>
      <c r="G250" t="str">
        <f t="shared" si="7"/>
        <v>WS</v>
      </c>
      <c r="K250" t="s">
        <v>3399</v>
      </c>
    </row>
    <row r="251" spans="1:11" x14ac:dyDescent="0.25">
      <c r="A251" s="6" t="s">
        <v>1052</v>
      </c>
      <c r="B251" t="s">
        <v>1053</v>
      </c>
      <c r="C251" s="6" t="s">
        <v>4285</v>
      </c>
      <c r="D251" s="6" t="str">
        <f t="shared" si="6"/>
        <v>NACE C - 23.3 Manufacture of clay building materials</v>
      </c>
      <c r="E251" s="4" t="s">
        <v>1054</v>
      </c>
      <c r="F251" t="s">
        <v>1055</v>
      </c>
      <c r="G251" t="str">
        <f t="shared" si="7"/>
        <v>YE</v>
      </c>
      <c r="K251" t="s">
        <v>3400</v>
      </c>
    </row>
    <row r="252" spans="1:11" x14ac:dyDescent="0.25">
      <c r="A252" s="7" t="s">
        <v>1056</v>
      </c>
      <c r="B252" t="s">
        <v>1057</v>
      </c>
      <c r="C252" s="6" t="s">
        <v>4286</v>
      </c>
      <c r="D252" s="7" t="str">
        <f t="shared" si="6"/>
        <v>NACE C - 23.31 Manufacture of ceramic tiles and flags</v>
      </c>
      <c r="E252" s="4" t="s">
        <v>1058</v>
      </c>
      <c r="F252" t="s">
        <v>1059</v>
      </c>
      <c r="G252" t="str">
        <f t="shared" si="7"/>
        <v>YT</v>
      </c>
      <c r="K252" t="s">
        <v>3401</v>
      </c>
    </row>
    <row r="253" spans="1:11" x14ac:dyDescent="0.25">
      <c r="A253" s="7" t="s">
        <v>1060</v>
      </c>
      <c r="B253" t="s">
        <v>1061</v>
      </c>
      <c r="C253" s="4" t="s">
        <v>4276</v>
      </c>
      <c r="D253" s="7" t="str">
        <f t="shared" si="6"/>
        <v>NACE C - 23.32 Manufacture of bricks, tiles and construction products, in baked clay</v>
      </c>
      <c r="E253" s="4" t="s">
        <v>1062</v>
      </c>
      <c r="F253" t="s">
        <v>1063</v>
      </c>
      <c r="G253" t="str">
        <f t="shared" si="7"/>
        <v>YU</v>
      </c>
      <c r="K253" t="s">
        <v>2921</v>
      </c>
    </row>
    <row r="254" spans="1:11" x14ac:dyDescent="0.25">
      <c r="A254" s="6" t="s">
        <v>1064</v>
      </c>
      <c r="B254" t="s">
        <v>1065</v>
      </c>
      <c r="C254" s="5" t="s">
        <v>4288</v>
      </c>
      <c r="D254" s="6" t="str">
        <f t="shared" si="6"/>
        <v>NACE C - 23.4 Manufacture of other porcelain and ceramic products</v>
      </c>
      <c r="E254" s="4" t="s">
        <v>1066</v>
      </c>
      <c r="F254" t="s">
        <v>1067</v>
      </c>
      <c r="G254" t="str">
        <f t="shared" si="7"/>
        <v>ZA</v>
      </c>
      <c r="K254" t="s">
        <v>2922</v>
      </c>
    </row>
    <row r="255" spans="1:11" x14ac:dyDescent="0.25">
      <c r="A255" s="7" t="s">
        <v>1068</v>
      </c>
      <c r="B255" t="s">
        <v>1069</v>
      </c>
      <c r="C255" s="6" t="s">
        <v>4289</v>
      </c>
      <c r="D255" s="7" t="str">
        <f t="shared" si="6"/>
        <v>NACE C - 23.41 Manufacture of ceramic household and ornamental articles</v>
      </c>
      <c r="E255" s="4" t="s">
        <v>1070</v>
      </c>
      <c r="F255" t="s">
        <v>1071</v>
      </c>
      <c r="G255" t="str">
        <f t="shared" si="7"/>
        <v>ZM</v>
      </c>
      <c r="K255" t="s">
        <v>3212</v>
      </c>
    </row>
    <row r="256" spans="1:11" x14ac:dyDescent="0.25">
      <c r="A256" s="7" t="s">
        <v>1072</v>
      </c>
      <c r="B256" t="s">
        <v>1073</v>
      </c>
      <c r="C256" s="6" t="s">
        <v>4290</v>
      </c>
      <c r="D256" s="7" t="str">
        <f t="shared" si="6"/>
        <v>NACE C - 23.42 Manufacture of ceramic sanitary fixtures</v>
      </c>
      <c r="E256" s="4" t="s">
        <v>1074</v>
      </c>
      <c r="F256" t="s">
        <v>1075</v>
      </c>
      <c r="G256" t="str">
        <f t="shared" si="7"/>
        <v>ZR</v>
      </c>
      <c r="K256" t="s">
        <v>3402</v>
      </c>
    </row>
    <row r="257" spans="1:11" x14ac:dyDescent="0.25">
      <c r="A257" s="7" t="s">
        <v>1076</v>
      </c>
      <c r="B257" t="s">
        <v>1077</v>
      </c>
      <c r="C257" s="6" t="s">
        <v>4291</v>
      </c>
      <c r="D257" s="7" t="str">
        <f t="shared" si="6"/>
        <v>NACE C - 23.43 Manufacture of ceramic insulators and insulating fittings</v>
      </c>
      <c r="E257" s="4" t="s">
        <v>1078</v>
      </c>
      <c r="F257" t="s">
        <v>1079</v>
      </c>
      <c r="G257" t="str">
        <f t="shared" si="7"/>
        <v>ZW</v>
      </c>
      <c r="K257" t="s">
        <v>3403</v>
      </c>
    </row>
    <row r="258" spans="1:11" x14ac:dyDescent="0.25">
      <c r="A258" s="7" t="s">
        <v>1080</v>
      </c>
      <c r="B258" t="s">
        <v>1081</v>
      </c>
      <c r="C258" s="5" t="s">
        <v>4292</v>
      </c>
      <c r="D258" s="7" t="str">
        <f t="shared" ref="D258:D321" si="8">_xlfn.CONCAT("NACE ", A258)</f>
        <v>NACE C - 23.44 Manufacture of other technical ceramic products</v>
      </c>
      <c r="K258" t="s">
        <v>3404</v>
      </c>
    </row>
    <row r="259" spans="1:11" x14ac:dyDescent="0.25">
      <c r="A259" s="7" t="s">
        <v>1082</v>
      </c>
      <c r="B259" t="s">
        <v>1083</v>
      </c>
      <c r="C259" s="6" t="s">
        <v>4293</v>
      </c>
      <c r="D259" s="7" t="str">
        <f t="shared" si="8"/>
        <v>NACE C - 23.45 Manufacture of other ceramic products</v>
      </c>
      <c r="K259" t="s">
        <v>3405</v>
      </c>
    </row>
    <row r="260" spans="1:11" x14ac:dyDescent="0.25">
      <c r="A260" s="6" t="s">
        <v>1084</v>
      </c>
      <c r="B260" t="s">
        <v>1085</v>
      </c>
      <c r="C260" s="6" t="s">
        <v>4294</v>
      </c>
      <c r="D260" s="6" t="str">
        <f t="shared" si="8"/>
        <v>NACE C - 23.5 Manufacture of cement, lime and plaster</v>
      </c>
      <c r="K260" t="s">
        <v>3406</v>
      </c>
    </row>
    <row r="261" spans="1:11" x14ac:dyDescent="0.25">
      <c r="A261" s="7" t="s">
        <v>1086</v>
      </c>
      <c r="B261" t="s">
        <v>1087</v>
      </c>
      <c r="C261" s="6" t="s">
        <v>4295</v>
      </c>
      <c r="D261" s="7" t="str">
        <f t="shared" si="8"/>
        <v>NACE C - 23.51 Manufacture of cement</v>
      </c>
      <c r="K261" t="s">
        <v>3407</v>
      </c>
    </row>
    <row r="262" spans="1:11" x14ac:dyDescent="0.25">
      <c r="A262" s="7" t="s">
        <v>1088</v>
      </c>
      <c r="B262" t="s">
        <v>1089</v>
      </c>
      <c r="C262" s="5" t="s">
        <v>4296</v>
      </c>
      <c r="D262" s="7" t="str">
        <f t="shared" si="8"/>
        <v>NACE C - 23.52 Manufacture of lime and plaster</v>
      </c>
      <c r="K262" t="s">
        <v>3408</v>
      </c>
    </row>
    <row r="263" spans="1:11" x14ac:dyDescent="0.25">
      <c r="A263" s="6" t="s">
        <v>1090</v>
      </c>
      <c r="B263" t="s">
        <v>1091</v>
      </c>
      <c r="C263" s="6" t="s">
        <v>4297</v>
      </c>
      <c r="D263" s="6" t="str">
        <f t="shared" si="8"/>
        <v>NACE C - 23.6 Manufacture of articles of concrete, cement and plaster</v>
      </c>
      <c r="K263" t="s">
        <v>3409</v>
      </c>
    </row>
    <row r="264" spans="1:11" x14ac:dyDescent="0.25">
      <c r="A264" s="7" t="s">
        <v>1092</v>
      </c>
      <c r="B264" t="s">
        <v>1093</v>
      </c>
      <c r="C264" s="6" t="s">
        <v>4298</v>
      </c>
      <c r="D264" s="7" t="str">
        <f t="shared" si="8"/>
        <v>NACE C - 23.61 Manufacture of concrete products for construction purposes</v>
      </c>
      <c r="K264" t="s">
        <v>2923</v>
      </c>
    </row>
    <row r="265" spans="1:11" x14ac:dyDescent="0.25">
      <c r="A265" s="7" t="s">
        <v>1094</v>
      </c>
      <c r="B265" t="s">
        <v>1095</v>
      </c>
      <c r="C265" s="4" t="s">
        <v>4287</v>
      </c>
      <c r="D265" s="7" t="str">
        <f t="shared" si="8"/>
        <v>NACE C - 23.62 Manufacture of plaster products for construction purposes</v>
      </c>
      <c r="K265" t="s">
        <v>2924</v>
      </c>
    </row>
    <row r="266" spans="1:11" x14ac:dyDescent="0.25">
      <c r="A266" s="7" t="s">
        <v>1096</v>
      </c>
      <c r="B266" t="s">
        <v>1097</v>
      </c>
      <c r="C266" s="5" t="s">
        <v>4300</v>
      </c>
      <c r="D266" s="7" t="str">
        <f t="shared" si="8"/>
        <v>NACE C - 23.63 Manufacture of ready-mixed concrete</v>
      </c>
      <c r="K266" t="s">
        <v>3213</v>
      </c>
    </row>
    <row r="267" spans="1:11" x14ac:dyDescent="0.25">
      <c r="A267" s="7" t="s">
        <v>1098</v>
      </c>
      <c r="B267" t="s">
        <v>1099</v>
      </c>
      <c r="C267" s="6" t="s">
        <v>4301</v>
      </c>
      <c r="D267" s="7" t="str">
        <f t="shared" si="8"/>
        <v>NACE C - 23.64 Manufacture of mortars</v>
      </c>
      <c r="K267" t="s">
        <v>3410</v>
      </c>
    </row>
    <row r="268" spans="1:11" x14ac:dyDescent="0.25">
      <c r="A268" s="7" t="s">
        <v>1100</v>
      </c>
      <c r="B268" t="s">
        <v>1101</v>
      </c>
      <c r="C268" s="6" t="s">
        <v>4302</v>
      </c>
      <c r="D268" s="7" t="str">
        <f t="shared" si="8"/>
        <v>NACE C - 23.65 Manufacture of fibre cement</v>
      </c>
      <c r="K268" t="s">
        <v>3411</v>
      </c>
    </row>
    <row r="269" spans="1:11" x14ac:dyDescent="0.25">
      <c r="A269" s="7" t="s">
        <v>1102</v>
      </c>
      <c r="B269" t="s">
        <v>1103</v>
      </c>
      <c r="C269" s="6" t="s">
        <v>4303</v>
      </c>
      <c r="D269" s="7" t="str">
        <f t="shared" si="8"/>
        <v>NACE C - 23.66 Manufacture of other articles of concrete, cement and plaster</v>
      </c>
      <c r="K269" t="s">
        <v>3412</v>
      </c>
    </row>
    <row r="270" spans="1:11" x14ac:dyDescent="0.25">
      <c r="A270" s="6" t="s">
        <v>1104</v>
      </c>
      <c r="B270" t="s">
        <v>1105</v>
      </c>
      <c r="C270" s="6" t="s">
        <v>4304</v>
      </c>
      <c r="D270" s="6" t="str">
        <f t="shared" si="8"/>
        <v>NACE C - 23.7 Cutting, shaping and finishing of stone</v>
      </c>
      <c r="K270" t="s">
        <v>3413</v>
      </c>
    </row>
    <row r="271" spans="1:11" x14ac:dyDescent="0.25">
      <c r="A271" s="7" t="s">
        <v>1106</v>
      </c>
      <c r="B271" t="s">
        <v>1107</v>
      </c>
      <c r="C271" s="5" t="s">
        <v>4305</v>
      </c>
      <c r="D271" s="7" t="str">
        <f t="shared" si="8"/>
        <v>NACE C - 23.70 Cutting, shaping and finishing of stone</v>
      </c>
      <c r="K271" t="s">
        <v>3414</v>
      </c>
    </row>
    <row r="272" spans="1:11" x14ac:dyDescent="0.25">
      <c r="A272" s="6" t="s">
        <v>1108</v>
      </c>
      <c r="B272" t="s">
        <v>1109</v>
      </c>
      <c r="C272" s="6" t="s">
        <v>4306</v>
      </c>
      <c r="D272" s="6" t="str">
        <f t="shared" si="8"/>
        <v>NACE C - 23.9 Manufacture of abrasive products and non-metallic mineral products n.e.c.</v>
      </c>
      <c r="K272" t="s">
        <v>3415</v>
      </c>
    </row>
    <row r="273" spans="1:11" x14ac:dyDescent="0.25">
      <c r="A273" s="7" t="s">
        <v>1110</v>
      </c>
      <c r="B273" t="s">
        <v>1111</v>
      </c>
      <c r="C273" s="6" t="s">
        <v>4307</v>
      </c>
      <c r="D273" s="7" t="str">
        <f t="shared" si="8"/>
        <v>NACE C - 23.91 Manufacture of abrasive products</v>
      </c>
      <c r="K273" t="s">
        <v>3416</v>
      </c>
    </row>
    <row r="274" spans="1:11" x14ac:dyDescent="0.25">
      <c r="A274" s="7" t="s">
        <v>1112</v>
      </c>
      <c r="B274" t="s">
        <v>1113</v>
      </c>
      <c r="C274" s="6" t="s">
        <v>4308</v>
      </c>
      <c r="D274" s="7" t="str">
        <f t="shared" si="8"/>
        <v>NACE C - 23.99 Manufacture of other non-metallic mineral products n.e.c.</v>
      </c>
      <c r="K274" t="s">
        <v>3417</v>
      </c>
    </row>
    <row r="275" spans="1:11" x14ac:dyDescent="0.25">
      <c r="A275" s="5" t="s">
        <v>1114</v>
      </c>
      <c r="B275" t="s">
        <v>1115</v>
      </c>
      <c r="C275" s="5" t="s">
        <v>4309</v>
      </c>
      <c r="D275" s="5" t="str">
        <f t="shared" si="8"/>
        <v>NACE C - 24 Manufacture of basic metals</v>
      </c>
      <c r="K275" t="s">
        <v>2925</v>
      </c>
    </row>
    <row r="276" spans="1:11" x14ac:dyDescent="0.25">
      <c r="A276" s="6" t="s">
        <v>1116</v>
      </c>
      <c r="B276" t="s">
        <v>1117</v>
      </c>
      <c r="C276" s="6" t="s">
        <v>4310</v>
      </c>
      <c r="D276" s="6" t="str">
        <f t="shared" si="8"/>
        <v>NACE C - 24.1 Manufacture of basic iron and steel and of ferro-alloys</v>
      </c>
      <c r="K276" t="s">
        <v>2926</v>
      </c>
    </row>
    <row r="277" spans="1:11" x14ac:dyDescent="0.25">
      <c r="A277" s="7" t="s">
        <v>1118</v>
      </c>
      <c r="B277" t="s">
        <v>1119</v>
      </c>
      <c r="C277" s="6" t="s">
        <v>4311</v>
      </c>
      <c r="D277" s="7" t="str">
        <f t="shared" si="8"/>
        <v>NACE C - 24.10 Manufacture of basic iron and steel and of ferro-alloys</v>
      </c>
      <c r="K277" t="s">
        <v>3214</v>
      </c>
    </row>
    <row r="278" spans="1:11" x14ac:dyDescent="0.25">
      <c r="A278" s="6" t="s">
        <v>1120</v>
      </c>
      <c r="B278" t="s">
        <v>1121</v>
      </c>
      <c r="C278" s="6" t="s">
        <v>4312</v>
      </c>
      <c r="D278" s="6" t="str">
        <f t="shared" si="8"/>
        <v>NACE C - 24.2 Manufacture of tubes, pipes, hollow profiles and related fittings, of steel</v>
      </c>
      <c r="K278" t="s">
        <v>3418</v>
      </c>
    </row>
    <row r="279" spans="1:11" x14ac:dyDescent="0.25">
      <c r="A279" s="7" t="s">
        <v>1122</v>
      </c>
      <c r="B279" t="s">
        <v>1123</v>
      </c>
      <c r="C279" s="4" t="s">
        <v>4299</v>
      </c>
      <c r="D279" s="7" t="str">
        <f t="shared" si="8"/>
        <v>NACE C - 24.20 Manufacture of tubes, pipes, hollow profiles and related fittings, of steel</v>
      </c>
      <c r="K279" t="s">
        <v>3419</v>
      </c>
    </row>
    <row r="280" spans="1:11" x14ac:dyDescent="0.25">
      <c r="A280" s="6" t="s">
        <v>1124</v>
      </c>
      <c r="B280" t="s">
        <v>1125</v>
      </c>
      <c r="C280" s="5" t="s">
        <v>4314</v>
      </c>
      <c r="D280" s="6" t="str">
        <f t="shared" si="8"/>
        <v>NACE C - 24.3 Manufacture of other products of first processing of steel</v>
      </c>
      <c r="K280" t="s">
        <v>3420</v>
      </c>
    </row>
    <row r="281" spans="1:11" x14ac:dyDescent="0.25">
      <c r="A281" s="7" t="s">
        <v>1126</v>
      </c>
      <c r="B281" t="s">
        <v>1127</v>
      </c>
      <c r="C281" s="6" t="s">
        <v>4315</v>
      </c>
      <c r="D281" s="7" t="str">
        <f t="shared" si="8"/>
        <v>NACE C - 24.31 Cold drawing of bars</v>
      </c>
      <c r="K281" t="s">
        <v>3421</v>
      </c>
    </row>
    <row r="282" spans="1:11" x14ac:dyDescent="0.25">
      <c r="A282" s="7" t="s">
        <v>1128</v>
      </c>
      <c r="B282" t="s">
        <v>1129</v>
      </c>
      <c r="C282" s="6" t="s">
        <v>4316</v>
      </c>
      <c r="D282" s="7" t="str">
        <f t="shared" si="8"/>
        <v>NACE C - 24.32 Cold rolling of narrow strip</v>
      </c>
      <c r="K282" t="s">
        <v>3422</v>
      </c>
    </row>
    <row r="283" spans="1:11" x14ac:dyDescent="0.25">
      <c r="A283" s="7" t="s">
        <v>1130</v>
      </c>
      <c r="B283" t="s">
        <v>1131</v>
      </c>
      <c r="C283" s="6" t="s">
        <v>4317</v>
      </c>
      <c r="D283" s="7" t="str">
        <f t="shared" si="8"/>
        <v>NACE C - 24.33 Cold forming or folding</v>
      </c>
      <c r="K283" t="s">
        <v>3423</v>
      </c>
    </row>
    <row r="284" spans="1:11" x14ac:dyDescent="0.25">
      <c r="A284" s="7" t="s">
        <v>1132</v>
      </c>
      <c r="B284" t="s">
        <v>1133</v>
      </c>
      <c r="C284" s="4" t="s">
        <v>4313</v>
      </c>
      <c r="D284" s="7" t="str">
        <f t="shared" si="8"/>
        <v>NACE C - 24.34 Cold drawing of wire</v>
      </c>
      <c r="K284" t="s">
        <v>3424</v>
      </c>
    </row>
    <row r="285" spans="1:11" x14ac:dyDescent="0.25">
      <c r="A285" s="6" t="s">
        <v>1134</v>
      </c>
      <c r="B285" t="s">
        <v>1135</v>
      </c>
      <c r="C285" s="5" t="s">
        <v>4319</v>
      </c>
      <c r="D285" s="6" t="str">
        <f t="shared" si="8"/>
        <v>NACE C - 24.4 Manufacture of basic precious and other non-ferrous metals</v>
      </c>
      <c r="K285" t="s">
        <v>3425</v>
      </c>
    </row>
    <row r="286" spans="1:11" x14ac:dyDescent="0.25">
      <c r="A286" s="7" t="s">
        <v>1136</v>
      </c>
      <c r="B286" t="s">
        <v>1137</v>
      </c>
      <c r="C286" s="6" t="s">
        <v>4320</v>
      </c>
      <c r="D286" s="7" t="str">
        <f t="shared" si="8"/>
        <v>NACE C - 24.41 Precious metals production</v>
      </c>
      <c r="K286" t="s">
        <v>2927</v>
      </c>
    </row>
    <row r="287" spans="1:11" x14ac:dyDescent="0.25">
      <c r="A287" s="7" t="s">
        <v>1138</v>
      </c>
      <c r="B287" t="s">
        <v>1139</v>
      </c>
      <c r="C287" s="6" t="s">
        <v>4321</v>
      </c>
      <c r="D287" s="7" t="str">
        <f t="shared" si="8"/>
        <v>NACE C - 24.42 Aluminium production</v>
      </c>
      <c r="K287" t="s">
        <v>2928</v>
      </c>
    </row>
    <row r="288" spans="1:11" x14ac:dyDescent="0.25">
      <c r="A288" s="7" t="s">
        <v>1140</v>
      </c>
      <c r="B288" t="s">
        <v>1141</v>
      </c>
      <c r="C288" s="5" t="s">
        <v>4322</v>
      </c>
      <c r="D288" s="7" t="str">
        <f t="shared" si="8"/>
        <v>NACE C - 24.43 Lead, zinc and tin production</v>
      </c>
      <c r="K288" t="s">
        <v>3215</v>
      </c>
    </row>
    <row r="289" spans="1:11" x14ac:dyDescent="0.25">
      <c r="A289" s="7" t="s">
        <v>1142</v>
      </c>
      <c r="B289" t="s">
        <v>1143</v>
      </c>
      <c r="C289" s="6" t="s">
        <v>4323</v>
      </c>
      <c r="D289" s="7" t="str">
        <f t="shared" si="8"/>
        <v>NACE C - 24.44 Copper production</v>
      </c>
      <c r="K289" t="s">
        <v>3426</v>
      </c>
    </row>
    <row r="290" spans="1:11" x14ac:dyDescent="0.25">
      <c r="A290" s="7" t="s">
        <v>1144</v>
      </c>
      <c r="B290" t="s">
        <v>1145</v>
      </c>
      <c r="C290" s="6" t="s">
        <v>4324</v>
      </c>
      <c r="D290" s="7" t="str">
        <f t="shared" si="8"/>
        <v>NACE C - 24.45 Other non-ferrous metal production</v>
      </c>
      <c r="K290" t="s">
        <v>3427</v>
      </c>
    </row>
    <row r="291" spans="1:11" x14ac:dyDescent="0.25">
      <c r="A291" s="7" t="s">
        <v>1146</v>
      </c>
      <c r="B291" t="s">
        <v>1147</v>
      </c>
      <c r="C291" s="5" t="s">
        <v>4325</v>
      </c>
      <c r="D291" s="7" t="str">
        <f t="shared" si="8"/>
        <v>NACE C - 24.46 Processing of nuclear fuel</v>
      </c>
      <c r="K291" t="s">
        <v>3428</v>
      </c>
    </row>
    <row r="292" spans="1:11" x14ac:dyDescent="0.25">
      <c r="A292" s="6" t="s">
        <v>1148</v>
      </c>
      <c r="B292" t="s">
        <v>1149</v>
      </c>
      <c r="C292" s="6" t="s">
        <v>4326</v>
      </c>
      <c r="D292" s="6" t="str">
        <f t="shared" si="8"/>
        <v>NACE C - 24.5 Casting of metals</v>
      </c>
      <c r="K292" t="s">
        <v>3429</v>
      </c>
    </row>
    <row r="293" spans="1:11" x14ac:dyDescent="0.25">
      <c r="A293" s="7" t="s">
        <v>1150</v>
      </c>
      <c r="B293" t="s">
        <v>1151</v>
      </c>
      <c r="C293" s="6" t="s">
        <v>4327</v>
      </c>
      <c r="D293" s="7" t="str">
        <f t="shared" si="8"/>
        <v>NACE C - 24.51 Casting of iron</v>
      </c>
      <c r="K293" t="s">
        <v>3430</v>
      </c>
    </row>
    <row r="294" spans="1:11" x14ac:dyDescent="0.25">
      <c r="A294" s="7" t="s">
        <v>1152</v>
      </c>
      <c r="B294" t="s">
        <v>1153</v>
      </c>
      <c r="C294" s="5" t="s">
        <v>4328</v>
      </c>
      <c r="D294" s="7" t="str">
        <f t="shared" si="8"/>
        <v>NACE C - 24.52 Casting of steel</v>
      </c>
      <c r="K294" t="s">
        <v>3431</v>
      </c>
    </row>
    <row r="295" spans="1:11" x14ac:dyDescent="0.25">
      <c r="A295" s="7" t="s">
        <v>1154</v>
      </c>
      <c r="B295" t="s">
        <v>1155</v>
      </c>
      <c r="C295" s="6" t="s">
        <v>4329</v>
      </c>
      <c r="D295" s="7" t="str">
        <f t="shared" si="8"/>
        <v>NACE C - 24.53 Casting of light metals</v>
      </c>
      <c r="K295" t="s">
        <v>3432</v>
      </c>
    </row>
    <row r="296" spans="1:11" x14ac:dyDescent="0.25">
      <c r="A296" s="7" t="s">
        <v>1156</v>
      </c>
      <c r="B296" t="s">
        <v>1157</v>
      </c>
      <c r="C296" s="6" t="s">
        <v>4330</v>
      </c>
      <c r="D296" s="7" t="str">
        <f t="shared" si="8"/>
        <v>NACE C - 24.54 Casting of other non-ferrous metals</v>
      </c>
      <c r="K296" t="s">
        <v>3433</v>
      </c>
    </row>
    <row r="297" spans="1:11" x14ac:dyDescent="0.25">
      <c r="A297" s="5" t="s">
        <v>1158</v>
      </c>
      <c r="B297" t="s">
        <v>1159</v>
      </c>
      <c r="C297" s="5" t="s">
        <v>4331</v>
      </c>
      <c r="D297" s="5" t="str">
        <f t="shared" si="8"/>
        <v>NACE C - 25 Manufacture of fabricated metal products, except machinery and equipment</v>
      </c>
      <c r="K297" t="s">
        <v>2929</v>
      </c>
    </row>
    <row r="298" spans="1:11" x14ac:dyDescent="0.25">
      <c r="A298" s="6" t="s">
        <v>1160</v>
      </c>
      <c r="B298" t="s">
        <v>1161</v>
      </c>
      <c r="C298" s="6" t="s">
        <v>4332</v>
      </c>
      <c r="D298" s="6" t="str">
        <f t="shared" si="8"/>
        <v>NACE C - 25.1 Manufacture of structural metal products</v>
      </c>
      <c r="K298" t="s">
        <v>2930</v>
      </c>
    </row>
    <row r="299" spans="1:11" x14ac:dyDescent="0.25">
      <c r="A299" s="7" t="s">
        <v>1162</v>
      </c>
      <c r="B299" t="s">
        <v>1163</v>
      </c>
      <c r="C299" s="6" t="s">
        <v>4333</v>
      </c>
      <c r="D299" s="7" t="str">
        <f t="shared" si="8"/>
        <v>NACE C - 25.11 Manufacture of metal structures and parts of structures</v>
      </c>
      <c r="K299" t="s">
        <v>2760</v>
      </c>
    </row>
    <row r="300" spans="1:11" x14ac:dyDescent="0.25">
      <c r="A300" s="7" t="s">
        <v>1164</v>
      </c>
      <c r="B300" t="s">
        <v>1165</v>
      </c>
      <c r="C300" s="6" t="s">
        <v>4334</v>
      </c>
      <c r="D300" s="7" t="str">
        <f t="shared" si="8"/>
        <v>NACE C - 25.12 Manufacture of doors and windows of metal</v>
      </c>
      <c r="K300" t="s">
        <v>3216</v>
      </c>
    </row>
    <row r="301" spans="1:11" x14ac:dyDescent="0.25">
      <c r="A301" s="6" t="s">
        <v>1166</v>
      </c>
      <c r="B301" t="s">
        <v>1167</v>
      </c>
      <c r="C301" s="5" t="s">
        <v>4335</v>
      </c>
      <c r="D301" s="6" t="str">
        <f t="shared" si="8"/>
        <v>NACE C - 25.2 Manufacture of tanks, reservoirs and containers of metal</v>
      </c>
      <c r="K301" t="s">
        <v>3434</v>
      </c>
    </row>
    <row r="302" spans="1:11" x14ac:dyDescent="0.25">
      <c r="A302" s="7" t="s">
        <v>1168</v>
      </c>
      <c r="B302" t="s">
        <v>1169</v>
      </c>
      <c r="C302" s="6" t="s">
        <v>4336</v>
      </c>
      <c r="D302" s="7" t="str">
        <f t="shared" si="8"/>
        <v>NACE C - 25.21 Manufacture of central heating radiators, steam generators and boilers</v>
      </c>
      <c r="K302" t="s">
        <v>2931</v>
      </c>
    </row>
    <row r="303" spans="1:11" x14ac:dyDescent="0.25">
      <c r="A303" s="7" t="s">
        <v>1170</v>
      </c>
      <c r="B303" t="s">
        <v>1171</v>
      </c>
      <c r="C303" s="6" t="s">
        <v>4337</v>
      </c>
      <c r="D303" s="7" t="str">
        <f t="shared" si="8"/>
        <v>NACE C - 25.22 Manufacture of other tanks, reservoirs and containers of metal</v>
      </c>
      <c r="K303" t="s">
        <v>3435</v>
      </c>
    </row>
    <row r="304" spans="1:11" x14ac:dyDescent="0.25">
      <c r="A304" s="6" t="s">
        <v>1172</v>
      </c>
      <c r="B304" t="s">
        <v>1173</v>
      </c>
      <c r="C304" s="6" t="s">
        <v>4338</v>
      </c>
      <c r="D304" s="6" t="str">
        <f t="shared" si="8"/>
        <v>NACE C - 25.3 Manufacture of weapons and ammunition</v>
      </c>
      <c r="K304" t="s">
        <v>2932</v>
      </c>
    </row>
    <row r="305" spans="1:11" x14ac:dyDescent="0.25">
      <c r="A305" s="7" t="s">
        <v>1174</v>
      </c>
      <c r="B305" t="s">
        <v>1175</v>
      </c>
      <c r="C305" s="6" t="s">
        <v>4339</v>
      </c>
      <c r="D305" s="7" t="str">
        <f t="shared" si="8"/>
        <v>NACE C - 25.30 Manufacture of weapons and ammunition</v>
      </c>
      <c r="K305" t="s">
        <v>3436</v>
      </c>
    </row>
    <row r="306" spans="1:11" x14ac:dyDescent="0.25">
      <c r="A306" s="6" t="s">
        <v>1176</v>
      </c>
      <c r="B306" t="s">
        <v>1177</v>
      </c>
      <c r="C306" s="5" t="s">
        <v>4340</v>
      </c>
      <c r="D306" s="6" t="str">
        <f t="shared" si="8"/>
        <v>NACE C - 25.4 Forging and shaping metal and powder metallurgy</v>
      </c>
      <c r="K306" t="s">
        <v>2933</v>
      </c>
    </row>
    <row r="307" spans="1:11" x14ac:dyDescent="0.25">
      <c r="A307" s="7" t="s">
        <v>1178</v>
      </c>
      <c r="B307" t="s">
        <v>1179</v>
      </c>
      <c r="C307" s="6" t="s">
        <v>4341</v>
      </c>
      <c r="D307" s="7" t="str">
        <f t="shared" si="8"/>
        <v>NACE C - 25.40 Forging and shaping metal and powder metallurgy</v>
      </c>
      <c r="K307" t="s">
        <v>3437</v>
      </c>
    </row>
    <row r="308" spans="1:11" x14ac:dyDescent="0.25">
      <c r="A308" s="6" t="s">
        <v>1180</v>
      </c>
      <c r="B308" t="s">
        <v>1181</v>
      </c>
      <c r="C308" s="4" t="s">
        <v>4318</v>
      </c>
      <c r="D308" s="6" t="str">
        <f t="shared" si="8"/>
        <v>NACE C - 25.5 Treatment and coating of metals; machining</v>
      </c>
      <c r="K308" t="s">
        <v>2934</v>
      </c>
    </row>
    <row r="309" spans="1:11" x14ac:dyDescent="0.25">
      <c r="A309" s="7" t="s">
        <v>1182</v>
      </c>
      <c r="B309" t="s">
        <v>1183</v>
      </c>
      <c r="C309" s="5" t="s">
        <v>4343</v>
      </c>
      <c r="D309" s="7" t="str">
        <f t="shared" si="8"/>
        <v>NACE C - 25.51 Coating of metals</v>
      </c>
      <c r="K309" t="s">
        <v>3438</v>
      </c>
    </row>
    <row r="310" spans="1:11" x14ac:dyDescent="0.25">
      <c r="A310" s="7" t="s">
        <v>1184</v>
      </c>
      <c r="B310" t="s">
        <v>1185</v>
      </c>
      <c r="C310" s="6" t="s">
        <v>4344</v>
      </c>
      <c r="D310" s="7" t="str">
        <f t="shared" si="8"/>
        <v>NACE C - 25.52 Heat treatment of metals</v>
      </c>
      <c r="K310" t="s">
        <v>2935</v>
      </c>
    </row>
    <row r="311" spans="1:11" x14ac:dyDescent="0.25">
      <c r="A311" s="7" t="s">
        <v>1186</v>
      </c>
      <c r="B311" t="s">
        <v>1187</v>
      </c>
      <c r="C311" s="6" t="s">
        <v>4345</v>
      </c>
      <c r="D311" s="7" t="str">
        <f t="shared" si="8"/>
        <v>NACE C - 25.53 Machining of metals</v>
      </c>
      <c r="K311" t="s">
        <v>3439</v>
      </c>
    </row>
    <row r="312" spans="1:11" x14ac:dyDescent="0.25">
      <c r="A312" s="6" t="s">
        <v>1188</v>
      </c>
      <c r="B312" t="s">
        <v>1189</v>
      </c>
      <c r="C312" s="6" t="s">
        <v>4346</v>
      </c>
      <c r="D312" s="6" t="str">
        <f t="shared" si="8"/>
        <v>NACE C - 25.6 Manufacture of cutlery, tools and general hardware</v>
      </c>
      <c r="K312" t="s">
        <v>2936</v>
      </c>
    </row>
    <row r="313" spans="1:11" x14ac:dyDescent="0.25">
      <c r="A313" s="7" t="s">
        <v>1190</v>
      </c>
      <c r="B313" t="s">
        <v>1191</v>
      </c>
      <c r="C313" s="6" t="s">
        <v>4347</v>
      </c>
      <c r="D313" s="7" t="str">
        <f t="shared" si="8"/>
        <v>NACE C - 25.61 Manufacture of cutlery</v>
      </c>
      <c r="K313" t="s">
        <v>3217</v>
      </c>
    </row>
    <row r="314" spans="1:11" x14ac:dyDescent="0.25">
      <c r="A314" s="7" t="s">
        <v>1192</v>
      </c>
      <c r="B314" t="s">
        <v>1193</v>
      </c>
      <c r="C314" s="6" t="s">
        <v>4348</v>
      </c>
      <c r="D314" s="7" t="str">
        <f t="shared" si="8"/>
        <v>NACE C - 25.62 Manufacture of locks and hinges</v>
      </c>
      <c r="K314" t="s">
        <v>2937</v>
      </c>
    </row>
    <row r="315" spans="1:11" x14ac:dyDescent="0.25">
      <c r="A315" s="7" t="s">
        <v>1194</v>
      </c>
      <c r="B315" t="s">
        <v>1195</v>
      </c>
      <c r="C315" s="5" t="s">
        <v>4349</v>
      </c>
      <c r="D315" s="7" t="str">
        <f t="shared" si="8"/>
        <v>NACE C - 25.63 Manufacture of tools</v>
      </c>
      <c r="K315" t="s">
        <v>2938</v>
      </c>
    </row>
    <row r="316" spans="1:11" x14ac:dyDescent="0.25">
      <c r="A316" s="6" t="s">
        <v>1196</v>
      </c>
      <c r="B316" t="s">
        <v>1197</v>
      </c>
      <c r="C316" s="6" t="s">
        <v>4350</v>
      </c>
      <c r="D316" s="6" t="str">
        <f t="shared" si="8"/>
        <v>NACE C - 25.9 Manufacture of other fabricated metal products</v>
      </c>
      <c r="K316" t="s">
        <v>2939</v>
      </c>
    </row>
    <row r="317" spans="1:11" x14ac:dyDescent="0.25">
      <c r="A317" s="7" t="s">
        <v>1198</v>
      </c>
      <c r="B317" t="s">
        <v>1199</v>
      </c>
      <c r="C317" s="6" t="s">
        <v>4351</v>
      </c>
      <c r="D317" s="7" t="str">
        <f t="shared" si="8"/>
        <v>NACE C - 25.91 Manufacture of steel drums and similar containers</v>
      </c>
      <c r="K317" t="s">
        <v>2940</v>
      </c>
    </row>
    <row r="318" spans="1:11" x14ac:dyDescent="0.25">
      <c r="A318" s="7" t="s">
        <v>1200</v>
      </c>
      <c r="B318" t="s">
        <v>1201</v>
      </c>
      <c r="C318" s="5" t="s">
        <v>4352</v>
      </c>
      <c r="D318" s="7" t="str">
        <f t="shared" si="8"/>
        <v>NACE C - 25.92 Manufacture of light metal packaging</v>
      </c>
      <c r="K318" t="s">
        <v>3218</v>
      </c>
    </row>
    <row r="319" spans="1:11" x14ac:dyDescent="0.25">
      <c r="A319" s="7" t="s">
        <v>1202</v>
      </c>
      <c r="B319" t="s">
        <v>1203</v>
      </c>
      <c r="C319" s="6" t="s">
        <v>4353</v>
      </c>
      <c r="D319" s="7" t="str">
        <f t="shared" si="8"/>
        <v>NACE C - 25.93 Manufacture of wire products, chain and springs</v>
      </c>
      <c r="K319" t="s">
        <v>3440</v>
      </c>
    </row>
    <row r="320" spans="1:11" x14ac:dyDescent="0.25">
      <c r="A320" s="7" t="s">
        <v>1204</v>
      </c>
      <c r="B320" t="s">
        <v>1205</v>
      </c>
      <c r="C320" s="6" t="s">
        <v>4354</v>
      </c>
      <c r="D320" s="7" t="str">
        <f t="shared" si="8"/>
        <v>NACE C - 25.94 Manufacture of fasteners and screw machine products</v>
      </c>
      <c r="K320" t="s">
        <v>3441</v>
      </c>
    </row>
    <row r="321" spans="1:11" x14ac:dyDescent="0.25">
      <c r="A321" s="7" t="s">
        <v>1206</v>
      </c>
      <c r="B321" t="s">
        <v>1207</v>
      </c>
      <c r="C321" s="5" t="s">
        <v>4355</v>
      </c>
      <c r="D321" s="7" t="str">
        <f t="shared" si="8"/>
        <v>NACE C - 25.99 Manufacture of other fabricated metal products n.e.c.</v>
      </c>
      <c r="K321" t="s">
        <v>2941</v>
      </c>
    </row>
    <row r="322" spans="1:11" x14ac:dyDescent="0.25">
      <c r="A322" s="5" t="s">
        <v>1208</v>
      </c>
      <c r="B322" t="s">
        <v>1209</v>
      </c>
      <c r="C322" s="6" t="s">
        <v>4356</v>
      </c>
      <c r="D322" s="5" t="str">
        <f t="shared" ref="D322:D385" si="9">_xlfn.CONCAT("NACE ", A322)</f>
        <v>NACE C - 26 Manufacture of computer, electronic and optical products</v>
      </c>
      <c r="K322" t="s">
        <v>2942</v>
      </c>
    </row>
    <row r="323" spans="1:11" x14ac:dyDescent="0.25">
      <c r="A323" s="6" t="s">
        <v>1210</v>
      </c>
      <c r="B323" t="s">
        <v>1211</v>
      </c>
      <c r="C323" s="5" t="s">
        <v>4357</v>
      </c>
      <c r="D323" s="6" t="str">
        <f t="shared" si="9"/>
        <v>NACE C - 26.1 Manufacture of electronic components and boards</v>
      </c>
      <c r="K323" t="s">
        <v>3442</v>
      </c>
    </row>
    <row r="324" spans="1:11" x14ac:dyDescent="0.25">
      <c r="A324" s="7" t="s">
        <v>1212</v>
      </c>
      <c r="B324" t="s">
        <v>1213</v>
      </c>
      <c r="C324" s="6" t="s">
        <v>4358</v>
      </c>
      <c r="D324" s="7" t="str">
        <f t="shared" si="9"/>
        <v>NACE C - 26.11 Manufacture of electronic components</v>
      </c>
      <c r="K324" t="s">
        <v>3443</v>
      </c>
    </row>
    <row r="325" spans="1:11" x14ac:dyDescent="0.25">
      <c r="A325" s="7" t="s">
        <v>1214</v>
      </c>
      <c r="B325" t="s">
        <v>1215</v>
      </c>
      <c r="C325" s="6" t="s">
        <v>4359</v>
      </c>
      <c r="D325" s="7" t="str">
        <f t="shared" si="9"/>
        <v>NACE C - 26.12 Manufacture of loaded electronic boards</v>
      </c>
      <c r="K325" t="s">
        <v>2943</v>
      </c>
    </row>
    <row r="326" spans="1:11" x14ac:dyDescent="0.25">
      <c r="A326" s="6" t="s">
        <v>1216</v>
      </c>
      <c r="B326" t="s">
        <v>1217</v>
      </c>
      <c r="C326" s="6" t="s">
        <v>4360</v>
      </c>
      <c r="D326" s="6" t="str">
        <f t="shared" si="9"/>
        <v>NACE C - 26.2 Manufacture of computers and peripheral equipment</v>
      </c>
      <c r="K326" t="s">
        <v>2944</v>
      </c>
    </row>
    <row r="327" spans="1:11" x14ac:dyDescent="0.25">
      <c r="A327" s="7" t="s">
        <v>1218</v>
      </c>
      <c r="B327" t="s">
        <v>1219</v>
      </c>
      <c r="C327" s="5" t="s">
        <v>4361</v>
      </c>
      <c r="D327" s="7" t="str">
        <f t="shared" si="9"/>
        <v>NACE C - 26.20 Manufacture of computers and peripheral equipment</v>
      </c>
      <c r="K327" t="s">
        <v>2945</v>
      </c>
    </row>
    <row r="328" spans="1:11" x14ac:dyDescent="0.25">
      <c r="A328" s="6" t="s">
        <v>1220</v>
      </c>
      <c r="B328" t="s">
        <v>1221</v>
      </c>
      <c r="C328" s="6" t="s">
        <v>4362</v>
      </c>
      <c r="D328" s="6" t="str">
        <f t="shared" si="9"/>
        <v>NACE C - 26.3 Manufacture of communication equipment</v>
      </c>
      <c r="K328" t="s">
        <v>3444</v>
      </c>
    </row>
    <row r="329" spans="1:11" x14ac:dyDescent="0.25">
      <c r="A329" s="7" t="s">
        <v>1222</v>
      </c>
      <c r="B329" t="s">
        <v>1223</v>
      </c>
      <c r="C329" s="6" t="s">
        <v>4363</v>
      </c>
      <c r="D329" s="7" t="str">
        <f t="shared" si="9"/>
        <v>NACE C - 26.30 Manufacture of communication equipment</v>
      </c>
      <c r="K329" t="s">
        <v>3445</v>
      </c>
    </row>
    <row r="330" spans="1:11" x14ac:dyDescent="0.25">
      <c r="A330" s="6" t="s">
        <v>1224</v>
      </c>
      <c r="B330" t="s">
        <v>1225</v>
      </c>
      <c r="C330" s="6" t="s">
        <v>4364</v>
      </c>
      <c r="D330" s="6" t="str">
        <f t="shared" si="9"/>
        <v>NACE C - 26.4 Manufacture of consumer electronics</v>
      </c>
      <c r="K330" t="s">
        <v>2946</v>
      </c>
    </row>
    <row r="331" spans="1:11" x14ac:dyDescent="0.25">
      <c r="A331" s="7" t="s">
        <v>1226</v>
      </c>
      <c r="B331" t="s">
        <v>1227</v>
      </c>
      <c r="C331" s="6" t="s">
        <v>4365</v>
      </c>
      <c r="D331" s="7" t="str">
        <f t="shared" si="9"/>
        <v>NACE C - 26.40 Manufacture of consumer electronics</v>
      </c>
      <c r="K331" t="s">
        <v>3219</v>
      </c>
    </row>
    <row r="332" spans="1:11" x14ac:dyDescent="0.25">
      <c r="A332" s="6" t="s">
        <v>1228</v>
      </c>
      <c r="B332" t="s">
        <v>1229</v>
      </c>
      <c r="C332" s="6" t="s">
        <v>4366</v>
      </c>
      <c r="D332" s="6" t="str">
        <f t="shared" si="9"/>
        <v>NACE C - 26.5 Manufacture of measuring testing instruments, clocks and watches</v>
      </c>
      <c r="K332" t="s">
        <v>3446</v>
      </c>
    </row>
    <row r="333" spans="1:11" x14ac:dyDescent="0.25">
      <c r="A333" s="7" t="s">
        <v>1230</v>
      </c>
      <c r="B333" t="s">
        <v>1231</v>
      </c>
      <c r="C333" s="4" t="s">
        <v>4342</v>
      </c>
      <c r="D333" s="7" t="str">
        <f t="shared" si="9"/>
        <v>NACE C - 26.51 Manufacture of instruments and appliances for measuring, testing and navigation</v>
      </c>
      <c r="K333" t="s">
        <v>2947</v>
      </c>
    </row>
    <row r="334" spans="1:11" x14ac:dyDescent="0.25">
      <c r="A334" s="7" t="s">
        <v>1232</v>
      </c>
      <c r="B334" t="s">
        <v>1233</v>
      </c>
      <c r="C334" s="5" t="s">
        <v>4368</v>
      </c>
      <c r="D334" s="7" t="str">
        <f t="shared" si="9"/>
        <v>NACE C - 26.52 Manufacture of watches and clocks</v>
      </c>
      <c r="K334" t="s">
        <v>3447</v>
      </c>
    </row>
    <row r="335" spans="1:11" x14ac:dyDescent="0.25">
      <c r="A335" s="6" t="s">
        <v>1234</v>
      </c>
      <c r="B335" t="s">
        <v>1235</v>
      </c>
      <c r="C335" s="6" t="s">
        <v>4369</v>
      </c>
      <c r="D335" s="6" t="str">
        <f t="shared" si="9"/>
        <v>NACE C - 26.6 Manufacture of irradiation, electromedical and electrotherapeutic equipment</v>
      </c>
      <c r="K335" t="s">
        <v>2948</v>
      </c>
    </row>
    <row r="336" spans="1:11" x14ac:dyDescent="0.25">
      <c r="A336" s="7" t="s">
        <v>1236</v>
      </c>
      <c r="B336" t="s">
        <v>1237</v>
      </c>
      <c r="C336" s="6" t="s">
        <v>4370</v>
      </c>
      <c r="D336" s="7" t="str">
        <f t="shared" si="9"/>
        <v>NACE C - 26.60 Manufacture of irradiation, electromedical and electrotherapeutic equipment</v>
      </c>
      <c r="K336" t="s">
        <v>3448</v>
      </c>
    </row>
    <row r="337" spans="1:11" x14ac:dyDescent="0.25">
      <c r="A337" s="6" t="s">
        <v>1238</v>
      </c>
      <c r="B337" t="s">
        <v>1239</v>
      </c>
      <c r="C337" s="6" t="s">
        <v>4371</v>
      </c>
      <c r="D337" s="6" t="str">
        <f t="shared" si="9"/>
        <v>NACE C - 26.7 Manufacture of optical instruments, magnetic and optical media and photographic equipment</v>
      </c>
      <c r="K337" t="s">
        <v>2949</v>
      </c>
    </row>
    <row r="338" spans="1:11" x14ac:dyDescent="0.25">
      <c r="A338" s="7" t="s">
        <v>1240</v>
      </c>
      <c r="B338" t="s">
        <v>1241</v>
      </c>
      <c r="C338" s="4" t="s">
        <v>4367</v>
      </c>
      <c r="D338" s="7" t="str">
        <f t="shared" si="9"/>
        <v>NACE C - 26.70 Manufacture of optical instruments, magnetic and optical media and photographic equipment</v>
      </c>
      <c r="K338" t="s">
        <v>3449</v>
      </c>
    </row>
    <row r="339" spans="1:11" x14ac:dyDescent="0.25">
      <c r="A339" s="5" t="s">
        <v>1242</v>
      </c>
      <c r="B339" t="s">
        <v>1243</v>
      </c>
      <c r="C339" s="5" t="s">
        <v>4373</v>
      </c>
      <c r="D339" s="5" t="str">
        <f t="shared" si="9"/>
        <v>NACE C - 27 Manufacture of electrical equipment</v>
      </c>
      <c r="K339" t="s">
        <v>2950</v>
      </c>
    </row>
    <row r="340" spans="1:11" x14ac:dyDescent="0.25">
      <c r="A340" s="6" t="s">
        <v>1244</v>
      </c>
      <c r="B340" t="s">
        <v>1245</v>
      </c>
      <c r="C340" s="6" t="s">
        <v>4374</v>
      </c>
      <c r="D340" s="6" t="str">
        <f t="shared" si="9"/>
        <v>NACE C - 27.1 Manufacture of electric motors, generators, transformers and electricity distribution and control apparatus</v>
      </c>
      <c r="K340" t="s">
        <v>2951</v>
      </c>
    </row>
    <row r="341" spans="1:11" x14ac:dyDescent="0.25">
      <c r="A341" s="7" t="s">
        <v>1246</v>
      </c>
      <c r="B341" t="s">
        <v>1247</v>
      </c>
      <c r="C341" s="6" t="s">
        <v>4375</v>
      </c>
      <c r="D341" s="7" t="str">
        <f t="shared" si="9"/>
        <v>NACE C - 27.11 Manufacture of electric motors, generators and transformers</v>
      </c>
      <c r="K341" t="s">
        <v>3220</v>
      </c>
    </row>
    <row r="342" spans="1:11" x14ac:dyDescent="0.25">
      <c r="A342" s="7" t="s">
        <v>1248</v>
      </c>
      <c r="B342" t="s">
        <v>1249</v>
      </c>
      <c r="C342" s="6" t="s">
        <v>4376</v>
      </c>
      <c r="D342" s="7" t="str">
        <f t="shared" si="9"/>
        <v>NACE C - 27.12 Manufacture of electricity distribution and control apparatus</v>
      </c>
      <c r="K342" t="s">
        <v>3450</v>
      </c>
    </row>
    <row r="343" spans="1:11" x14ac:dyDescent="0.25">
      <c r="A343" s="6" t="s">
        <v>1250</v>
      </c>
      <c r="B343" t="s">
        <v>1251</v>
      </c>
      <c r="C343" s="6" t="s">
        <v>4377</v>
      </c>
      <c r="D343" s="6" t="str">
        <f t="shared" si="9"/>
        <v>NACE C - 27.2 Manufacture of batteries and accumulators</v>
      </c>
      <c r="K343" t="s">
        <v>2761</v>
      </c>
    </row>
    <row r="344" spans="1:11" x14ac:dyDescent="0.25">
      <c r="A344" s="7" t="s">
        <v>1252</v>
      </c>
      <c r="B344" t="s">
        <v>1253</v>
      </c>
      <c r="C344" s="6" t="s">
        <v>4378</v>
      </c>
      <c r="D344" s="7" t="str">
        <f t="shared" si="9"/>
        <v>NACE C - 27.20 Manufacture of batteries and accumulators</v>
      </c>
      <c r="K344" t="s">
        <v>3221</v>
      </c>
    </row>
    <row r="345" spans="1:11" x14ac:dyDescent="0.25">
      <c r="A345" s="6" t="s">
        <v>1254</v>
      </c>
      <c r="B345" t="s">
        <v>1255</v>
      </c>
      <c r="C345" s="6" t="s">
        <v>4379</v>
      </c>
      <c r="D345" s="6" t="str">
        <f t="shared" si="9"/>
        <v>NACE C - 27.3 Manufacture of wiring and wiring devices</v>
      </c>
      <c r="K345" t="s">
        <v>3451</v>
      </c>
    </row>
    <row r="346" spans="1:11" x14ac:dyDescent="0.25">
      <c r="A346" s="7" t="s">
        <v>1256</v>
      </c>
      <c r="B346" t="s">
        <v>1257</v>
      </c>
      <c r="C346" s="4" t="s">
        <v>4372</v>
      </c>
      <c r="D346" s="7" t="str">
        <f t="shared" si="9"/>
        <v>NACE C - 27.31 Manufacture of fibre optic cables</v>
      </c>
      <c r="K346" t="s">
        <v>3452</v>
      </c>
    </row>
    <row r="347" spans="1:11" x14ac:dyDescent="0.25">
      <c r="A347" s="7" t="s">
        <v>1258</v>
      </c>
      <c r="B347" t="s">
        <v>1259</v>
      </c>
      <c r="C347" s="5" t="s">
        <v>4381</v>
      </c>
      <c r="D347" s="7" t="str">
        <f t="shared" si="9"/>
        <v>NACE C - 27.32 Manufacture of other electronic and electric wires and cables</v>
      </c>
      <c r="K347" t="s">
        <v>3453</v>
      </c>
    </row>
    <row r="348" spans="1:11" x14ac:dyDescent="0.25">
      <c r="A348" s="7" t="s">
        <v>1260</v>
      </c>
      <c r="B348" t="s">
        <v>1261</v>
      </c>
      <c r="C348" s="6" t="s">
        <v>4382</v>
      </c>
      <c r="D348" s="7" t="str">
        <f t="shared" si="9"/>
        <v>NACE C - 27.33 Manufacture of wiring devices</v>
      </c>
      <c r="K348" t="s">
        <v>3454</v>
      </c>
    </row>
    <row r="349" spans="1:11" x14ac:dyDescent="0.25">
      <c r="A349" s="6" t="s">
        <v>1262</v>
      </c>
      <c r="B349" t="s">
        <v>1263</v>
      </c>
      <c r="C349" s="6" t="s">
        <v>4383</v>
      </c>
      <c r="D349" s="6" t="str">
        <f t="shared" si="9"/>
        <v>NACE C - 27.4 Manufacture of lighting equipment</v>
      </c>
      <c r="K349" t="s">
        <v>3455</v>
      </c>
    </row>
    <row r="350" spans="1:11" x14ac:dyDescent="0.25">
      <c r="A350" s="7" t="s">
        <v>1264</v>
      </c>
      <c r="B350" t="s">
        <v>1265</v>
      </c>
      <c r="C350" s="6" t="s">
        <v>4384</v>
      </c>
      <c r="D350" s="7" t="str">
        <f t="shared" si="9"/>
        <v>NACE C - 27.40 Manufacture of lighting equipment</v>
      </c>
      <c r="K350" t="s">
        <v>3456</v>
      </c>
    </row>
    <row r="351" spans="1:11" x14ac:dyDescent="0.25">
      <c r="A351" s="6" t="s">
        <v>1266</v>
      </c>
      <c r="B351" t="s">
        <v>1267</v>
      </c>
      <c r="C351" s="5" t="s">
        <v>4385</v>
      </c>
      <c r="D351" s="6" t="str">
        <f t="shared" si="9"/>
        <v>NACE C - 27.5 Manufacture of domestic appliances</v>
      </c>
      <c r="K351" t="s">
        <v>2952</v>
      </c>
    </row>
    <row r="352" spans="1:11" x14ac:dyDescent="0.25">
      <c r="A352" s="7" t="s">
        <v>1268</v>
      </c>
      <c r="B352" t="s">
        <v>1269</v>
      </c>
      <c r="C352" s="6" t="s">
        <v>4386</v>
      </c>
      <c r="D352" s="7" t="str">
        <f t="shared" si="9"/>
        <v>NACE C - 27.51 Manufacture of electric domestic appliances</v>
      </c>
      <c r="K352" t="s">
        <v>2953</v>
      </c>
    </row>
    <row r="353" spans="1:11" x14ac:dyDescent="0.25">
      <c r="A353" s="7" t="s">
        <v>1270</v>
      </c>
      <c r="B353" t="s">
        <v>1271</v>
      </c>
      <c r="C353" s="6" t="s">
        <v>4387</v>
      </c>
      <c r="D353" s="7" t="str">
        <f t="shared" si="9"/>
        <v>NACE C - 27.52 Manufacture of non-electric domestic appliances</v>
      </c>
      <c r="K353" t="s">
        <v>2954</v>
      </c>
    </row>
    <row r="354" spans="1:11" x14ac:dyDescent="0.25">
      <c r="A354" s="6" t="s">
        <v>1272</v>
      </c>
      <c r="B354" t="s">
        <v>1273</v>
      </c>
      <c r="C354" s="6" t="s">
        <v>4388</v>
      </c>
      <c r="D354" s="6" t="str">
        <f t="shared" si="9"/>
        <v>NACE C - 27.9 Manufacture of other electrical equipment</v>
      </c>
      <c r="K354" t="s">
        <v>3457</v>
      </c>
    </row>
    <row r="355" spans="1:11" x14ac:dyDescent="0.25">
      <c r="A355" s="7" t="s">
        <v>1274</v>
      </c>
      <c r="B355" t="s">
        <v>1275</v>
      </c>
      <c r="C355" s="6" t="s">
        <v>4389</v>
      </c>
      <c r="D355" s="7" t="str">
        <f t="shared" si="9"/>
        <v>NACE C - 27.90 Manufacture of other electrical equipment</v>
      </c>
      <c r="K355" t="s">
        <v>2955</v>
      </c>
    </row>
    <row r="356" spans="1:11" x14ac:dyDescent="0.25">
      <c r="A356" s="5" t="s">
        <v>1276</v>
      </c>
      <c r="B356" t="s">
        <v>1277</v>
      </c>
      <c r="C356" s="5" t="s">
        <v>4390</v>
      </c>
      <c r="D356" s="5" t="str">
        <f t="shared" si="9"/>
        <v>NACE C - 28 Manufacture of machinery and equipment n.e.c.</v>
      </c>
      <c r="K356" t="s">
        <v>2956</v>
      </c>
    </row>
    <row r="357" spans="1:11" x14ac:dyDescent="0.25">
      <c r="A357" s="6" t="s">
        <v>1278</v>
      </c>
      <c r="B357" t="s">
        <v>1279</v>
      </c>
      <c r="C357" s="6" t="s">
        <v>4391</v>
      </c>
      <c r="D357" s="6" t="str">
        <f t="shared" si="9"/>
        <v>NACE C - 28.1 Manufacture of general-purpose machinery</v>
      </c>
      <c r="K357" t="s">
        <v>2762</v>
      </c>
    </row>
    <row r="358" spans="1:11" x14ac:dyDescent="0.25">
      <c r="A358" s="7" t="s">
        <v>1280</v>
      </c>
      <c r="B358" t="s">
        <v>1281</v>
      </c>
      <c r="C358" s="6" t="s">
        <v>4392</v>
      </c>
      <c r="D358" s="7" t="str">
        <f t="shared" si="9"/>
        <v>NACE C - 28.11 Manufacture of engines and turbines, except aircraft, vehicle and cycle engines</v>
      </c>
      <c r="K358" t="s">
        <v>3222</v>
      </c>
    </row>
    <row r="359" spans="1:11" x14ac:dyDescent="0.25">
      <c r="A359" s="7" t="s">
        <v>1282</v>
      </c>
      <c r="B359" t="s">
        <v>1283</v>
      </c>
      <c r="C359" s="4" t="s">
        <v>4380</v>
      </c>
      <c r="D359" s="7" t="str">
        <f t="shared" si="9"/>
        <v>NACE C - 28.12 Manufacture of fluid power equipment</v>
      </c>
      <c r="K359" t="s">
        <v>2957</v>
      </c>
    </row>
    <row r="360" spans="1:11" x14ac:dyDescent="0.25">
      <c r="A360" s="7" t="s">
        <v>1284</v>
      </c>
      <c r="B360" t="s">
        <v>1285</v>
      </c>
      <c r="C360" s="5" t="s">
        <v>4394</v>
      </c>
      <c r="D360" s="7" t="str">
        <f t="shared" si="9"/>
        <v>NACE C - 28.13 Manufacture of other pumps and compressors</v>
      </c>
      <c r="K360" t="s">
        <v>2958</v>
      </c>
    </row>
    <row r="361" spans="1:11" x14ac:dyDescent="0.25">
      <c r="A361" s="7" t="s">
        <v>1286</v>
      </c>
      <c r="B361" t="s">
        <v>1287</v>
      </c>
      <c r="C361" s="6" t="s">
        <v>4395</v>
      </c>
      <c r="D361" s="7" t="str">
        <f t="shared" si="9"/>
        <v>NACE C - 28.14 Manufacture of other taps and valves</v>
      </c>
      <c r="K361" t="s">
        <v>2959</v>
      </c>
    </row>
    <row r="362" spans="1:11" x14ac:dyDescent="0.25">
      <c r="A362" s="7" t="s">
        <v>1288</v>
      </c>
      <c r="B362" t="s">
        <v>1289</v>
      </c>
      <c r="C362" s="6" t="s">
        <v>4396</v>
      </c>
      <c r="D362" s="7" t="str">
        <f t="shared" si="9"/>
        <v>NACE C - 28.15 Manufacture of bearings, gears, gearing and driving elements</v>
      </c>
      <c r="K362" t="s">
        <v>3458</v>
      </c>
    </row>
    <row r="363" spans="1:11" x14ac:dyDescent="0.25">
      <c r="A363" s="6" t="s">
        <v>1290</v>
      </c>
      <c r="B363" t="s">
        <v>1291</v>
      </c>
      <c r="C363" s="6" t="s">
        <v>4397</v>
      </c>
      <c r="D363" s="6" t="str">
        <f t="shared" si="9"/>
        <v>NACE C - 28.2 Manufacture of other general-purpose machinery</v>
      </c>
      <c r="K363" t="s">
        <v>2960</v>
      </c>
    </row>
    <row r="364" spans="1:11" x14ac:dyDescent="0.25">
      <c r="A364" s="7" t="s">
        <v>1292</v>
      </c>
      <c r="B364" t="s">
        <v>1293</v>
      </c>
      <c r="C364" s="5" t="s">
        <v>4398</v>
      </c>
      <c r="D364" s="7" t="str">
        <f t="shared" si="9"/>
        <v>NACE C - 28.21 Manufacture of ovens, furnaces and permanent household heating equipment</v>
      </c>
      <c r="K364" t="s">
        <v>2961</v>
      </c>
    </row>
    <row r="365" spans="1:11" x14ac:dyDescent="0.25">
      <c r="A365" s="7" t="s">
        <v>1294</v>
      </c>
      <c r="B365" t="s">
        <v>1295</v>
      </c>
      <c r="C365" s="6" t="s">
        <v>4399</v>
      </c>
      <c r="D365" s="7" t="str">
        <f t="shared" si="9"/>
        <v>NACE C - 28.22 Manufacture of lifting and handling equipment</v>
      </c>
      <c r="K365" t="s">
        <v>2962</v>
      </c>
    </row>
    <row r="366" spans="1:11" x14ac:dyDescent="0.25">
      <c r="A366" s="7" t="s">
        <v>1296</v>
      </c>
      <c r="B366" t="s">
        <v>1297</v>
      </c>
      <c r="C366" s="6" t="s">
        <v>4400</v>
      </c>
      <c r="D366" s="7" t="str">
        <f t="shared" si="9"/>
        <v>NACE C - 28.23 Manufacture of office machinery and equipment, except computers and peripheral equipment</v>
      </c>
      <c r="K366" t="s">
        <v>2963</v>
      </c>
    </row>
    <row r="367" spans="1:11" x14ac:dyDescent="0.25">
      <c r="A367" s="7" t="s">
        <v>1298</v>
      </c>
      <c r="B367" t="s">
        <v>1299</v>
      </c>
      <c r="C367" s="6" t="s">
        <v>4401</v>
      </c>
      <c r="D367" s="7" t="str">
        <f t="shared" si="9"/>
        <v>NACE C - 28.24 Manufacture of power-driven hand tools</v>
      </c>
      <c r="K367" t="s">
        <v>3459</v>
      </c>
    </row>
    <row r="368" spans="1:11" x14ac:dyDescent="0.25">
      <c r="A368" s="7" t="s">
        <v>1300</v>
      </c>
      <c r="B368" t="s">
        <v>1301</v>
      </c>
      <c r="C368" s="6" t="s">
        <v>4402</v>
      </c>
      <c r="D368" s="7" t="str">
        <f t="shared" si="9"/>
        <v>NACE C - 28.25 Manufacture of non-domestic air conditioning equipment</v>
      </c>
      <c r="K368" t="s">
        <v>2964</v>
      </c>
    </row>
    <row r="369" spans="1:11" x14ac:dyDescent="0.25">
      <c r="A369" s="7" t="s">
        <v>1302</v>
      </c>
      <c r="B369" t="s">
        <v>1303</v>
      </c>
      <c r="C369" s="5" t="s">
        <v>4403</v>
      </c>
      <c r="D369" s="7" t="str">
        <f t="shared" si="9"/>
        <v>NACE C - 28.29 Manufacture of other general-purpose machinery n.e.c.</v>
      </c>
      <c r="K369" t="s">
        <v>2965</v>
      </c>
    </row>
    <row r="370" spans="1:11" x14ac:dyDescent="0.25">
      <c r="A370" s="6" t="s">
        <v>1304</v>
      </c>
      <c r="B370" t="s">
        <v>1305</v>
      </c>
      <c r="C370" s="6" t="s">
        <v>4404</v>
      </c>
      <c r="D370" s="6" t="str">
        <f t="shared" si="9"/>
        <v>NACE C - 28.3 Manufacture of agricultural and forestry machinery</v>
      </c>
      <c r="K370" t="s">
        <v>3460</v>
      </c>
    </row>
    <row r="371" spans="1:11" x14ac:dyDescent="0.25">
      <c r="A371" s="7" t="s">
        <v>1306</v>
      </c>
      <c r="B371" t="s">
        <v>1307</v>
      </c>
      <c r="C371" s="5" t="s">
        <v>4405</v>
      </c>
      <c r="D371" s="7" t="str">
        <f t="shared" si="9"/>
        <v>NACE C - 28.30 Manufacture of agricultural and forestry machinery</v>
      </c>
      <c r="K371" t="s">
        <v>2966</v>
      </c>
    </row>
    <row r="372" spans="1:11" x14ac:dyDescent="0.25">
      <c r="A372" s="6" t="s">
        <v>1308</v>
      </c>
      <c r="B372" t="s">
        <v>1309</v>
      </c>
      <c r="C372" s="6" t="s">
        <v>4406</v>
      </c>
      <c r="D372" s="6" t="str">
        <f t="shared" si="9"/>
        <v>NACE C - 28.4 Manufacture of metal forming machinery and machine tools</v>
      </c>
      <c r="K372" t="s">
        <v>3223</v>
      </c>
    </row>
    <row r="373" spans="1:11" x14ac:dyDescent="0.25">
      <c r="A373" s="7" t="s">
        <v>1310</v>
      </c>
      <c r="B373" t="s">
        <v>1311</v>
      </c>
      <c r="C373" s="6" t="s">
        <v>4407</v>
      </c>
      <c r="D373" s="7" t="str">
        <f t="shared" si="9"/>
        <v>NACE C - 28.41 Manufacture of metal forming machinery and machine tools for metal work</v>
      </c>
      <c r="K373" t="s">
        <v>2967</v>
      </c>
    </row>
    <row r="374" spans="1:11" x14ac:dyDescent="0.25">
      <c r="A374" s="7" t="s">
        <v>1312</v>
      </c>
      <c r="B374" t="s">
        <v>1313</v>
      </c>
      <c r="C374" s="4" t="s">
        <v>4393</v>
      </c>
      <c r="D374" s="7" t="str">
        <f t="shared" si="9"/>
        <v>NACE C - 28.42 Manufacture of other machine tools</v>
      </c>
      <c r="K374" t="s">
        <v>2968</v>
      </c>
    </row>
    <row r="375" spans="1:11" x14ac:dyDescent="0.25">
      <c r="A375" s="6" t="s">
        <v>1314</v>
      </c>
      <c r="B375" t="s">
        <v>1315</v>
      </c>
      <c r="C375" s="5" t="s">
        <v>4409</v>
      </c>
      <c r="D375" s="6" t="str">
        <f t="shared" si="9"/>
        <v>NACE C - 28.9 Manufacture of other special-purpose machinery</v>
      </c>
      <c r="K375" t="s">
        <v>2969</v>
      </c>
    </row>
    <row r="376" spans="1:11" x14ac:dyDescent="0.25">
      <c r="A376" s="7" t="s">
        <v>1316</v>
      </c>
      <c r="B376" t="s">
        <v>1317</v>
      </c>
      <c r="C376" s="6" t="s">
        <v>4410</v>
      </c>
      <c r="D376" s="7" t="str">
        <f t="shared" si="9"/>
        <v>NACE C - 28.91 Manufacture of machinery for metallurgy</v>
      </c>
      <c r="K376" t="s">
        <v>2970</v>
      </c>
    </row>
    <row r="377" spans="1:11" x14ac:dyDescent="0.25">
      <c r="A377" s="7" t="s">
        <v>1318</v>
      </c>
      <c r="B377" t="s">
        <v>1319</v>
      </c>
      <c r="C377" s="6" t="s">
        <v>4411</v>
      </c>
      <c r="D377" s="7" t="str">
        <f t="shared" si="9"/>
        <v>NACE C - 28.92 Manufacture of machinery for mining, quarrying and construction</v>
      </c>
      <c r="K377" t="s">
        <v>3461</v>
      </c>
    </row>
    <row r="378" spans="1:11" x14ac:dyDescent="0.25">
      <c r="A378" s="7" t="s">
        <v>1320</v>
      </c>
      <c r="B378" t="s">
        <v>1321</v>
      </c>
      <c r="C378" s="6" t="s">
        <v>4412</v>
      </c>
      <c r="D378" s="7" t="str">
        <f t="shared" si="9"/>
        <v>NACE C - 28.93 Manufacture of machinery for food, beverage and tobacco processing</v>
      </c>
      <c r="K378" t="s">
        <v>2971</v>
      </c>
    </row>
    <row r="379" spans="1:11" x14ac:dyDescent="0.25">
      <c r="A379" s="7" t="s">
        <v>1322</v>
      </c>
      <c r="B379" t="s">
        <v>1323</v>
      </c>
      <c r="C379" s="5" t="s">
        <v>4413</v>
      </c>
      <c r="D379" s="7" t="str">
        <f t="shared" si="9"/>
        <v>NACE C - 28.94 Manufacture of machinery for textile, apparel and leather production</v>
      </c>
      <c r="K379" t="s">
        <v>2972</v>
      </c>
    </row>
    <row r="380" spans="1:11" x14ac:dyDescent="0.25">
      <c r="A380" s="7" t="s">
        <v>1324</v>
      </c>
      <c r="B380" t="s">
        <v>1325</v>
      </c>
      <c r="C380" s="6" t="s">
        <v>4414</v>
      </c>
      <c r="D380" s="7" t="str">
        <f t="shared" si="9"/>
        <v>NACE C - 28.95 Manufacture of machinery for paper and paperboard production</v>
      </c>
      <c r="K380" t="s">
        <v>2973</v>
      </c>
    </row>
    <row r="381" spans="1:11" x14ac:dyDescent="0.25">
      <c r="A381" s="7" t="s">
        <v>1326</v>
      </c>
      <c r="B381" t="s">
        <v>1327</v>
      </c>
      <c r="C381" s="6" t="s">
        <v>4415</v>
      </c>
      <c r="D381" s="7" t="str">
        <f t="shared" si="9"/>
        <v>NACE C - 28.96 Manufacture of plastics and rubber machinery</v>
      </c>
      <c r="K381" t="s">
        <v>3462</v>
      </c>
    </row>
    <row r="382" spans="1:11" x14ac:dyDescent="0.25">
      <c r="A382" s="7" t="s">
        <v>1328</v>
      </c>
      <c r="B382" t="s">
        <v>1329</v>
      </c>
      <c r="C382" s="6" t="s">
        <v>4416</v>
      </c>
      <c r="D382" s="7" t="str">
        <f t="shared" si="9"/>
        <v>NACE C - 28.97 Manufacture of additive manufacturing machinery</v>
      </c>
      <c r="K382" t="s">
        <v>2974</v>
      </c>
    </row>
    <row r="383" spans="1:11" x14ac:dyDescent="0.25">
      <c r="A383" s="7" t="s">
        <v>1330</v>
      </c>
      <c r="B383" t="s">
        <v>1331</v>
      </c>
      <c r="C383" s="6" t="s">
        <v>4417</v>
      </c>
      <c r="D383" s="7" t="str">
        <f t="shared" si="9"/>
        <v>NACE C - 28.99 Manufacture of other special-purpose machinery n.e.c.</v>
      </c>
      <c r="K383" t="s">
        <v>3463</v>
      </c>
    </row>
    <row r="384" spans="1:11" x14ac:dyDescent="0.25">
      <c r="A384" s="5" t="s">
        <v>1332</v>
      </c>
      <c r="B384" t="s">
        <v>1333</v>
      </c>
      <c r="C384" s="5" t="s">
        <v>4418</v>
      </c>
      <c r="D384" s="5" t="str">
        <f t="shared" si="9"/>
        <v>NACE C - 29 Manufacture of motor vehicles, trailers and semi-trailers</v>
      </c>
      <c r="K384" t="s">
        <v>2975</v>
      </c>
    </row>
    <row r="385" spans="1:11" x14ac:dyDescent="0.25">
      <c r="A385" s="6" t="s">
        <v>1334</v>
      </c>
      <c r="B385" t="s">
        <v>1335</v>
      </c>
      <c r="C385" s="6" t="s">
        <v>4419</v>
      </c>
      <c r="D385" s="6" t="str">
        <f t="shared" si="9"/>
        <v>NACE C - 29.1 Manufacture of motor vehicles</v>
      </c>
      <c r="K385" t="s">
        <v>2976</v>
      </c>
    </row>
    <row r="386" spans="1:11" x14ac:dyDescent="0.25">
      <c r="A386" s="7" t="s">
        <v>1336</v>
      </c>
      <c r="B386" t="s">
        <v>1337</v>
      </c>
      <c r="C386" s="6" t="s">
        <v>4420</v>
      </c>
      <c r="D386" s="7" t="str">
        <f t="shared" ref="D386:D449" si="10">_xlfn.CONCAT("NACE ", A386)</f>
        <v>NACE C - 29.10 Manufacture of motor vehicles</v>
      </c>
      <c r="K386" t="s">
        <v>3224</v>
      </c>
    </row>
    <row r="387" spans="1:11" x14ac:dyDescent="0.25">
      <c r="A387" s="6" t="s">
        <v>1338</v>
      </c>
      <c r="B387" t="s">
        <v>1339</v>
      </c>
      <c r="C387" s="6" t="s">
        <v>4421</v>
      </c>
      <c r="D387" s="6" t="str">
        <f t="shared" si="10"/>
        <v>NACE C - 29.2 Manufacture of bodies and coachwork for motor vehicles; manufacture of trailers and semi-trailers</v>
      </c>
      <c r="K387" t="s">
        <v>3464</v>
      </c>
    </row>
    <row r="388" spans="1:11" x14ac:dyDescent="0.25">
      <c r="A388" s="7" t="s">
        <v>1340</v>
      </c>
      <c r="B388" t="s">
        <v>1341</v>
      </c>
      <c r="C388" s="6" t="s">
        <v>4422</v>
      </c>
      <c r="D388" s="7" t="str">
        <f t="shared" si="10"/>
        <v>NACE C - 29.20 Manufacture of bodies and coachwork for motor vehicles; manufacture of trailers and semi-trailers</v>
      </c>
      <c r="K388" t="s">
        <v>2977</v>
      </c>
    </row>
    <row r="389" spans="1:11" x14ac:dyDescent="0.25">
      <c r="A389" s="6" t="s">
        <v>1342</v>
      </c>
      <c r="B389" t="s">
        <v>1343</v>
      </c>
      <c r="C389" s="6" t="s">
        <v>4423</v>
      </c>
      <c r="D389" s="6" t="str">
        <f t="shared" si="10"/>
        <v>NACE C - 29.3 Manufacture of motor vehicle parts and accessories</v>
      </c>
      <c r="K389" t="s">
        <v>3465</v>
      </c>
    </row>
    <row r="390" spans="1:11" x14ac:dyDescent="0.25">
      <c r="A390" s="7" t="s">
        <v>1344</v>
      </c>
      <c r="B390" t="s">
        <v>1345</v>
      </c>
      <c r="C390" s="4" t="s">
        <v>4408</v>
      </c>
      <c r="D390" s="7" t="str">
        <f t="shared" si="10"/>
        <v>NACE C - 29.31 Manufacture of electrical and electronic equipment for motor vehicles</v>
      </c>
      <c r="K390" t="s">
        <v>2978</v>
      </c>
    </row>
    <row r="391" spans="1:11" x14ac:dyDescent="0.25">
      <c r="A391" s="7" t="s">
        <v>1346</v>
      </c>
      <c r="B391" t="s">
        <v>1347</v>
      </c>
      <c r="C391" s="5" t="s">
        <v>4425</v>
      </c>
      <c r="D391" s="7" t="str">
        <f t="shared" si="10"/>
        <v>NACE C - 29.32 Manufacture of other parts and accessories for motor vehicles</v>
      </c>
      <c r="K391" t="s">
        <v>2979</v>
      </c>
    </row>
    <row r="392" spans="1:11" x14ac:dyDescent="0.25">
      <c r="A392" s="5" t="s">
        <v>1348</v>
      </c>
      <c r="B392" t="s">
        <v>1349</v>
      </c>
      <c r="C392" s="6" t="s">
        <v>4426</v>
      </c>
      <c r="D392" s="5" t="str">
        <f t="shared" si="10"/>
        <v>NACE C - 30 Manufacture of other transport equipment</v>
      </c>
      <c r="K392" t="s">
        <v>3466</v>
      </c>
    </row>
    <row r="393" spans="1:11" x14ac:dyDescent="0.25">
      <c r="A393" s="6" t="s">
        <v>1350</v>
      </c>
      <c r="B393" t="s">
        <v>1351</v>
      </c>
      <c r="C393" s="5" t="s">
        <v>4427</v>
      </c>
      <c r="D393" s="6" t="str">
        <f t="shared" si="10"/>
        <v>NACE C - 30.1 Building of ships and boats</v>
      </c>
      <c r="K393" t="s">
        <v>3467</v>
      </c>
    </row>
    <row r="394" spans="1:11" x14ac:dyDescent="0.25">
      <c r="A394" s="7" t="s">
        <v>1352</v>
      </c>
      <c r="B394" t="s">
        <v>1353</v>
      </c>
      <c r="C394" s="6" t="s">
        <v>4428</v>
      </c>
      <c r="D394" s="7" t="str">
        <f t="shared" si="10"/>
        <v>NACE C - 30.11 Building of civilian ships and floating structures</v>
      </c>
      <c r="K394" t="s">
        <v>3468</v>
      </c>
    </row>
    <row r="395" spans="1:11" x14ac:dyDescent="0.25">
      <c r="A395" s="7" t="s">
        <v>1354</v>
      </c>
      <c r="B395" t="s">
        <v>1355</v>
      </c>
      <c r="C395" s="6" t="s">
        <v>4429</v>
      </c>
      <c r="D395" s="7" t="str">
        <f t="shared" si="10"/>
        <v>NACE C - 30.12 Building of pleasure and sporting boats</v>
      </c>
      <c r="K395" t="s">
        <v>3469</v>
      </c>
    </row>
    <row r="396" spans="1:11" x14ac:dyDescent="0.25">
      <c r="A396" s="7" t="s">
        <v>1356</v>
      </c>
      <c r="B396" t="s">
        <v>1357</v>
      </c>
      <c r="C396" s="4" t="s">
        <v>4424</v>
      </c>
      <c r="D396" s="7" t="str">
        <f t="shared" si="10"/>
        <v>NACE C - 30.13 Building of military ships and vessels</v>
      </c>
      <c r="K396" t="s">
        <v>2980</v>
      </c>
    </row>
    <row r="397" spans="1:11" x14ac:dyDescent="0.25">
      <c r="A397" s="6" t="s">
        <v>1358</v>
      </c>
      <c r="B397" t="s">
        <v>1359</v>
      </c>
      <c r="C397" s="5" t="s">
        <v>4431</v>
      </c>
      <c r="D397" s="6" t="str">
        <f t="shared" si="10"/>
        <v>NACE C - 30.2 Manufacture of railway locomotives and rolling stock</v>
      </c>
      <c r="K397" t="s">
        <v>2981</v>
      </c>
    </row>
    <row r="398" spans="1:11" x14ac:dyDescent="0.25">
      <c r="A398" s="7" t="s">
        <v>1360</v>
      </c>
      <c r="B398" t="s">
        <v>1361</v>
      </c>
      <c r="C398" s="6" t="s">
        <v>4432</v>
      </c>
      <c r="D398" s="7" t="str">
        <f t="shared" si="10"/>
        <v>NACE C - 30.20 Manufacture of railway locomotives and rolling stock</v>
      </c>
      <c r="K398" t="s">
        <v>2982</v>
      </c>
    </row>
    <row r="399" spans="1:11" x14ac:dyDescent="0.25">
      <c r="A399" s="6" t="s">
        <v>1362</v>
      </c>
      <c r="B399" t="s">
        <v>1363</v>
      </c>
      <c r="C399" s="4" t="s">
        <v>4430</v>
      </c>
      <c r="D399" s="6" t="str">
        <f t="shared" si="10"/>
        <v>NACE C - 30.3 Manufacture of air and spacecraft and related machinery</v>
      </c>
      <c r="K399" t="s">
        <v>2983</v>
      </c>
    </row>
    <row r="400" spans="1:11" x14ac:dyDescent="0.25">
      <c r="A400" s="7" t="s">
        <v>1364</v>
      </c>
      <c r="B400" t="s">
        <v>1365</v>
      </c>
      <c r="D400" s="7" t="str">
        <f t="shared" si="10"/>
        <v>NACE C - 30.31 Manufacture of civilian air and spacecraft and related machinery</v>
      </c>
      <c r="K400" t="s">
        <v>3470</v>
      </c>
    </row>
    <row r="401" spans="1:11" x14ac:dyDescent="0.25">
      <c r="A401" s="7" t="s">
        <v>1366</v>
      </c>
      <c r="B401" t="s">
        <v>1367</v>
      </c>
      <c r="C401" s="7"/>
      <c r="D401" s="7" t="str">
        <f t="shared" si="10"/>
        <v>NACE C - 30.32 Manufacture of military air and spacecraft and related machinery</v>
      </c>
      <c r="K401" t="s">
        <v>2984</v>
      </c>
    </row>
    <row r="402" spans="1:11" x14ac:dyDescent="0.25">
      <c r="A402" s="6" t="s">
        <v>1368</v>
      </c>
      <c r="B402" t="s">
        <v>1369</v>
      </c>
      <c r="C402" s="7"/>
      <c r="D402" s="6" t="str">
        <f t="shared" si="10"/>
        <v>NACE C - 30.4 Manufacture of military fighting vehicles</v>
      </c>
      <c r="K402" t="s">
        <v>2985</v>
      </c>
    </row>
    <row r="403" spans="1:11" x14ac:dyDescent="0.25">
      <c r="A403" s="7" t="s">
        <v>1370</v>
      </c>
      <c r="B403" t="s">
        <v>1371</v>
      </c>
      <c r="C403" s="7"/>
      <c r="D403" s="7" t="str">
        <f t="shared" si="10"/>
        <v>NACE C - 30.40 Manufacture of military fighting vehicles</v>
      </c>
      <c r="K403" t="s">
        <v>3225</v>
      </c>
    </row>
    <row r="404" spans="1:11" x14ac:dyDescent="0.25">
      <c r="A404" s="6" t="s">
        <v>1372</v>
      </c>
      <c r="B404" t="s">
        <v>1373</v>
      </c>
      <c r="C404" s="7"/>
      <c r="D404" s="6" t="str">
        <f t="shared" si="10"/>
        <v>NACE C - 30.9 Manufacture of transport equipment n.e.c.</v>
      </c>
      <c r="K404" t="s">
        <v>3471</v>
      </c>
    </row>
    <row r="405" spans="1:11" x14ac:dyDescent="0.25">
      <c r="A405" s="7" t="s">
        <v>1374</v>
      </c>
      <c r="B405" t="s">
        <v>1375</v>
      </c>
      <c r="C405" s="7"/>
      <c r="D405" s="7" t="str">
        <f t="shared" si="10"/>
        <v>NACE C - 30.91 Manufacture of motorcycles</v>
      </c>
      <c r="K405" t="s">
        <v>3472</v>
      </c>
    </row>
    <row r="406" spans="1:11" x14ac:dyDescent="0.25">
      <c r="A406" s="7" t="s">
        <v>1376</v>
      </c>
      <c r="B406" t="s">
        <v>1377</v>
      </c>
      <c r="C406" s="7"/>
      <c r="D406" s="7" t="str">
        <f t="shared" si="10"/>
        <v>NACE C - 30.92 Manufacture of bicycles and invalid carriages</v>
      </c>
      <c r="K406" t="s">
        <v>3473</v>
      </c>
    </row>
    <row r="407" spans="1:11" x14ac:dyDescent="0.25">
      <c r="A407" s="7" t="s">
        <v>1378</v>
      </c>
      <c r="B407" t="s">
        <v>1379</v>
      </c>
      <c r="C407" s="7"/>
      <c r="D407" s="7" t="str">
        <f t="shared" si="10"/>
        <v>NACE C - 30.99 Manufacture of other transport equipment n.e.c.</v>
      </c>
      <c r="K407" t="s">
        <v>3474</v>
      </c>
    </row>
    <row r="408" spans="1:11" x14ac:dyDescent="0.25">
      <c r="A408" s="5" t="s">
        <v>1380</v>
      </c>
      <c r="B408" t="s">
        <v>1381</v>
      </c>
      <c r="C408" s="7"/>
      <c r="D408" s="5" t="str">
        <f t="shared" si="10"/>
        <v>NACE C - 31 Manufacture of furniture</v>
      </c>
      <c r="K408" t="s">
        <v>3475</v>
      </c>
    </row>
    <row r="409" spans="1:11" x14ac:dyDescent="0.25">
      <c r="A409" s="6" t="s">
        <v>1382</v>
      </c>
      <c r="B409" t="s">
        <v>1383</v>
      </c>
      <c r="C409" s="7"/>
      <c r="D409" s="6" t="str">
        <f t="shared" si="10"/>
        <v>NACE C - 31.0 Manufacture of furniture</v>
      </c>
      <c r="K409" t="s">
        <v>3476</v>
      </c>
    </row>
    <row r="410" spans="1:11" x14ac:dyDescent="0.25">
      <c r="A410" s="7" t="s">
        <v>1384</v>
      </c>
      <c r="B410" t="s">
        <v>1385</v>
      </c>
      <c r="C410" s="7"/>
      <c r="D410" s="7" t="str">
        <f t="shared" si="10"/>
        <v>NACE C - 31.00 Manufacture of furniture</v>
      </c>
      <c r="K410" t="s">
        <v>3477</v>
      </c>
    </row>
    <row r="411" spans="1:11" x14ac:dyDescent="0.25">
      <c r="A411" s="5" t="s">
        <v>1386</v>
      </c>
      <c r="B411" t="s">
        <v>1387</v>
      </c>
      <c r="C411" s="7"/>
      <c r="D411" s="5" t="str">
        <f t="shared" si="10"/>
        <v>NACE C - 32 Other manufacturing</v>
      </c>
      <c r="K411" t="s">
        <v>2986</v>
      </c>
    </row>
    <row r="412" spans="1:11" x14ac:dyDescent="0.25">
      <c r="A412" s="6" t="s">
        <v>1388</v>
      </c>
      <c r="B412" t="s">
        <v>1389</v>
      </c>
      <c r="C412" s="7"/>
      <c r="D412" s="6" t="str">
        <f t="shared" si="10"/>
        <v>NACE C - 32.1 Manufacture of jewellery, bijouterie and related articles</v>
      </c>
      <c r="K412" t="s">
        <v>2987</v>
      </c>
    </row>
    <row r="413" spans="1:11" x14ac:dyDescent="0.25">
      <c r="A413" s="7" t="s">
        <v>1390</v>
      </c>
      <c r="B413" t="s">
        <v>1391</v>
      </c>
      <c r="C413" s="7"/>
      <c r="D413" s="7" t="str">
        <f t="shared" si="10"/>
        <v>NACE C - 32.11 Striking of coins</v>
      </c>
      <c r="K413" t="s">
        <v>3226</v>
      </c>
    </row>
    <row r="414" spans="1:11" x14ac:dyDescent="0.25">
      <c r="A414" s="7" t="s">
        <v>1392</v>
      </c>
      <c r="B414" t="s">
        <v>1393</v>
      </c>
      <c r="C414" s="7"/>
      <c r="D414" s="7" t="str">
        <f t="shared" si="10"/>
        <v>NACE C - 32.12 Manufacture of jewellery and related articles</v>
      </c>
      <c r="K414" t="s">
        <v>3478</v>
      </c>
    </row>
    <row r="415" spans="1:11" x14ac:dyDescent="0.25">
      <c r="A415" s="7" t="s">
        <v>1394</v>
      </c>
      <c r="B415" t="s">
        <v>1395</v>
      </c>
      <c r="C415" s="7"/>
      <c r="D415" s="7" t="str">
        <f t="shared" si="10"/>
        <v>NACE C - 32.13 Manufacture of imitation jewellery and related articles</v>
      </c>
      <c r="K415" t="s">
        <v>2988</v>
      </c>
    </row>
    <row r="416" spans="1:11" x14ac:dyDescent="0.25">
      <c r="A416" s="6" t="s">
        <v>1396</v>
      </c>
      <c r="B416" t="s">
        <v>1397</v>
      </c>
      <c r="C416" s="7"/>
      <c r="D416" s="6" t="str">
        <f t="shared" si="10"/>
        <v>NACE C - 32.2 Manufacture of musical instruments</v>
      </c>
      <c r="K416" t="s">
        <v>3479</v>
      </c>
    </row>
    <row r="417" spans="1:11" x14ac:dyDescent="0.25">
      <c r="A417" s="7" t="s">
        <v>1398</v>
      </c>
      <c r="B417" t="s">
        <v>1399</v>
      </c>
      <c r="C417" s="7"/>
      <c r="D417" s="7" t="str">
        <f t="shared" si="10"/>
        <v>NACE C - 32.20 Manufacture of musical instruments</v>
      </c>
      <c r="K417" t="s">
        <v>2989</v>
      </c>
    </row>
    <row r="418" spans="1:11" x14ac:dyDescent="0.25">
      <c r="A418" s="6" t="s">
        <v>1400</v>
      </c>
      <c r="B418" t="s">
        <v>1401</v>
      </c>
      <c r="C418" s="7"/>
      <c r="D418" s="6" t="str">
        <f t="shared" si="10"/>
        <v>NACE C - 32.3 Manufacture of sports goods</v>
      </c>
      <c r="K418" t="s">
        <v>3480</v>
      </c>
    </row>
    <row r="419" spans="1:11" x14ac:dyDescent="0.25">
      <c r="A419" s="7" t="s">
        <v>1402</v>
      </c>
      <c r="B419" t="s">
        <v>1403</v>
      </c>
      <c r="C419" s="7"/>
      <c r="D419" s="7" t="str">
        <f t="shared" si="10"/>
        <v>NACE C - 32.30 Manufacture of sports goods</v>
      </c>
      <c r="K419" t="s">
        <v>3481</v>
      </c>
    </row>
    <row r="420" spans="1:11" x14ac:dyDescent="0.25">
      <c r="A420" s="6" t="s">
        <v>1404</v>
      </c>
      <c r="B420" t="s">
        <v>1405</v>
      </c>
      <c r="C420" s="7"/>
      <c r="D420" s="6" t="str">
        <f t="shared" si="10"/>
        <v>NACE C - 32.4 Manufacture of games and toys</v>
      </c>
      <c r="K420" t="s">
        <v>2990</v>
      </c>
    </row>
    <row r="421" spans="1:11" x14ac:dyDescent="0.25">
      <c r="A421" s="7" t="s">
        <v>1406</v>
      </c>
      <c r="B421" t="s">
        <v>1407</v>
      </c>
      <c r="C421" s="7"/>
      <c r="D421" s="7" t="str">
        <f t="shared" si="10"/>
        <v>NACE C - 32.40 Manufacture of games and toys</v>
      </c>
      <c r="K421" t="s">
        <v>2991</v>
      </c>
    </row>
    <row r="422" spans="1:11" x14ac:dyDescent="0.25">
      <c r="A422" s="6" t="s">
        <v>1408</v>
      </c>
      <c r="B422" t="s">
        <v>1409</v>
      </c>
      <c r="C422" s="7"/>
      <c r="D422" s="6" t="str">
        <f t="shared" si="10"/>
        <v>NACE C - 32.5 Manufacture of medical and dental instruments and supplies</v>
      </c>
      <c r="K422" t="s">
        <v>3227</v>
      </c>
    </row>
    <row r="423" spans="1:11" x14ac:dyDescent="0.25">
      <c r="A423" s="7" t="s">
        <v>1410</v>
      </c>
      <c r="B423" t="s">
        <v>1411</v>
      </c>
      <c r="C423" s="7"/>
      <c r="D423" s="7" t="str">
        <f t="shared" si="10"/>
        <v>NACE C - 32.50 Manufacture of medical and dental instruments and supplies</v>
      </c>
      <c r="K423" t="s">
        <v>2992</v>
      </c>
    </row>
    <row r="424" spans="1:11" x14ac:dyDescent="0.25">
      <c r="A424" s="6" t="s">
        <v>1412</v>
      </c>
      <c r="B424" t="s">
        <v>1413</v>
      </c>
      <c r="C424" s="7"/>
      <c r="D424" s="6" t="str">
        <f t="shared" si="10"/>
        <v>NACE C - 32.9 Manufacturing n.e.c.</v>
      </c>
      <c r="K424" t="s">
        <v>2993</v>
      </c>
    </row>
    <row r="425" spans="1:11" x14ac:dyDescent="0.25">
      <c r="A425" s="7" t="s">
        <v>1414</v>
      </c>
      <c r="B425" t="s">
        <v>1415</v>
      </c>
      <c r="C425" s="7"/>
      <c r="D425" s="7" t="str">
        <f t="shared" si="10"/>
        <v>NACE C - 32.91 Manufacture of brooms and brushes</v>
      </c>
      <c r="K425" t="s">
        <v>3482</v>
      </c>
    </row>
    <row r="426" spans="1:11" x14ac:dyDescent="0.25">
      <c r="A426" s="7" t="s">
        <v>1416</v>
      </c>
      <c r="B426" t="s">
        <v>1417</v>
      </c>
      <c r="C426" s="7"/>
      <c r="D426" s="7" t="str">
        <f t="shared" si="10"/>
        <v>NACE C - 32.99 Other manufacturing n.e.c.</v>
      </c>
      <c r="K426" t="s">
        <v>2994</v>
      </c>
    </row>
    <row r="427" spans="1:11" x14ac:dyDescent="0.25">
      <c r="A427" s="5" t="s">
        <v>1418</v>
      </c>
      <c r="B427" t="s">
        <v>1419</v>
      </c>
      <c r="C427" s="7"/>
      <c r="D427" s="5" t="str">
        <f t="shared" si="10"/>
        <v>NACE C - 33 Repair, maintenance and installation of machinery and equipment</v>
      </c>
      <c r="K427" t="s">
        <v>3483</v>
      </c>
    </row>
    <row r="428" spans="1:11" x14ac:dyDescent="0.25">
      <c r="A428" s="6" t="s">
        <v>1420</v>
      </c>
      <c r="B428" t="s">
        <v>1421</v>
      </c>
      <c r="C428" s="7"/>
      <c r="D428" s="6" t="str">
        <f t="shared" si="10"/>
        <v>NACE C - 33.1 Repair and maintenance of fabricated metal products, machinery and equipment</v>
      </c>
      <c r="K428" t="s">
        <v>3484</v>
      </c>
    </row>
    <row r="429" spans="1:11" x14ac:dyDescent="0.25">
      <c r="A429" s="7" t="s">
        <v>1422</v>
      </c>
      <c r="B429" t="s">
        <v>1423</v>
      </c>
      <c r="C429" s="7"/>
      <c r="D429" s="7" t="str">
        <f t="shared" si="10"/>
        <v>NACE C - 33.11 Repair and maintenance of fabricated metal products</v>
      </c>
      <c r="K429" t="s">
        <v>3485</v>
      </c>
    </row>
    <row r="430" spans="1:11" x14ac:dyDescent="0.25">
      <c r="A430" s="7" t="s">
        <v>1424</v>
      </c>
      <c r="B430" t="s">
        <v>1425</v>
      </c>
      <c r="C430" s="7"/>
      <c r="D430" s="7" t="str">
        <f t="shared" si="10"/>
        <v>NACE C - 33.12 Repair and maintenance of machinery</v>
      </c>
      <c r="K430" t="s">
        <v>2995</v>
      </c>
    </row>
    <row r="431" spans="1:11" x14ac:dyDescent="0.25">
      <c r="A431" s="7" t="s">
        <v>1426</v>
      </c>
      <c r="B431" t="s">
        <v>1427</v>
      </c>
      <c r="C431" s="7"/>
      <c r="D431" s="7" t="str">
        <f t="shared" si="10"/>
        <v>NACE C - 33.13 Repair and maintenance of electronic and optical equipment</v>
      </c>
      <c r="K431" t="s">
        <v>2996</v>
      </c>
    </row>
    <row r="432" spans="1:11" x14ac:dyDescent="0.25">
      <c r="A432" s="7" t="s">
        <v>1428</v>
      </c>
      <c r="B432" t="s">
        <v>1429</v>
      </c>
      <c r="C432" s="7"/>
      <c r="D432" s="7" t="str">
        <f t="shared" si="10"/>
        <v>NACE C - 33.14 Repair and maintenance of electrical equipment</v>
      </c>
      <c r="K432" t="s">
        <v>3228</v>
      </c>
    </row>
    <row r="433" spans="1:11" x14ac:dyDescent="0.25">
      <c r="A433" s="7" t="s">
        <v>1430</v>
      </c>
      <c r="B433" t="s">
        <v>1431</v>
      </c>
      <c r="C433" s="7"/>
      <c r="D433" s="7" t="str">
        <f t="shared" si="10"/>
        <v>NACE C - 33.15 Repair and maintenance of civilian ships and boats</v>
      </c>
      <c r="K433" t="s">
        <v>2997</v>
      </c>
    </row>
    <row r="434" spans="1:11" x14ac:dyDescent="0.25">
      <c r="A434" s="7" t="s">
        <v>1432</v>
      </c>
      <c r="B434" t="s">
        <v>1433</v>
      </c>
      <c r="C434" s="7"/>
      <c r="D434" s="7" t="str">
        <f t="shared" si="10"/>
        <v>NACE C - 33.16 Repair and maintenance of civilian air and spacecraft</v>
      </c>
      <c r="K434" t="s">
        <v>2998</v>
      </c>
    </row>
    <row r="435" spans="1:11" x14ac:dyDescent="0.25">
      <c r="A435" s="7" t="s">
        <v>1434</v>
      </c>
      <c r="B435" t="s">
        <v>1435</v>
      </c>
      <c r="C435" s="7"/>
      <c r="D435" s="7" t="str">
        <f t="shared" si="10"/>
        <v>NACE C - 33.17 Repair and maintenance of other civilian transport equipment</v>
      </c>
      <c r="K435" t="s">
        <v>2999</v>
      </c>
    </row>
    <row r="436" spans="1:11" x14ac:dyDescent="0.25">
      <c r="A436" s="7" t="s">
        <v>1436</v>
      </c>
      <c r="B436" t="s">
        <v>1437</v>
      </c>
      <c r="C436" s="7"/>
      <c r="D436" s="7" t="str">
        <f t="shared" si="10"/>
        <v>NACE C - 33.18 Repair and maintenance of military fighting vehicles, ships, boats, air and spacecraft</v>
      </c>
      <c r="K436" t="s">
        <v>3000</v>
      </c>
    </row>
    <row r="437" spans="1:11" x14ac:dyDescent="0.25">
      <c r="A437" s="7" t="s">
        <v>1438</v>
      </c>
      <c r="B437" t="s">
        <v>1439</v>
      </c>
      <c r="C437" s="7"/>
      <c r="D437" s="7" t="str">
        <f t="shared" si="10"/>
        <v>NACE C - 33.19 Repair and maintenance of other equipment</v>
      </c>
      <c r="K437" t="s">
        <v>3001</v>
      </c>
    </row>
    <row r="438" spans="1:11" x14ac:dyDescent="0.25">
      <c r="A438" s="6" t="s">
        <v>1440</v>
      </c>
      <c r="B438" t="s">
        <v>1441</v>
      </c>
      <c r="C438" s="7"/>
      <c r="D438" s="6" t="str">
        <f t="shared" si="10"/>
        <v>NACE C - 33.2 Installation of industrial machinery and equipment</v>
      </c>
      <c r="K438" t="s">
        <v>3002</v>
      </c>
    </row>
    <row r="439" spans="1:11" x14ac:dyDescent="0.25">
      <c r="A439" s="7" t="s">
        <v>1442</v>
      </c>
      <c r="B439" t="s">
        <v>1443</v>
      </c>
      <c r="C439" s="7"/>
      <c r="D439" s="7" t="str">
        <f t="shared" si="10"/>
        <v>NACE C - 33.20 Installation of industrial machinery and equipment</v>
      </c>
      <c r="K439" t="s">
        <v>3003</v>
      </c>
    </row>
    <row r="440" spans="1:11" x14ac:dyDescent="0.25">
      <c r="A440" s="4" t="s">
        <v>1444</v>
      </c>
      <c r="B440" t="s">
        <v>1445</v>
      </c>
      <c r="C440" s="7"/>
      <c r="D440" s="4" t="str">
        <f t="shared" si="10"/>
        <v>NACE D - ELECTRICITY, GAS, STEAM AND AIR CONDITIONING SUPPLY</v>
      </c>
      <c r="K440" t="s">
        <v>3229</v>
      </c>
    </row>
    <row r="441" spans="1:11" x14ac:dyDescent="0.25">
      <c r="A441" s="5" t="s">
        <v>1446</v>
      </c>
      <c r="B441" t="s">
        <v>1447</v>
      </c>
      <c r="C441" s="7"/>
      <c r="D441" s="5" t="str">
        <f t="shared" si="10"/>
        <v>NACE D - 35 Electricity, gas, steam and air conditioning supply</v>
      </c>
      <c r="K441" t="s">
        <v>3004</v>
      </c>
    </row>
    <row r="442" spans="1:11" x14ac:dyDescent="0.25">
      <c r="A442" s="6" t="s">
        <v>1448</v>
      </c>
      <c r="B442" t="s">
        <v>1449</v>
      </c>
      <c r="C442" s="7"/>
      <c r="D442" s="6" t="str">
        <f t="shared" si="10"/>
        <v>NACE D - 35.1 Electric power generation, transmission and distribution</v>
      </c>
      <c r="K442" t="s">
        <v>3005</v>
      </c>
    </row>
    <row r="443" spans="1:11" x14ac:dyDescent="0.25">
      <c r="A443" s="7" t="s">
        <v>1450</v>
      </c>
      <c r="B443" t="s">
        <v>1451</v>
      </c>
      <c r="C443" s="7"/>
      <c r="D443" s="7" t="str">
        <f t="shared" si="10"/>
        <v>NACE D - 35.11 Production of electricity from non-renewable sources</v>
      </c>
      <c r="K443" t="s">
        <v>3006</v>
      </c>
    </row>
    <row r="444" spans="1:11" x14ac:dyDescent="0.25">
      <c r="A444" s="7" t="s">
        <v>1452</v>
      </c>
      <c r="B444" t="s">
        <v>1453</v>
      </c>
      <c r="C444" s="7"/>
      <c r="D444" s="7" t="str">
        <f t="shared" si="10"/>
        <v>NACE D - 35.12 Production of electricity from renewable sources</v>
      </c>
      <c r="K444" t="s">
        <v>3007</v>
      </c>
    </row>
    <row r="445" spans="1:11" x14ac:dyDescent="0.25">
      <c r="A445" s="7" t="s">
        <v>1454</v>
      </c>
      <c r="B445" t="s">
        <v>1455</v>
      </c>
      <c r="C445" s="7"/>
      <c r="D445" s="7" t="str">
        <f t="shared" si="10"/>
        <v>NACE D - 35.13 Transmission of electricity</v>
      </c>
      <c r="K445" t="s">
        <v>3008</v>
      </c>
    </row>
    <row r="446" spans="1:11" x14ac:dyDescent="0.25">
      <c r="A446" s="7" t="s">
        <v>1456</v>
      </c>
      <c r="B446" t="s">
        <v>1457</v>
      </c>
      <c r="C446" s="7"/>
      <c r="D446" s="7" t="str">
        <f t="shared" si="10"/>
        <v>NACE D - 35.14 Distribution of electricity</v>
      </c>
      <c r="K446" t="s">
        <v>3009</v>
      </c>
    </row>
    <row r="447" spans="1:11" x14ac:dyDescent="0.25">
      <c r="A447" s="7" t="s">
        <v>1458</v>
      </c>
      <c r="B447" t="s">
        <v>1459</v>
      </c>
      <c r="C447" s="7"/>
      <c r="D447" s="7" t="str">
        <f t="shared" si="10"/>
        <v>NACE D - 35.15 Trade of electricity</v>
      </c>
      <c r="K447" t="s">
        <v>3010</v>
      </c>
    </row>
    <row r="448" spans="1:11" x14ac:dyDescent="0.25">
      <c r="A448" s="7" t="s">
        <v>1460</v>
      </c>
      <c r="B448" t="s">
        <v>1461</v>
      </c>
      <c r="C448" s="7"/>
      <c r="D448" s="7" t="str">
        <f t="shared" si="10"/>
        <v>NACE D - 35.16 Storage of electricity</v>
      </c>
      <c r="K448" t="s">
        <v>3011</v>
      </c>
    </row>
    <row r="449" spans="1:11" x14ac:dyDescent="0.25">
      <c r="A449" s="6" t="s">
        <v>1462</v>
      </c>
      <c r="B449" t="s">
        <v>1463</v>
      </c>
      <c r="C449" s="7"/>
      <c r="D449" s="6" t="str">
        <f t="shared" si="10"/>
        <v>NACE D - 35.2 Manufacture of gas, and distribution of gaseous fuels through mains</v>
      </c>
      <c r="K449" t="s">
        <v>3230</v>
      </c>
    </row>
    <row r="450" spans="1:11" x14ac:dyDescent="0.25">
      <c r="A450" s="7" t="s">
        <v>1464</v>
      </c>
      <c r="B450" t="s">
        <v>1465</v>
      </c>
      <c r="C450" s="7"/>
      <c r="D450" s="7" t="str">
        <f t="shared" ref="D450:D513" si="11">_xlfn.CONCAT("NACE ", A450)</f>
        <v>NACE D - 35.21 Manufacture of gas</v>
      </c>
      <c r="K450" t="s">
        <v>3012</v>
      </c>
    </row>
    <row r="451" spans="1:11" x14ac:dyDescent="0.25">
      <c r="A451" s="7" t="s">
        <v>1466</v>
      </c>
      <c r="B451" t="s">
        <v>1467</v>
      </c>
      <c r="C451" s="7"/>
      <c r="D451" s="7" t="str">
        <f t="shared" si="11"/>
        <v>NACE D - 35.22 Distribution of gaseous fuels through mains</v>
      </c>
      <c r="K451" t="s">
        <v>3013</v>
      </c>
    </row>
    <row r="452" spans="1:11" x14ac:dyDescent="0.25">
      <c r="A452" s="7" t="s">
        <v>1468</v>
      </c>
      <c r="B452" t="s">
        <v>1469</v>
      </c>
      <c r="C452" s="7"/>
      <c r="D452" s="7" t="str">
        <f t="shared" si="11"/>
        <v>NACE D - 35.23 Trade of gas through mains</v>
      </c>
      <c r="K452" t="s">
        <v>3014</v>
      </c>
    </row>
    <row r="453" spans="1:11" x14ac:dyDescent="0.25">
      <c r="A453" s="7" t="s">
        <v>1470</v>
      </c>
      <c r="B453" t="s">
        <v>1471</v>
      </c>
      <c r="C453" s="7"/>
      <c r="D453" s="7" t="str">
        <f t="shared" si="11"/>
        <v>NACE D - 35.24 Storage of gas as part of network supply services</v>
      </c>
      <c r="K453" t="s">
        <v>3015</v>
      </c>
    </row>
    <row r="454" spans="1:11" x14ac:dyDescent="0.25">
      <c r="A454" s="6" t="s">
        <v>1472</v>
      </c>
      <c r="B454" t="s">
        <v>1473</v>
      </c>
      <c r="C454" s="7"/>
      <c r="D454" s="6" t="str">
        <f t="shared" si="11"/>
        <v>NACE D - 35.3 Steam and air conditioning supply</v>
      </c>
      <c r="K454" t="s">
        <v>3016</v>
      </c>
    </row>
    <row r="455" spans="1:11" x14ac:dyDescent="0.25">
      <c r="A455" s="7" t="s">
        <v>1474</v>
      </c>
      <c r="B455" t="s">
        <v>1475</v>
      </c>
      <c r="C455" s="7"/>
      <c r="D455" s="7" t="str">
        <f t="shared" si="11"/>
        <v>NACE D - 35.30 Steam and air conditioning supply</v>
      </c>
      <c r="K455" t="s">
        <v>3231</v>
      </c>
    </row>
    <row r="456" spans="1:11" x14ac:dyDescent="0.25">
      <c r="A456" s="6" t="s">
        <v>1476</v>
      </c>
      <c r="B456" t="s">
        <v>1477</v>
      </c>
      <c r="C456" s="7"/>
      <c r="D456" s="6" t="str">
        <f t="shared" si="11"/>
        <v>NACE D - 35.4 Activities of brokers and agents for electric power and natural gas</v>
      </c>
      <c r="K456" t="s">
        <v>3017</v>
      </c>
    </row>
    <row r="457" spans="1:11" x14ac:dyDescent="0.25">
      <c r="A457" s="7" t="s">
        <v>1478</v>
      </c>
      <c r="B457" t="s">
        <v>1479</v>
      </c>
      <c r="C457" s="7"/>
      <c r="D457" s="7" t="str">
        <f t="shared" si="11"/>
        <v>NACE D - 35.40 Activities of brokers and agents for electric power and natural gas</v>
      </c>
      <c r="K457" t="s">
        <v>3018</v>
      </c>
    </row>
    <row r="458" spans="1:11" x14ac:dyDescent="0.25">
      <c r="A458" s="4" t="s">
        <v>1480</v>
      </c>
      <c r="B458" t="s">
        <v>1481</v>
      </c>
      <c r="C458" s="7"/>
      <c r="D458" s="4" t="str">
        <f t="shared" si="11"/>
        <v>NACE E - WATER SUPPLY; SEWERAGE, WASTE MANAGEMENT AND REMEDIATION ACTIVITIES</v>
      </c>
      <c r="K458" t="s">
        <v>3019</v>
      </c>
    </row>
    <row r="459" spans="1:11" x14ac:dyDescent="0.25">
      <c r="A459" s="5" t="s">
        <v>1482</v>
      </c>
      <c r="B459" t="s">
        <v>1483</v>
      </c>
      <c r="C459" s="7"/>
      <c r="D459" s="5" t="str">
        <f t="shared" si="11"/>
        <v>NACE E - 36 Water collection, treatment and supply</v>
      </c>
      <c r="K459" t="s">
        <v>3020</v>
      </c>
    </row>
    <row r="460" spans="1:11" x14ac:dyDescent="0.25">
      <c r="A460" s="6" t="s">
        <v>1484</v>
      </c>
      <c r="B460" t="s">
        <v>1485</v>
      </c>
      <c r="C460" s="7"/>
      <c r="D460" s="6" t="str">
        <f t="shared" si="11"/>
        <v>NACE E - 36.0 Water collection, treatment and supply</v>
      </c>
      <c r="K460" t="s">
        <v>3021</v>
      </c>
    </row>
    <row r="461" spans="1:11" x14ac:dyDescent="0.25">
      <c r="A461" s="7" t="s">
        <v>1486</v>
      </c>
      <c r="B461" t="s">
        <v>1487</v>
      </c>
      <c r="C461" s="7"/>
      <c r="D461" s="7" t="str">
        <f t="shared" si="11"/>
        <v>NACE E - 36.00 Water collection, treatment and supply</v>
      </c>
      <c r="K461" t="s">
        <v>3232</v>
      </c>
    </row>
    <row r="462" spans="1:11" x14ac:dyDescent="0.25">
      <c r="A462" s="5" t="s">
        <v>1488</v>
      </c>
      <c r="B462" t="s">
        <v>1489</v>
      </c>
      <c r="C462" s="7"/>
      <c r="D462" s="5" t="str">
        <f t="shared" si="11"/>
        <v>NACE E - 37 Sewerage</v>
      </c>
      <c r="K462" t="s">
        <v>3022</v>
      </c>
    </row>
    <row r="463" spans="1:11" x14ac:dyDescent="0.25">
      <c r="A463" s="6" t="s">
        <v>1490</v>
      </c>
      <c r="B463" t="s">
        <v>1491</v>
      </c>
      <c r="C463" s="7"/>
      <c r="D463" s="6" t="str">
        <f t="shared" si="11"/>
        <v>NACE E - 37.0 Sewerage</v>
      </c>
      <c r="K463" t="s">
        <v>3023</v>
      </c>
    </row>
    <row r="464" spans="1:11" x14ac:dyDescent="0.25">
      <c r="A464" s="7" t="s">
        <v>1492</v>
      </c>
      <c r="B464" t="s">
        <v>1493</v>
      </c>
      <c r="C464" s="7"/>
      <c r="D464" s="7" t="str">
        <f t="shared" si="11"/>
        <v>NACE E - 37.00 Sewerage</v>
      </c>
      <c r="K464" t="s">
        <v>3024</v>
      </c>
    </row>
    <row r="465" spans="1:11" x14ac:dyDescent="0.25">
      <c r="A465" s="5" t="s">
        <v>1494</v>
      </c>
      <c r="B465" t="s">
        <v>1495</v>
      </c>
      <c r="C465" s="7"/>
      <c r="D465" s="5" t="str">
        <f t="shared" si="11"/>
        <v>NACE E - 38 Waste collection, recovery and disposal activities</v>
      </c>
      <c r="K465" t="s">
        <v>3025</v>
      </c>
    </row>
    <row r="466" spans="1:11" x14ac:dyDescent="0.25">
      <c r="A466" s="6" t="s">
        <v>1496</v>
      </c>
      <c r="B466" t="s">
        <v>1497</v>
      </c>
      <c r="C466" s="7"/>
      <c r="D466" s="6" t="str">
        <f t="shared" si="11"/>
        <v>NACE E - 38.1 Waste collection</v>
      </c>
      <c r="K466" t="s">
        <v>3026</v>
      </c>
    </row>
    <row r="467" spans="1:11" x14ac:dyDescent="0.25">
      <c r="A467" s="7" t="s">
        <v>1498</v>
      </c>
      <c r="B467" t="s">
        <v>1499</v>
      </c>
      <c r="C467" s="7"/>
      <c r="D467" s="7" t="str">
        <f t="shared" si="11"/>
        <v>NACE E - 38.11 Collection of non-hazardous waste</v>
      </c>
      <c r="K467" t="s">
        <v>3027</v>
      </c>
    </row>
    <row r="468" spans="1:11" x14ac:dyDescent="0.25">
      <c r="A468" s="7" t="s">
        <v>1500</v>
      </c>
      <c r="B468" t="s">
        <v>1501</v>
      </c>
      <c r="C468" s="7"/>
      <c r="D468" s="7" t="str">
        <f t="shared" si="11"/>
        <v>NACE E - 38.12 Collection of hazardous waste</v>
      </c>
      <c r="K468" t="s">
        <v>3028</v>
      </c>
    </row>
    <row r="469" spans="1:11" x14ac:dyDescent="0.25">
      <c r="A469" s="6" t="s">
        <v>1502</v>
      </c>
      <c r="B469" t="s">
        <v>1503</v>
      </c>
      <c r="C469" s="7"/>
      <c r="D469" s="6" t="str">
        <f t="shared" si="11"/>
        <v>NACE E - 38.2 Waste recovery</v>
      </c>
      <c r="K469" t="s">
        <v>3029</v>
      </c>
    </row>
    <row r="470" spans="1:11" x14ac:dyDescent="0.25">
      <c r="A470" s="7" t="s">
        <v>1504</v>
      </c>
      <c r="B470" t="s">
        <v>1505</v>
      </c>
      <c r="C470" s="7"/>
      <c r="D470" s="7" t="str">
        <f t="shared" si="11"/>
        <v>NACE E - 38.21 Materials recovery</v>
      </c>
      <c r="K470" t="s">
        <v>3030</v>
      </c>
    </row>
    <row r="471" spans="1:11" x14ac:dyDescent="0.25">
      <c r="A471" s="7" t="s">
        <v>1506</v>
      </c>
      <c r="B471" t="s">
        <v>1507</v>
      </c>
      <c r="C471" s="7"/>
      <c r="D471" s="7" t="str">
        <f t="shared" si="11"/>
        <v>NACE E - 38.22 Energy recovery</v>
      </c>
      <c r="K471" t="s">
        <v>3233</v>
      </c>
    </row>
    <row r="472" spans="1:11" x14ac:dyDescent="0.25">
      <c r="A472" s="7" t="s">
        <v>1508</v>
      </c>
      <c r="B472" t="s">
        <v>1509</v>
      </c>
      <c r="C472" s="7"/>
      <c r="D472" s="7" t="str">
        <f t="shared" si="11"/>
        <v>NACE E - 38.23 Other waste recovery</v>
      </c>
      <c r="K472" t="s">
        <v>3031</v>
      </c>
    </row>
    <row r="473" spans="1:11" x14ac:dyDescent="0.25">
      <c r="A473" s="6" t="s">
        <v>1510</v>
      </c>
      <c r="B473" t="s">
        <v>1511</v>
      </c>
      <c r="C473" s="7"/>
      <c r="D473" s="6" t="str">
        <f t="shared" si="11"/>
        <v>NACE E - 38.3 Waste disposal without recovery</v>
      </c>
      <c r="K473" t="s">
        <v>3032</v>
      </c>
    </row>
    <row r="474" spans="1:11" x14ac:dyDescent="0.25">
      <c r="A474" s="7" t="s">
        <v>1512</v>
      </c>
      <c r="B474" t="s">
        <v>1513</v>
      </c>
      <c r="C474" s="7"/>
      <c r="D474" s="7" t="str">
        <f t="shared" si="11"/>
        <v>NACE E - 38.31 Incineration without energy recovery</v>
      </c>
      <c r="K474" t="s">
        <v>3033</v>
      </c>
    </row>
    <row r="475" spans="1:11" x14ac:dyDescent="0.25">
      <c r="A475" s="7" t="s">
        <v>1514</v>
      </c>
      <c r="B475" t="s">
        <v>1515</v>
      </c>
      <c r="C475" s="7"/>
      <c r="D475" s="7" t="str">
        <f t="shared" si="11"/>
        <v>NACE E - 38.32 Landfilling or permanent storage</v>
      </c>
      <c r="K475" t="s">
        <v>3034</v>
      </c>
    </row>
    <row r="476" spans="1:11" x14ac:dyDescent="0.25">
      <c r="A476" s="7" t="s">
        <v>1516</v>
      </c>
      <c r="B476" t="s">
        <v>1517</v>
      </c>
      <c r="C476" s="7"/>
      <c r="D476" s="7" t="str">
        <f t="shared" si="11"/>
        <v>NACE E - 38.33 Other waste disposal</v>
      </c>
      <c r="K476" t="s">
        <v>3035</v>
      </c>
    </row>
    <row r="477" spans="1:11" x14ac:dyDescent="0.25">
      <c r="A477" s="5" t="s">
        <v>1518</v>
      </c>
      <c r="B477" t="s">
        <v>1519</v>
      </c>
      <c r="C477" s="7"/>
      <c r="D477" s="5" t="str">
        <f t="shared" si="11"/>
        <v>NACE E - 39 Remediation activities and other waste management service activities</v>
      </c>
      <c r="K477" t="s">
        <v>3036</v>
      </c>
    </row>
    <row r="478" spans="1:11" x14ac:dyDescent="0.25">
      <c r="A478" s="6" t="s">
        <v>1520</v>
      </c>
      <c r="B478" t="s">
        <v>1521</v>
      </c>
      <c r="C478" s="7"/>
      <c r="D478" s="6" t="str">
        <f t="shared" si="11"/>
        <v>NACE E - 39.0 Remediation activities and other waste management service activities</v>
      </c>
      <c r="K478" t="s">
        <v>3037</v>
      </c>
    </row>
    <row r="479" spans="1:11" x14ac:dyDescent="0.25">
      <c r="A479" s="7" t="s">
        <v>1522</v>
      </c>
      <c r="B479" t="s">
        <v>1523</v>
      </c>
      <c r="C479" s="7"/>
      <c r="D479" s="7" t="str">
        <f t="shared" si="11"/>
        <v>NACE E - 39.00 Remediation activities and other waste management service activities</v>
      </c>
      <c r="K479" t="s">
        <v>3038</v>
      </c>
    </row>
    <row r="480" spans="1:11" x14ac:dyDescent="0.25">
      <c r="A480" s="4" t="s">
        <v>1524</v>
      </c>
      <c r="B480" t="s">
        <v>1525</v>
      </c>
      <c r="C480" s="7"/>
      <c r="D480" s="4" t="str">
        <f t="shared" si="11"/>
        <v>NACE F - CONSTRUCTION</v>
      </c>
      <c r="K480" t="s">
        <v>3234</v>
      </c>
    </row>
    <row r="481" spans="1:11" x14ac:dyDescent="0.25">
      <c r="A481" s="5" t="s">
        <v>1526</v>
      </c>
      <c r="B481" t="s">
        <v>1527</v>
      </c>
      <c r="C481" s="7"/>
      <c r="D481" s="5" t="str">
        <f t="shared" si="11"/>
        <v>NACE F - 41 Construction of residential and non-residential buildings</v>
      </c>
      <c r="K481" t="s">
        <v>3039</v>
      </c>
    </row>
    <row r="482" spans="1:11" x14ac:dyDescent="0.25">
      <c r="A482" s="6" t="s">
        <v>1528</v>
      </c>
      <c r="B482" t="s">
        <v>1529</v>
      </c>
      <c r="C482" s="7"/>
      <c r="D482" s="6" t="str">
        <f t="shared" si="11"/>
        <v>NACE F - 41.0 Construction of residential and non-residential buildings</v>
      </c>
      <c r="K482" t="s">
        <v>3040</v>
      </c>
    </row>
    <row r="483" spans="1:11" x14ac:dyDescent="0.25">
      <c r="A483" s="7" t="s">
        <v>1530</v>
      </c>
      <c r="B483" t="s">
        <v>1531</v>
      </c>
      <c r="C483" s="7"/>
      <c r="D483" s="7" t="str">
        <f t="shared" si="11"/>
        <v>NACE F - 41.00 Construction of residential and non-residential buildings</v>
      </c>
      <c r="K483" t="s">
        <v>3041</v>
      </c>
    </row>
    <row r="484" spans="1:11" x14ac:dyDescent="0.25">
      <c r="A484" s="5" t="s">
        <v>1532</v>
      </c>
      <c r="B484" t="s">
        <v>1533</v>
      </c>
      <c r="C484" s="7"/>
      <c r="D484" s="5" t="str">
        <f t="shared" si="11"/>
        <v>NACE F - 42 Civil engineering</v>
      </c>
      <c r="K484" t="s">
        <v>3042</v>
      </c>
    </row>
    <row r="485" spans="1:11" x14ac:dyDescent="0.25">
      <c r="A485" s="6" t="s">
        <v>1534</v>
      </c>
      <c r="B485" t="s">
        <v>1535</v>
      </c>
      <c r="C485" s="7"/>
      <c r="D485" s="6" t="str">
        <f t="shared" si="11"/>
        <v>NACE F - 42.1 Construction of roads and railways</v>
      </c>
      <c r="K485" t="s">
        <v>3043</v>
      </c>
    </row>
    <row r="486" spans="1:11" x14ac:dyDescent="0.25">
      <c r="A486" s="7" t="s">
        <v>1536</v>
      </c>
      <c r="B486" t="s">
        <v>1537</v>
      </c>
      <c r="C486" s="7"/>
      <c r="D486" s="7" t="str">
        <f t="shared" si="11"/>
        <v>NACE F - 42.11 Construction of roads and motorways</v>
      </c>
      <c r="K486" t="s">
        <v>3044</v>
      </c>
    </row>
    <row r="487" spans="1:11" x14ac:dyDescent="0.25">
      <c r="A487" s="7" t="s">
        <v>1538</v>
      </c>
      <c r="B487" t="s">
        <v>1539</v>
      </c>
      <c r="C487" s="7"/>
      <c r="D487" s="7" t="str">
        <f t="shared" si="11"/>
        <v>NACE F - 42.12 Construction of railways and underground railways</v>
      </c>
      <c r="K487" t="s">
        <v>3045</v>
      </c>
    </row>
    <row r="488" spans="1:11" x14ac:dyDescent="0.25">
      <c r="A488" s="7" t="s">
        <v>1540</v>
      </c>
      <c r="B488" t="s">
        <v>1541</v>
      </c>
      <c r="C488" s="7"/>
      <c r="D488" s="7" t="str">
        <f t="shared" si="11"/>
        <v>NACE F - 42.13 Construction of bridges and tunnels</v>
      </c>
      <c r="K488" t="s">
        <v>3046</v>
      </c>
    </row>
    <row r="489" spans="1:11" x14ac:dyDescent="0.25">
      <c r="A489" s="6" t="s">
        <v>1542</v>
      </c>
      <c r="B489" t="s">
        <v>1543</v>
      </c>
      <c r="C489" s="7"/>
      <c r="D489" s="6" t="str">
        <f t="shared" si="11"/>
        <v>NACE F - 42.2 Construction of utility projects</v>
      </c>
      <c r="K489" t="s">
        <v>3047</v>
      </c>
    </row>
    <row r="490" spans="1:11" x14ac:dyDescent="0.25">
      <c r="A490" s="7" t="s">
        <v>1544</v>
      </c>
      <c r="B490" t="s">
        <v>1545</v>
      </c>
      <c r="C490" s="7"/>
      <c r="D490" s="7" t="str">
        <f t="shared" si="11"/>
        <v>NACE F - 42.21 Construction of utility projects for fluids</v>
      </c>
      <c r="K490" t="s">
        <v>2763</v>
      </c>
    </row>
    <row r="491" spans="1:11" x14ac:dyDescent="0.25">
      <c r="A491" s="7" t="s">
        <v>1546</v>
      </c>
      <c r="B491" t="s">
        <v>1547</v>
      </c>
      <c r="C491" s="7"/>
      <c r="D491" s="7" t="str">
        <f t="shared" si="11"/>
        <v>NACE F - 42.22 Construction of utility projects for electricity and telecommunications</v>
      </c>
      <c r="K491" t="s">
        <v>3235</v>
      </c>
    </row>
    <row r="492" spans="1:11" x14ac:dyDescent="0.25">
      <c r="A492" s="6" t="s">
        <v>1548</v>
      </c>
      <c r="B492" t="s">
        <v>1549</v>
      </c>
      <c r="C492" s="7"/>
      <c r="D492" s="6" t="str">
        <f t="shared" si="11"/>
        <v>NACE F - 42.9 Construction of other civil engineering projects</v>
      </c>
      <c r="K492" t="s">
        <v>3486</v>
      </c>
    </row>
    <row r="493" spans="1:11" x14ac:dyDescent="0.25">
      <c r="A493" s="7" t="s">
        <v>1550</v>
      </c>
      <c r="B493" t="s">
        <v>1551</v>
      </c>
      <c r="C493" s="7"/>
      <c r="D493" s="7" t="str">
        <f t="shared" si="11"/>
        <v>NACE F - 42.91 Construction of water projects</v>
      </c>
      <c r="K493" t="s">
        <v>3487</v>
      </c>
    </row>
    <row r="494" spans="1:11" x14ac:dyDescent="0.25">
      <c r="A494" s="7" t="s">
        <v>1552</v>
      </c>
      <c r="B494" t="s">
        <v>1553</v>
      </c>
      <c r="C494" s="7"/>
      <c r="D494" s="7" t="str">
        <f t="shared" si="11"/>
        <v>NACE F - 42.99 Construction of other civil engineering projects n.e.c.</v>
      </c>
      <c r="K494" t="s">
        <v>3488</v>
      </c>
    </row>
    <row r="495" spans="1:11" x14ac:dyDescent="0.25">
      <c r="A495" s="5" t="s">
        <v>1554</v>
      </c>
      <c r="B495" t="s">
        <v>1555</v>
      </c>
      <c r="C495" s="7"/>
      <c r="D495" s="5" t="str">
        <f t="shared" si="11"/>
        <v>NACE F - 43 Specialised construction activities</v>
      </c>
      <c r="K495" t="s">
        <v>3048</v>
      </c>
    </row>
    <row r="496" spans="1:11" x14ac:dyDescent="0.25">
      <c r="A496" s="6" t="s">
        <v>1556</v>
      </c>
      <c r="B496" t="s">
        <v>1557</v>
      </c>
      <c r="C496" s="7"/>
      <c r="D496" s="6" t="str">
        <f t="shared" si="11"/>
        <v>NACE F - 43.1 Demolition and site preparation</v>
      </c>
      <c r="K496" t="s">
        <v>3489</v>
      </c>
    </row>
    <row r="497" spans="1:11" x14ac:dyDescent="0.25">
      <c r="A497" s="7" t="s">
        <v>1558</v>
      </c>
      <c r="B497" t="s">
        <v>1559</v>
      </c>
      <c r="C497" s="7"/>
      <c r="D497" s="7" t="str">
        <f t="shared" si="11"/>
        <v>NACE F - 43.11 Demolition</v>
      </c>
      <c r="K497" t="s">
        <v>3490</v>
      </c>
    </row>
    <row r="498" spans="1:11" x14ac:dyDescent="0.25">
      <c r="A498" s="7" t="s">
        <v>1560</v>
      </c>
      <c r="B498" t="s">
        <v>1561</v>
      </c>
      <c r="C498" s="7"/>
      <c r="D498" s="7" t="str">
        <f t="shared" si="11"/>
        <v>NACE F - 43.12 Site preparation</v>
      </c>
      <c r="K498" t="s">
        <v>3491</v>
      </c>
    </row>
    <row r="499" spans="1:11" x14ac:dyDescent="0.25">
      <c r="A499" s="7" t="s">
        <v>1562</v>
      </c>
      <c r="B499" t="s">
        <v>1563</v>
      </c>
      <c r="C499" s="7"/>
      <c r="D499" s="7" t="str">
        <f t="shared" si="11"/>
        <v>NACE F - 43.13 Test drilling and boring</v>
      </c>
      <c r="K499" t="s">
        <v>3492</v>
      </c>
    </row>
    <row r="500" spans="1:11" x14ac:dyDescent="0.25">
      <c r="A500" s="6" t="s">
        <v>1564</v>
      </c>
      <c r="B500" t="s">
        <v>1565</v>
      </c>
      <c r="C500" s="7"/>
      <c r="D500" s="6" t="str">
        <f t="shared" si="11"/>
        <v>NACE F - 43.2 Electrical, plumbing and other construction installation activities</v>
      </c>
      <c r="K500" t="s">
        <v>3236</v>
      </c>
    </row>
    <row r="501" spans="1:11" x14ac:dyDescent="0.25">
      <c r="A501" s="7" t="s">
        <v>1566</v>
      </c>
      <c r="B501" t="s">
        <v>1567</v>
      </c>
      <c r="C501" s="7"/>
      <c r="D501" s="7" t="str">
        <f t="shared" si="11"/>
        <v>NACE F - 43.21 Electrical installation</v>
      </c>
      <c r="K501" t="s">
        <v>3049</v>
      </c>
    </row>
    <row r="502" spans="1:11" x14ac:dyDescent="0.25">
      <c r="A502" s="7" t="s">
        <v>1568</v>
      </c>
      <c r="B502" t="s">
        <v>1569</v>
      </c>
      <c r="C502" s="7"/>
      <c r="D502" s="7" t="str">
        <f t="shared" si="11"/>
        <v>NACE F - 43.22 Plumbing, heat and air-conditioning installation</v>
      </c>
      <c r="K502" t="s">
        <v>3493</v>
      </c>
    </row>
    <row r="503" spans="1:11" x14ac:dyDescent="0.25">
      <c r="A503" s="7" t="s">
        <v>1570</v>
      </c>
      <c r="B503" t="s">
        <v>1571</v>
      </c>
      <c r="C503" s="7"/>
      <c r="D503" s="7" t="str">
        <f t="shared" si="11"/>
        <v>NACE F - 43.23 Installation of insulation</v>
      </c>
      <c r="K503" t="s">
        <v>3050</v>
      </c>
    </row>
    <row r="504" spans="1:11" x14ac:dyDescent="0.25">
      <c r="A504" s="7" t="s">
        <v>1572</v>
      </c>
      <c r="B504" t="s">
        <v>1573</v>
      </c>
      <c r="C504" s="7"/>
      <c r="D504" s="7" t="str">
        <f t="shared" si="11"/>
        <v>NACE F - 43.24 Other construction installation</v>
      </c>
      <c r="K504" t="s">
        <v>3051</v>
      </c>
    </row>
    <row r="505" spans="1:11" x14ac:dyDescent="0.25">
      <c r="A505" s="6" t="s">
        <v>1574</v>
      </c>
      <c r="B505" t="s">
        <v>1575</v>
      </c>
      <c r="C505" s="7"/>
      <c r="D505" s="6" t="str">
        <f t="shared" si="11"/>
        <v>NACE F - 43.3 Building completion and finishing</v>
      </c>
      <c r="K505" t="s">
        <v>3237</v>
      </c>
    </row>
    <row r="506" spans="1:11" x14ac:dyDescent="0.25">
      <c r="A506" s="7" t="s">
        <v>1576</v>
      </c>
      <c r="B506" t="s">
        <v>1577</v>
      </c>
      <c r="C506" s="7"/>
      <c r="D506" s="7" t="str">
        <f t="shared" si="11"/>
        <v>NACE F - 43.31 Plastering</v>
      </c>
      <c r="K506" t="s">
        <v>3494</v>
      </c>
    </row>
    <row r="507" spans="1:11" x14ac:dyDescent="0.25">
      <c r="A507" s="7" t="s">
        <v>1578</v>
      </c>
      <c r="B507" t="s">
        <v>1579</v>
      </c>
      <c r="C507" s="7"/>
      <c r="D507" s="7" t="str">
        <f t="shared" si="11"/>
        <v>NACE F - 43.32 Joinery installation</v>
      </c>
      <c r="K507" t="s">
        <v>3495</v>
      </c>
    </row>
    <row r="508" spans="1:11" x14ac:dyDescent="0.25">
      <c r="A508" s="7" t="s">
        <v>1580</v>
      </c>
      <c r="B508" t="s">
        <v>1581</v>
      </c>
      <c r="C508" s="7"/>
      <c r="D508" s="7" t="str">
        <f t="shared" si="11"/>
        <v>NACE F - 43.33 Floor and wall covering</v>
      </c>
      <c r="K508" t="s">
        <v>3238</v>
      </c>
    </row>
    <row r="509" spans="1:11" x14ac:dyDescent="0.25">
      <c r="A509" s="7" t="s">
        <v>1582</v>
      </c>
      <c r="B509" t="s">
        <v>1583</v>
      </c>
      <c r="C509" s="7"/>
      <c r="D509" s="7" t="str">
        <f t="shared" si="11"/>
        <v>NACE F - 43.34 Painting and glazing</v>
      </c>
      <c r="K509" t="s">
        <v>3052</v>
      </c>
    </row>
    <row r="510" spans="1:11" x14ac:dyDescent="0.25">
      <c r="A510" s="7" t="s">
        <v>1584</v>
      </c>
      <c r="B510" t="s">
        <v>1585</v>
      </c>
      <c r="C510" s="7"/>
      <c r="D510" s="7" t="str">
        <f t="shared" si="11"/>
        <v>NACE F - 43.35 Other building completion and finishing</v>
      </c>
      <c r="K510" t="s">
        <v>2764</v>
      </c>
    </row>
    <row r="511" spans="1:11" x14ac:dyDescent="0.25">
      <c r="A511" s="6" t="s">
        <v>1586</v>
      </c>
      <c r="B511" t="s">
        <v>1587</v>
      </c>
      <c r="C511" s="7"/>
      <c r="D511" s="6" t="str">
        <f t="shared" si="11"/>
        <v>NACE F - 43.4 Specialised construction activities in construction of buildings</v>
      </c>
      <c r="K511" t="s">
        <v>3239</v>
      </c>
    </row>
    <row r="512" spans="1:11" x14ac:dyDescent="0.25">
      <c r="A512" s="7" t="s">
        <v>1588</v>
      </c>
      <c r="B512" t="s">
        <v>1589</v>
      </c>
      <c r="C512" s="7"/>
      <c r="D512" s="7" t="str">
        <f t="shared" si="11"/>
        <v>NACE F - 43.41 Roofing activities</v>
      </c>
      <c r="K512" t="s">
        <v>3053</v>
      </c>
    </row>
    <row r="513" spans="1:11" x14ac:dyDescent="0.25">
      <c r="A513" s="7" t="s">
        <v>1590</v>
      </c>
      <c r="B513" t="s">
        <v>1591</v>
      </c>
      <c r="C513" s="7"/>
      <c r="D513" s="7" t="str">
        <f t="shared" si="11"/>
        <v>NACE F - 43.42 Other specialised construction activities in construction of buildings</v>
      </c>
      <c r="K513" t="s">
        <v>3054</v>
      </c>
    </row>
    <row r="514" spans="1:11" x14ac:dyDescent="0.25">
      <c r="A514" s="6" t="s">
        <v>1592</v>
      </c>
      <c r="B514" t="s">
        <v>1593</v>
      </c>
      <c r="C514" s="7"/>
      <c r="D514" s="6" t="str">
        <f t="shared" ref="D514:D577" si="12">_xlfn.CONCAT("NACE ", A514)</f>
        <v>NACE F - 43.5 Specialised construction activities in civil engineering</v>
      </c>
      <c r="K514" t="s">
        <v>3055</v>
      </c>
    </row>
    <row r="515" spans="1:11" x14ac:dyDescent="0.25">
      <c r="A515" s="7" t="s">
        <v>1594</v>
      </c>
      <c r="B515" t="s">
        <v>1595</v>
      </c>
      <c r="C515" s="7"/>
      <c r="D515" s="7" t="str">
        <f t="shared" si="12"/>
        <v>NACE F - 43.50 Specialised construction activities in civil engineering</v>
      </c>
      <c r="K515" t="s">
        <v>3056</v>
      </c>
    </row>
    <row r="516" spans="1:11" x14ac:dyDescent="0.25">
      <c r="A516" s="6" t="s">
        <v>1596</v>
      </c>
      <c r="B516" t="s">
        <v>1597</v>
      </c>
      <c r="C516" s="7"/>
      <c r="D516" s="6" t="str">
        <f t="shared" si="12"/>
        <v>NACE F - 43.6 Intermediation service activities for specialised construction services</v>
      </c>
      <c r="K516" t="s">
        <v>3057</v>
      </c>
    </row>
    <row r="517" spans="1:11" x14ac:dyDescent="0.25">
      <c r="A517" s="7" t="s">
        <v>1598</v>
      </c>
      <c r="B517" t="s">
        <v>1599</v>
      </c>
      <c r="C517" s="7"/>
      <c r="D517" s="7" t="str">
        <f t="shared" si="12"/>
        <v>NACE F - 43.60 Intermediation service activities for specialised construction services</v>
      </c>
      <c r="K517" t="s">
        <v>3496</v>
      </c>
    </row>
    <row r="518" spans="1:11" x14ac:dyDescent="0.25">
      <c r="A518" s="6" t="s">
        <v>1600</v>
      </c>
      <c r="B518" t="s">
        <v>1601</v>
      </c>
      <c r="C518" s="7"/>
      <c r="D518" s="6" t="str">
        <f t="shared" si="12"/>
        <v>NACE F - 43.9 Other specialised construction activities</v>
      </c>
      <c r="K518" t="s">
        <v>3497</v>
      </c>
    </row>
    <row r="519" spans="1:11" x14ac:dyDescent="0.25">
      <c r="A519" s="7" t="s">
        <v>1602</v>
      </c>
      <c r="B519" t="s">
        <v>1603</v>
      </c>
      <c r="C519" s="7"/>
      <c r="D519" s="7" t="str">
        <f t="shared" si="12"/>
        <v>NACE F - 43.91 Masonry and bricklaying activities</v>
      </c>
      <c r="K519" t="s">
        <v>3498</v>
      </c>
    </row>
    <row r="520" spans="1:11" x14ac:dyDescent="0.25">
      <c r="A520" s="7" t="s">
        <v>1604</v>
      </c>
      <c r="B520" t="s">
        <v>1605</v>
      </c>
      <c r="C520" s="7"/>
      <c r="D520" s="7" t="str">
        <f t="shared" si="12"/>
        <v>NACE F - 43.99 Other specialised construction activities n.e.c.</v>
      </c>
      <c r="K520" t="s">
        <v>3499</v>
      </c>
    </row>
    <row r="521" spans="1:11" x14ac:dyDescent="0.25">
      <c r="A521" s="4" t="s">
        <v>1606</v>
      </c>
      <c r="B521" t="s">
        <v>1607</v>
      </c>
      <c r="C521" s="7"/>
      <c r="D521" s="4" t="str">
        <f t="shared" si="12"/>
        <v>NACE G - WHOLESALE AND RETAIL TRADE</v>
      </c>
      <c r="K521" t="s">
        <v>3500</v>
      </c>
    </row>
    <row r="522" spans="1:11" x14ac:dyDescent="0.25">
      <c r="A522" s="5" t="s">
        <v>1608</v>
      </c>
      <c r="B522" t="s">
        <v>1609</v>
      </c>
      <c r="C522" s="7"/>
      <c r="D522" s="5" t="str">
        <f t="shared" si="12"/>
        <v>NACE G - 46 Wholesale trade</v>
      </c>
      <c r="K522" t="s">
        <v>3501</v>
      </c>
    </row>
    <row r="523" spans="1:11" x14ac:dyDescent="0.25">
      <c r="A523" s="6" t="s">
        <v>1610</v>
      </c>
      <c r="B523" t="s">
        <v>1611</v>
      </c>
      <c r="C523" s="7"/>
      <c r="D523" s="6" t="str">
        <f t="shared" si="12"/>
        <v>NACE G - 46.1 Wholesale on a fee or contract basis</v>
      </c>
      <c r="K523" t="s">
        <v>3502</v>
      </c>
    </row>
    <row r="524" spans="1:11" x14ac:dyDescent="0.25">
      <c r="A524" s="7" t="s">
        <v>1612</v>
      </c>
      <c r="B524" t="s">
        <v>1613</v>
      </c>
      <c r="C524" s="7"/>
      <c r="D524" s="7" t="str">
        <f t="shared" si="12"/>
        <v>NACE G - 46.11 Activities of agents involved in the wholesale of agricultural raw materials, live animals, textile raw materials and semi-finished goods</v>
      </c>
      <c r="K524" t="s">
        <v>3058</v>
      </c>
    </row>
    <row r="525" spans="1:11" x14ac:dyDescent="0.25">
      <c r="A525" s="7" t="s">
        <v>1614</v>
      </c>
      <c r="B525" t="s">
        <v>1615</v>
      </c>
      <c r="C525" s="7"/>
      <c r="D525" s="7" t="str">
        <f t="shared" si="12"/>
        <v>NACE G - 46.12 Activities of agents involved in the wholesale of fuels, ores, metals and industrial chemicals</v>
      </c>
      <c r="K525" t="s">
        <v>3059</v>
      </c>
    </row>
    <row r="526" spans="1:11" x14ac:dyDescent="0.25">
      <c r="A526" s="7" t="s">
        <v>1616</v>
      </c>
      <c r="B526" t="s">
        <v>1617</v>
      </c>
      <c r="C526" s="7"/>
      <c r="D526" s="7" t="str">
        <f t="shared" si="12"/>
        <v>NACE G - 46.13 Activities of agents involved in the wholesale of timber and building materials</v>
      </c>
      <c r="K526" t="s">
        <v>3240</v>
      </c>
    </row>
    <row r="527" spans="1:11" x14ac:dyDescent="0.25">
      <c r="A527" s="7" t="s">
        <v>1618</v>
      </c>
      <c r="B527" t="s">
        <v>1619</v>
      </c>
      <c r="C527" s="7"/>
      <c r="D527" s="7" t="str">
        <f t="shared" si="12"/>
        <v>NACE G - 46.14 Activities of agents involved in the wholesale of machinery, industrial equipment, ships and aircraft</v>
      </c>
      <c r="K527" t="s">
        <v>3060</v>
      </c>
    </row>
    <row r="528" spans="1:11" x14ac:dyDescent="0.25">
      <c r="A528" s="7" t="s">
        <v>1620</v>
      </c>
      <c r="B528" t="s">
        <v>1621</v>
      </c>
      <c r="C528" s="7"/>
      <c r="D528" s="7" t="str">
        <f t="shared" si="12"/>
        <v>NACE G - 46.15 Activities of agents involved in the wholesale of furniture, household goods, hardware and ironmongery</v>
      </c>
      <c r="K528" t="s">
        <v>3061</v>
      </c>
    </row>
    <row r="529" spans="1:11" x14ac:dyDescent="0.25">
      <c r="A529" s="7" t="s">
        <v>1622</v>
      </c>
      <c r="B529" t="s">
        <v>1623</v>
      </c>
      <c r="C529" s="7"/>
      <c r="D529" s="7" t="str">
        <f t="shared" si="12"/>
        <v>NACE G - 46.16 Activities of agents involved in the wholesale of textiles, clothing, fur, footwear and leather goods</v>
      </c>
      <c r="K529" t="s">
        <v>3062</v>
      </c>
    </row>
    <row r="530" spans="1:11" x14ac:dyDescent="0.25">
      <c r="A530" s="7" t="s">
        <v>1624</v>
      </c>
      <c r="B530" t="s">
        <v>1625</v>
      </c>
      <c r="C530" s="7"/>
      <c r="D530" s="7" t="str">
        <f t="shared" si="12"/>
        <v>NACE G - 46.17 Activities of agents involved in the wholesale of food, beverages and tobacco</v>
      </c>
      <c r="K530" t="s">
        <v>3063</v>
      </c>
    </row>
    <row r="531" spans="1:11" x14ac:dyDescent="0.25">
      <c r="A531" s="7" t="s">
        <v>1626</v>
      </c>
      <c r="B531" t="s">
        <v>1627</v>
      </c>
      <c r="C531" s="7"/>
      <c r="D531" s="7" t="str">
        <f t="shared" si="12"/>
        <v>NACE G - 46.18 Activities of agents involved in the wholesale of other particular products</v>
      </c>
      <c r="K531" t="s">
        <v>3241</v>
      </c>
    </row>
    <row r="532" spans="1:11" x14ac:dyDescent="0.25">
      <c r="A532" s="7" t="s">
        <v>1628</v>
      </c>
      <c r="B532" t="s">
        <v>1629</v>
      </c>
      <c r="C532" s="7"/>
      <c r="D532" s="7" t="str">
        <f t="shared" si="12"/>
        <v>NACE G - 46.19 Activities of agents involved in non-specialised wholesale</v>
      </c>
      <c r="K532" t="s">
        <v>3503</v>
      </c>
    </row>
    <row r="533" spans="1:11" x14ac:dyDescent="0.25">
      <c r="A533" s="6" t="s">
        <v>1630</v>
      </c>
      <c r="B533" t="s">
        <v>1631</v>
      </c>
      <c r="C533" s="7"/>
      <c r="D533" s="6" t="str">
        <f t="shared" si="12"/>
        <v>NACE G - 46.2 Wholesale of agricultural raw materials and live animals</v>
      </c>
      <c r="K533" t="s">
        <v>3504</v>
      </c>
    </row>
    <row r="534" spans="1:11" x14ac:dyDescent="0.25">
      <c r="A534" s="7" t="s">
        <v>1632</v>
      </c>
      <c r="B534" t="s">
        <v>1633</v>
      </c>
      <c r="C534" s="7"/>
      <c r="D534" s="7" t="str">
        <f t="shared" si="12"/>
        <v>NACE G - 46.21 Wholesale of grain, unmanufactured tobacco, seeds and animal feeds</v>
      </c>
      <c r="K534" t="s">
        <v>2765</v>
      </c>
    </row>
    <row r="535" spans="1:11" x14ac:dyDescent="0.25">
      <c r="A535" s="7" t="s">
        <v>1634</v>
      </c>
      <c r="B535" t="s">
        <v>1635</v>
      </c>
      <c r="C535" s="7"/>
      <c r="D535" s="7" t="str">
        <f t="shared" si="12"/>
        <v>NACE G - 46.22 Wholesale of flowers and plants</v>
      </c>
      <c r="K535" t="s">
        <v>3242</v>
      </c>
    </row>
    <row r="536" spans="1:11" x14ac:dyDescent="0.25">
      <c r="A536" s="7" t="s">
        <v>1636</v>
      </c>
      <c r="B536" t="s">
        <v>1637</v>
      </c>
      <c r="C536" s="7"/>
      <c r="D536" s="7" t="str">
        <f t="shared" si="12"/>
        <v>NACE G - 46.23 Wholesale of live animals</v>
      </c>
      <c r="K536" t="s">
        <v>3505</v>
      </c>
    </row>
    <row r="537" spans="1:11" x14ac:dyDescent="0.25">
      <c r="A537" s="7" t="s">
        <v>1638</v>
      </c>
      <c r="B537" t="s">
        <v>1639</v>
      </c>
      <c r="C537" s="7"/>
      <c r="D537" s="7" t="str">
        <f t="shared" si="12"/>
        <v>NACE G - 46.24 Wholesale of hides, skins and leather</v>
      </c>
      <c r="K537" t="s">
        <v>3506</v>
      </c>
    </row>
    <row r="538" spans="1:11" x14ac:dyDescent="0.25">
      <c r="A538" s="6" t="s">
        <v>1640</v>
      </c>
      <c r="B538" t="s">
        <v>1641</v>
      </c>
      <c r="C538" s="7"/>
      <c r="D538" s="6" t="str">
        <f t="shared" si="12"/>
        <v>NACE G - 46.3 Wholesale of food, beverages and tobacco</v>
      </c>
      <c r="K538" t="s">
        <v>3507</v>
      </c>
    </row>
    <row r="539" spans="1:11" x14ac:dyDescent="0.25">
      <c r="A539" s="7" t="s">
        <v>1642</v>
      </c>
      <c r="B539" t="s">
        <v>1643</v>
      </c>
      <c r="C539" s="7"/>
      <c r="D539" s="7" t="str">
        <f t="shared" si="12"/>
        <v>NACE G - 46.31 Wholesale of fruit and vegetables</v>
      </c>
      <c r="K539" t="s">
        <v>3508</v>
      </c>
    </row>
    <row r="540" spans="1:11" x14ac:dyDescent="0.25">
      <c r="A540" s="7" t="s">
        <v>1644</v>
      </c>
      <c r="B540" t="s">
        <v>1645</v>
      </c>
      <c r="C540" s="7"/>
      <c r="D540" s="7" t="str">
        <f t="shared" si="12"/>
        <v>NACE G - 46.32 Wholesale of meat, meat products, fish and fish products</v>
      </c>
      <c r="K540" t="s">
        <v>3509</v>
      </c>
    </row>
    <row r="541" spans="1:11" x14ac:dyDescent="0.25">
      <c r="A541" s="7" t="s">
        <v>1646</v>
      </c>
      <c r="B541" t="s">
        <v>1647</v>
      </c>
      <c r="C541" s="7"/>
      <c r="D541" s="7" t="str">
        <f t="shared" si="12"/>
        <v>NACE G - 46.33 Wholesale of dairy products, eggs and edible oils and fats</v>
      </c>
      <c r="K541" t="s">
        <v>3510</v>
      </c>
    </row>
    <row r="542" spans="1:11" x14ac:dyDescent="0.25">
      <c r="A542" s="7" t="s">
        <v>1648</v>
      </c>
      <c r="B542" t="s">
        <v>1649</v>
      </c>
      <c r="C542" s="7"/>
      <c r="D542" s="7" t="str">
        <f t="shared" si="12"/>
        <v>NACE G - 46.34 Wholesale of beverages</v>
      </c>
      <c r="K542" t="s">
        <v>3511</v>
      </c>
    </row>
    <row r="543" spans="1:11" x14ac:dyDescent="0.25">
      <c r="A543" s="7" t="s">
        <v>1650</v>
      </c>
      <c r="B543" t="s">
        <v>1651</v>
      </c>
      <c r="C543" s="7"/>
      <c r="D543" s="7" t="str">
        <f t="shared" si="12"/>
        <v>NACE G - 46.35 Wholesale of tobacco products</v>
      </c>
      <c r="K543" t="s">
        <v>3512</v>
      </c>
    </row>
    <row r="544" spans="1:11" x14ac:dyDescent="0.25">
      <c r="A544" s="7" t="s">
        <v>1652</v>
      </c>
      <c r="B544" t="s">
        <v>1653</v>
      </c>
      <c r="C544" s="7"/>
      <c r="D544" s="7" t="str">
        <f t="shared" si="12"/>
        <v>NACE G - 46.36 Wholesale of sugar, chocolate and sugar confectionery</v>
      </c>
      <c r="K544" t="s">
        <v>3243</v>
      </c>
    </row>
    <row r="545" spans="1:11" x14ac:dyDescent="0.25">
      <c r="A545" s="7" t="s">
        <v>1654</v>
      </c>
      <c r="B545" t="s">
        <v>1655</v>
      </c>
      <c r="C545" s="7"/>
      <c r="D545" s="7" t="str">
        <f t="shared" si="12"/>
        <v>NACE G - 46.37 Wholesale of coffee, tea, cocoa and spices</v>
      </c>
      <c r="K545" t="s">
        <v>3513</v>
      </c>
    </row>
    <row r="546" spans="1:11" x14ac:dyDescent="0.25">
      <c r="A546" s="7" t="s">
        <v>1656</v>
      </c>
      <c r="B546" t="s">
        <v>1657</v>
      </c>
      <c r="C546" s="7"/>
      <c r="D546" s="7" t="str">
        <f t="shared" si="12"/>
        <v>NACE G - 46.38 Wholesale of other food</v>
      </c>
      <c r="K546" t="s">
        <v>3514</v>
      </c>
    </row>
    <row r="547" spans="1:11" x14ac:dyDescent="0.25">
      <c r="A547" s="7" t="s">
        <v>1658</v>
      </c>
      <c r="B547" t="s">
        <v>1659</v>
      </c>
      <c r="C547" s="7"/>
      <c r="D547" s="7" t="str">
        <f t="shared" si="12"/>
        <v>NACE G - 46.39 Non-specialised wholesale of food, beverages and tobacco</v>
      </c>
      <c r="K547" t="s">
        <v>3515</v>
      </c>
    </row>
    <row r="548" spans="1:11" x14ac:dyDescent="0.25">
      <c r="A548" s="6" t="s">
        <v>1660</v>
      </c>
      <c r="B548" t="s">
        <v>1661</v>
      </c>
      <c r="C548" s="7"/>
      <c r="D548" s="6" t="str">
        <f t="shared" si="12"/>
        <v>NACE G - 46.4 Wholesale of household goods</v>
      </c>
      <c r="K548" t="s">
        <v>3244</v>
      </c>
    </row>
    <row r="549" spans="1:11" x14ac:dyDescent="0.25">
      <c r="A549" s="7" t="s">
        <v>1662</v>
      </c>
      <c r="B549" t="s">
        <v>1663</v>
      </c>
      <c r="C549" s="7"/>
      <c r="D549" s="7" t="str">
        <f t="shared" si="12"/>
        <v>NACE G - 46.41 Wholesale of textiles</v>
      </c>
      <c r="K549" t="s">
        <v>3516</v>
      </c>
    </row>
    <row r="550" spans="1:11" x14ac:dyDescent="0.25">
      <c r="A550" s="7" t="s">
        <v>1664</v>
      </c>
      <c r="B550" t="s">
        <v>1665</v>
      </c>
      <c r="C550" s="7"/>
      <c r="D550" s="7" t="str">
        <f t="shared" si="12"/>
        <v>NACE G - 46.42 Wholesale of clothing and footwear</v>
      </c>
      <c r="K550" t="s">
        <v>3517</v>
      </c>
    </row>
    <row r="551" spans="1:11" x14ac:dyDescent="0.25">
      <c r="A551" s="7" t="s">
        <v>1666</v>
      </c>
      <c r="B551" t="s">
        <v>1667</v>
      </c>
      <c r="C551" s="7"/>
      <c r="D551" s="7" t="str">
        <f t="shared" si="12"/>
        <v>NACE G - 46.43 Wholesale of electrical household appliances</v>
      </c>
      <c r="K551" t="s">
        <v>3518</v>
      </c>
    </row>
    <row r="552" spans="1:11" x14ac:dyDescent="0.25">
      <c r="A552" s="7" t="s">
        <v>1668</v>
      </c>
      <c r="B552" t="s">
        <v>1669</v>
      </c>
      <c r="C552" s="7"/>
      <c r="D552" s="7" t="str">
        <f t="shared" si="12"/>
        <v>NACE G - 46.44 Wholesale of china and glassware and cleaning materials</v>
      </c>
      <c r="K552" t="s">
        <v>3519</v>
      </c>
    </row>
    <row r="553" spans="1:11" x14ac:dyDescent="0.25">
      <c r="A553" s="7" t="s">
        <v>1670</v>
      </c>
      <c r="B553" t="s">
        <v>1671</v>
      </c>
      <c r="C553" s="7"/>
      <c r="D553" s="7" t="str">
        <f t="shared" si="12"/>
        <v>NACE G - 46.45 Wholesale of perfume and cosmetics</v>
      </c>
      <c r="K553" t="s">
        <v>3520</v>
      </c>
    </row>
    <row r="554" spans="1:11" x14ac:dyDescent="0.25">
      <c r="A554" s="7" t="s">
        <v>1672</v>
      </c>
      <c r="B554" t="s">
        <v>1673</v>
      </c>
      <c r="C554" s="7"/>
      <c r="D554" s="7" t="str">
        <f t="shared" si="12"/>
        <v>NACE G - 46.46 Wholesale of pharmaceutical and medical goods</v>
      </c>
      <c r="K554" t="s">
        <v>3245</v>
      </c>
    </row>
    <row r="555" spans="1:11" x14ac:dyDescent="0.25">
      <c r="A555" s="7" t="s">
        <v>1674</v>
      </c>
      <c r="B555" t="s">
        <v>1675</v>
      </c>
      <c r="C555" s="7"/>
      <c r="D555" s="7" t="str">
        <f t="shared" si="12"/>
        <v>NACE G - 46.47 Wholesale of household, office and shop furniture, carpets and lighting equipment</v>
      </c>
      <c r="K555" t="s">
        <v>3521</v>
      </c>
    </row>
    <row r="556" spans="1:11" x14ac:dyDescent="0.25">
      <c r="A556" s="7" t="s">
        <v>1676</v>
      </c>
      <c r="B556" t="s">
        <v>1677</v>
      </c>
      <c r="C556" s="7"/>
      <c r="D556" s="7" t="str">
        <f t="shared" si="12"/>
        <v>NACE G - 46.48 Wholesale of watches and jewellery</v>
      </c>
      <c r="K556" t="s">
        <v>3522</v>
      </c>
    </row>
    <row r="557" spans="1:11" x14ac:dyDescent="0.25">
      <c r="A557" s="7" t="s">
        <v>1678</v>
      </c>
      <c r="B557" t="s">
        <v>1679</v>
      </c>
      <c r="C557" s="7"/>
      <c r="D557" s="7" t="str">
        <f t="shared" si="12"/>
        <v>NACE G - 46.49 Wholesale of other household goods</v>
      </c>
      <c r="K557" t="s">
        <v>3523</v>
      </c>
    </row>
    <row r="558" spans="1:11" x14ac:dyDescent="0.25">
      <c r="A558" s="6" t="s">
        <v>1680</v>
      </c>
      <c r="B558" t="s">
        <v>1681</v>
      </c>
      <c r="C558" s="7"/>
      <c r="D558" s="6" t="str">
        <f t="shared" si="12"/>
        <v>NACE G - 46.5 Wholesale of information and communication equipment</v>
      </c>
      <c r="K558" t="s">
        <v>3246</v>
      </c>
    </row>
    <row r="559" spans="1:11" x14ac:dyDescent="0.25">
      <c r="A559" s="7" t="s">
        <v>1682</v>
      </c>
      <c r="B559" t="s">
        <v>1683</v>
      </c>
      <c r="C559" s="7"/>
      <c r="D559" s="7" t="str">
        <f t="shared" si="12"/>
        <v>NACE G - 46.50 Wholesale of information and communication equipment</v>
      </c>
      <c r="K559" t="s">
        <v>3524</v>
      </c>
    </row>
    <row r="560" spans="1:11" x14ac:dyDescent="0.25">
      <c r="A560" s="6" t="s">
        <v>1684</v>
      </c>
      <c r="B560" t="s">
        <v>1685</v>
      </c>
      <c r="C560" s="7"/>
      <c r="D560" s="6" t="str">
        <f t="shared" si="12"/>
        <v>NACE G - 46.6 Wholesale of other machinery, equipment and supplies</v>
      </c>
      <c r="K560" t="s">
        <v>3525</v>
      </c>
    </row>
    <row r="561" spans="1:11" x14ac:dyDescent="0.25">
      <c r="A561" s="7" t="s">
        <v>1686</v>
      </c>
      <c r="B561" t="s">
        <v>1687</v>
      </c>
      <c r="C561" s="7"/>
      <c r="D561" s="7" t="str">
        <f t="shared" si="12"/>
        <v>NACE G - 46.61 Wholesale of agricultural machinery, equipment and supplies</v>
      </c>
      <c r="K561" t="s">
        <v>3526</v>
      </c>
    </row>
    <row r="562" spans="1:11" x14ac:dyDescent="0.25">
      <c r="A562" s="7" t="s">
        <v>1688</v>
      </c>
      <c r="B562" t="s">
        <v>1689</v>
      </c>
      <c r="C562" s="7"/>
      <c r="D562" s="7" t="str">
        <f t="shared" si="12"/>
        <v>NACE G - 46.62 Wholesale of machine tools</v>
      </c>
      <c r="K562" t="s">
        <v>3527</v>
      </c>
    </row>
    <row r="563" spans="1:11" x14ac:dyDescent="0.25">
      <c r="A563" s="7" t="s">
        <v>1690</v>
      </c>
      <c r="B563" t="s">
        <v>1691</v>
      </c>
      <c r="C563" s="7"/>
      <c r="D563" s="7" t="str">
        <f t="shared" si="12"/>
        <v>NACE G - 46.63 Wholesale of mining, construction and civil engineering machinery</v>
      </c>
      <c r="K563" t="s">
        <v>3528</v>
      </c>
    </row>
    <row r="564" spans="1:11" x14ac:dyDescent="0.25">
      <c r="A564" s="7" t="s">
        <v>1692</v>
      </c>
      <c r="B564" t="s">
        <v>1693</v>
      </c>
      <c r="C564" s="7"/>
      <c r="D564" s="7" t="str">
        <f t="shared" si="12"/>
        <v>NACE G - 46.64 Wholesale of other machinery and equipment</v>
      </c>
      <c r="K564" t="s">
        <v>3247</v>
      </c>
    </row>
    <row r="565" spans="1:11" x14ac:dyDescent="0.25">
      <c r="A565" s="6" t="s">
        <v>1694</v>
      </c>
      <c r="B565" t="s">
        <v>1695</v>
      </c>
      <c r="C565" s="7"/>
      <c r="D565" s="6" t="str">
        <f t="shared" si="12"/>
        <v>NACE G - 46.7 Wholesale of motor vehicles, motorcycles and related parts and accessories</v>
      </c>
      <c r="K565" t="s">
        <v>3529</v>
      </c>
    </row>
    <row r="566" spans="1:11" x14ac:dyDescent="0.25">
      <c r="A566" s="7" t="s">
        <v>1696</v>
      </c>
      <c r="B566" t="s">
        <v>1697</v>
      </c>
      <c r="C566" s="7"/>
      <c r="D566" s="7" t="str">
        <f t="shared" si="12"/>
        <v>NACE G - 46.71 Wholesale of motor vehicles</v>
      </c>
      <c r="K566" t="s">
        <v>3530</v>
      </c>
    </row>
    <row r="567" spans="1:11" x14ac:dyDescent="0.25">
      <c r="A567" s="7" t="s">
        <v>1698</v>
      </c>
      <c r="B567" t="s">
        <v>1699</v>
      </c>
      <c r="C567" s="7"/>
      <c r="D567" s="7" t="str">
        <f t="shared" si="12"/>
        <v>NACE G - 46.72 Wholesale of motor vehicle parts and accessories</v>
      </c>
      <c r="K567" t="s">
        <v>3248</v>
      </c>
    </row>
    <row r="568" spans="1:11" x14ac:dyDescent="0.25">
      <c r="A568" s="7" t="s">
        <v>1700</v>
      </c>
      <c r="B568" t="s">
        <v>1701</v>
      </c>
      <c r="C568" s="7"/>
      <c r="D568" s="7" t="str">
        <f t="shared" si="12"/>
        <v>NACE G - 46.73 Wholesale of motorcycles, motorcycle parts and accessories</v>
      </c>
      <c r="K568" t="s">
        <v>3531</v>
      </c>
    </row>
    <row r="569" spans="1:11" x14ac:dyDescent="0.25">
      <c r="A569" s="6" t="s">
        <v>1702</v>
      </c>
      <c r="B569" t="s">
        <v>1703</v>
      </c>
      <c r="C569" s="7"/>
      <c r="D569" s="6" t="str">
        <f t="shared" si="12"/>
        <v>NACE G - 46.8 Other specialised wholesale</v>
      </c>
      <c r="K569" t="s">
        <v>3532</v>
      </c>
    </row>
    <row r="570" spans="1:11" x14ac:dyDescent="0.25">
      <c r="A570" s="7" t="s">
        <v>1704</v>
      </c>
      <c r="B570" t="s">
        <v>1705</v>
      </c>
      <c r="C570" s="7"/>
      <c r="D570" s="7" t="str">
        <f t="shared" si="12"/>
        <v>NACE G - 46.81 Wholesale of solid, liquid and gaseous fuels and related products</v>
      </c>
      <c r="K570" t="s">
        <v>3533</v>
      </c>
    </row>
    <row r="571" spans="1:11" x14ac:dyDescent="0.25">
      <c r="A571" s="7" t="s">
        <v>1706</v>
      </c>
      <c r="B571" t="s">
        <v>1707</v>
      </c>
      <c r="C571" s="7"/>
      <c r="D571" s="7" t="str">
        <f t="shared" si="12"/>
        <v>NACE G - 46.82 Wholesale of metals and metal ores</v>
      </c>
      <c r="K571" t="s">
        <v>3534</v>
      </c>
    </row>
    <row r="572" spans="1:11" x14ac:dyDescent="0.25">
      <c r="A572" s="7" t="s">
        <v>1708</v>
      </c>
      <c r="B572" t="s">
        <v>1709</v>
      </c>
      <c r="C572" s="7"/>
      <c r="D572" s="7" t="str">
        <f t="shared" si="12"/>
        <v>NACE G - 46.83 Wholesale of wood, construction materials and sanitary equipment</v>
      </c>
      <c r="K572" t="s">
        <v>3535</v>
      </c>
    </row>
    <row r="573" spans="1:11" x14ac:dyDescent="0.25">
      <c r="A573" s="7" t="s">
        <v>1710</v>
      </c>
      <c r="B573" t="s">
        <v>1711</v>
      </c>
      <c r="C573" s="7"/>
      <c r="D573" s="7" t="str">
        <f t="shared" si="12"/>
        <v>NACE G - 46.84 Wholesale of hardware, plumbing and heating equipment and supplies</v>
      </c>
      <c r="K573" t="s">
        <v>3536</v>
      </c>
    </row>
    <row r="574" spans="1:11" x14ac:dyDescent="0.25">
      <c r="A574" s="7" t="s">
        <v>1712</v>
      </c>
      <c r="B574" t="s">
        <v>1713</v>
      </c>
      <c r="C574" s="7"/>
      <c r="D574" s="7" t="str">
        <f t="shared" si="12"/>
        <v>NACE G - 46.85 Wholesale of chemical products</v>
      </c>
      <c r="K574" t="s">
        <v>3537</v>
      </c>
    </row>
    <row r="575" spans="1:11" x14ac:dyDescent="0.25">
      <c r="A575" s="7" t="s">
        <v>1714</v>
      </c>
      <c r="B575" t="s">
        <v>1715</v>
      </c>
      <c r="C575" s="7"/>
      <c r="D575" s="7" t="str">
        <f t="shared" si="12"/>
        <v>NACE G - 46.86 Wholesale of other intermediate products</v>
      </c>
      <c r="K575" t="s">
        <v>3249</v>
      </c>
    </row>
    <row r="576" spans="1:11" x14ac:dyDescent="0.25">
      <c r="A576" s="7" t="s">
        <v>1716</v>
      </c>
      <c r="B576" t="s">
        <v>1717</v>
      </c>
      <c r="C576" s="7"/>
      <c r="D576" s="7" t="str">
        <f t="shared" si="12"/>
        <v>NACE G - 46.87 Wholesale of waste and scrap</v>
      </c>
      <c r="K576" t="s">
        <v>3538</v>
      </c>
    </row>
    <row r="577" spans="1:11" x14ac:dyDescent="0.25">
      <c r="A577" s="7" t="s">
        <v>1718</v>
      </c>
      <c r="B577" t="s">
        <v>1719</v>
      </c>
      <c r="C577" s="7"/>
      <c r="D577" s="7" t="str">
        <f t="shared" si="12"/>
        <v>NACE G - 46.89 Other specialised wholesale n.e.c.</v>
      </c>
      <c r="K577" t="s">
        <v>3539</v>
      </c>
    </row>
    <row r="578" spans="1:11" x14ac:dyDescent="0.25">
      <c r="A578" s="6" t="s">
        <v>1720</v>
      </c>
      <c r="B578" t="s">
        <v>1721</v>
      </c>
      <c r="C578" s="7"/>
      <c r="D578" s="6" t="str">
        <f t="shared" ref="D578:D641" si="13">_xlfn.CONCAT("NACE ", A578)</f>
        <v>NACE G - 46.9 Non-specialised wholesale trade</v>
      </c>
      <c r="K578" t="s">
        <v>3540</v>
      </c>
    </row>
    <row r="579" spans="1:11" x14ac:dyDescent="0.25">
      <c r="A579" s="7" t="s">
        <v>1722</v>
      </c>
      <c r="B579" t="s">
        <v>1723</v>
      </c>
      <c r="C579" s="7"/>
      <c r="D579" s="7" t="str">
        <f t="shared" si="13"/>
        <v>NACE G - 46.90 Non-specialised wholesale trade</v>
      </c>
      <c r="K579" t="s">
        <v>3541</v>
      </c>
    </row>
    <row r="580" spans="1:11" x14ac:dyDescent="0.25">
      <c r="A580" s="5" t="s">
        <v>1724</v>
      </c>
      <c r="B580" t="s">
        <v>1725</v>
      </c>
      <c r="C580" s="7"/>
      <c r="D580" s="5" t="str">
        <f t="shared" si="13"/>
        <v>NACE G - 47 Retail trade</v>
      </c>
      <c r="K580" t="s">
        <v>3250</v>
      </c>
    </row>
    <row r="581" spans="1:11" x14ac:dyDescent="0.25">
      <c r="A581" s="6" t="s">
        <v>1726</v>
      </c>
      <c r="B581" t="s">
        <v>1727</v>
      </c>
      <c r="C581" s="7"/>
      <c r="D581" s="6" t="str">
        <f t="shared" si="13"/>
        <v>NACE G - 47.1 Non-specialised retail sale</v>
      </c>
      <c r="K581" t="s">
        <v>3542</v>
      </c>
    </row>
    <row r="582" spans="1:11" x14ac:dyDescent="0.25">
      <c r="A582" s="7" t="s">
        <v>1728</v>
      </c>
      <c r="B582" t="s">
        <v>1729</v>
      </c>
      <c r="C582" s="7"/>
      <c r="D582" s="7" t="str">
        <f t="shared" si="13"/>
        <v>NACE G - 47.11 Non-specialised retail sale of predominately food, beverages or tobacco</v>
      </c>
      <c r="K582" t="s">
        <v>3543</v>
      </c>
    </row>
    <row r="583" spans="1:11" x14ac:dyDescent="0.25">
      <c r="A583" s="7" t="s">
        <v>1730</v>
      </c>
      <c r="B583" t="s">
        <v>1731</v>
      </c>
      <c r="C583" s="7"/>
      <c r="D583" s="7" t="str">
        <f t="shared" si="13"/>
        <v>NACE G - 47.12 Other non-specialised retail sale</v>
      </c>
      <c r="K583" t="s">
        <v>3544</v>
      </c>
    </row>
    <row r="584" spans="1:11" x14ac:dyDescent="0.25">
      <c r="A584" s="6" t="s">
        <v>1732</v>
      </c>
      <c r="B584" t="s">
        <v>1733</v>
      </c>
      <c r="C584" s="7"/>
      <c r="D584" s="6" t="str">
        <f t="shared" si="13"/>
        <v>NACE G - 47.2 Retail sale of food, beverages and tobacco</v>
      </c>
      <c r="K584" t="s">
        <v>3545</v>
      </c>
    </row>
    <row r="585" spans="1:11" x14ac:dyDescent="0.25">
      <c r="A585" s="7" t="s">
        <v>1734</v>
      </c>
      <c r="B585" t="s">
        <v>1735</v>
      </c>
      <c r="C585" s="7"/>
      <c r="D585" s="7" t="str">
        <f t="shared" si="13"/>
        <v>NACE G - 47.21 Retail sale of fruit and vegetables</v>
      </c>
      <c r="K585" t="s">
        <v>3546</v>
      </c>
    </row>
    <row r="586" spans="1:11" x14ac:dyDescent="0.25">
      <c r="A586" s="7" t="s">
        <v>1736</v>
      </c>
      <c r="B586" t="s">
        <v>1737</v>
      </c>
      <c r="C586" s="7"/>
      <c r="D586" s="7" t="str">
        <f t="shared" si="13"/>
        <v>NACE G - 47.22 Retail sale of meat and meat products</v>
      </c>
      <c r="K586" t="s">
        <v>3251</v>
      </c>
    </row>
    <row r="587" spans="1:11" x14ac:dyDescent="0.25">
      <c r="A587" s="7" t="s">
        <v>1738</v>
      </c>
      <c r="B587" t="s">
        <v>1739</v>
      </c>
      <c r="C587" s="7"/>
      <c r="D587" s="7" t="str">
        <f t="shared" si="13"/>
        <v>NACE G - 47.23 Retail sale of fish, crustaceans and molluscs</v>
      </c>
      <c r="K587" t="s">
        <v>3547</v>
      </c>
    </row>
    <row r="588" spans="1:11" x14ac:dyDescent="0.25">
      <c r="A588" s="7" t="s">
        <v>1740</v>
      </c>
      <c r="B588" t="s">
        <v>1741</v>
      </c>
      <c r="C588" s="7"/>
      <c r="D588" s="7" t="str">
        <f t="shared" si="13"/>
        <v>NACE G - 47.24 Retail sale of bread, cake and confectionery</v>
      </c>
      <c r="K588" t="s">
        <v>3548</v>
      </c>
    </row>
    <row r="589" spans="1:11" x14ac:dyDescent="0.25">
      <c r="A589" s="7" t="s">
        <v>1742</v>
      </c>
      <c r="B589" t="s">
        <v>1743</v>
      </c>
      <c r="C589" s="7"/>
      <c r="D589" s="7" t="str">
        <f t="shared" si="13"/>
        <v>NACE G - 47.25 Retail sale of beverages</v>
      </c>
      <c r="K589" t="s">
        <v>3549</v>
      </c>
    </row>
    <row r="590" spans="1:11" x14ac:dyDescent="0.25">
      <c r="A590" s="7" t="s">
        <v>1744</v>
      </c>
      <c r="B590" t="s">
        <v>1745</v>
      </c>
      <c r="C590" s="7"/>
      <c r="D590" s="7" t="str">
        <f t="shared" si="13"/>
        <v>NACE G - 47.26 Retail sale of tobacco products</v>
      </c>
      <c r="K590" t="s">
        <v>3550</v>
      </c>
    </row>
    <row r="591" spans="1:11" x14ac:dyDescent="0.25">
      <c r="A591" s="7" t="s">
        <v>1746</v>
      </c>
      <c r="B591" t="s">
        <v>1747</v>
      </c>
      <c r="C591" s="7"/>
      <c r="D591" s="7" t="str">
        <f t="shared" si="13"/>
        <v>NACE G - 47.27 Retail sale of other food</v>
      </c>
      <c r="K591" t="s">
        <v>3551</v>
      </c>
    </row>
    <row r="592" spans="1:11" x14ac:dyDescent="0.25">
      <c r="A592" s="6" t="s">
        <v>1748</v>
      </c>
      <c r="B592" t="s">
        <v>1749</v>
      </c>
      <c r="C592" s="7"/>
      <c r="D592" s="6" t="str">
        <f t="shared" si="13"/>
        <v>NACE G - 47.3 Retail sale of automotive fuel</v>
      </c>
      <c r="K592" t="s">
        <v>3252</v>
      </c>
    </row>
    <row r="593" spans="1:11" x14ac:dyDescent="0.25">
      <c r="A593" s="7" t="s">
        <v>1750</v>
      </c>
      <c r="B593" t="s">
        <v>1751</v>
      </c>
      <c r="C593" s="7"/>
      <c r="D593" s="7" t="str">
        <f t="shared" si="13"/>
        <v>NACE G - 47.30 Retail sale of automotive fuel</v>
      </c>
      <c r="K593" t="s">
        <v>3064</v>
      </c>
    </row>
    <row r="594" spans="1:11" x14ac:dyDescent="0.25">
      <c r="A594" s="6" t="s">
        <v>1752</v>
      </c>
      <c r="B594" t="s">
        <v>1753</v>
      </c>
      <c r="C594" s="7"/>
      <c r="D594" s="6" t="str">
        <f t="shared" si="13"/>
        <v>NACE G - 47.4 Retail sale of information and communication equipment</v>
      </c>
      <c r="K594" t="s">
        <v>3065</v>
      </c>
    </row>
    <row r="595" spans="1:11" x14ac:dyDescent="0.25">
      <c r="A595" s="7" t="s">
        <v>1754</v>
      </c>
      <c r="B595" t="s">
        <v>1755</v>
      </c>
      <c r="C595" s="7"/>
      <c r="D595" s="7" t="str">
        <f t="shared" si="13"/>
        <v>NACE G - 47.40 Retail sale of information and communication equipment</v>
      </c>
      <c r="K595" t="s">
        <v>3066</v>
      </c>
    </row>
    <row r="596" spans="1:11" x14ac:dyDescent="0.25">
      <c r="A596" s="6" t="s">
        <v>1756</v>
      </c>
      <c r="B596" t="s">
        <v>1757</v>
      </c>
      <c r="C596" s="7"/>
      <c r="D596" s="6" t="str">
        <f t="shared" si="13"/>
        <v>NACE G - 47.5 Retail sale of other household equipment</v>
      </c>
      <c r="K596" t="s">
        <v>3067</v>
      </c>
    </row>
    <row r="597" spans="1:11" x14ac:dyDescent="0.25">
      <c r="A597" s="7" t="s">
        <v>1758</v>
      </c>
      <c r="B597" t="s">
        <v>1759</v>
      </c>
      <c r="C597" s="7"/>
      <c r="D597" s="7" t="str">
        <f t="shared" si="13"/>
        <v>NACE G - 47.51 Retail sale of textiles</v>
      </c>
      <c r="K597" t="s">
        <v>3068</v>
      </c>
    </row>
    <row r="598" spans="1:11" x14ac:dyDescent="0.25">
      <c r="A598" s="7" t="s">
        <v>1760</v>
      </c>
      <c r="B598" t="s">
        <v>1761</v>
      </c>
      <c r="C598" s="7"/>
      <c r="D598" s="7" t="str">
        <f t="shared" si="13"/>
        <v>NACE G - 47.52 Retail sale of hardware, building materials, paints and glass</v>
      </c>
      <c r="K598" t="s">
        <v>2766</v>
      </c>
    </row>
    <row r="599" spans="1:11" x14ac:dyDescent="0.25">
      <c r="A599" s="7" t="s">
        <v>1762</v>
      </c>
      <c r="B599" t="s">
        <v>1763</v>
      </c>
      <c r="C599" s="7"/>
      <c r="D599" s="7" t="str">
        <f t="shared" si="13"/>
        <v>NACE G - 47.53 Retail sale of carpets, rugs, wall and floor coverings</v>
      </c>
      <c r="K599" t="s">
        <v>3253</v>
      </c>
    </row>
    <row r="600" spans="1:11" x14ac:dyDescent="0.25">
      <c r="A600" s="7" t="s">
        <v>1764</v>
      </c>
      <c r="B600" t="s">
        <v>1765</v>
      </c>
      <c r="C600" s="7"/>
      <c r="D600" s="7" t="str">
        <f t="shared" si="13"/>
        <v>NACE G - 47.54 Retail sale of electrical household appliances</v>
      </c>
      <c r="K600" t="s">
        <v>3069</v>
      </c>
    </row>
    <row r="601" spans="1:11" x14ac:dyDescent="0.25">
      <c r="A601" s="7" t="s">
        <v>1766</v>
      </c>
      <c r="B601" t="s">
        <v>1767</v>
      </c>
      <c r="C601" s="7"/>
      <c r="D601" s="7" t="str">
        <f t="shared" si="13"/>
        <v>NACE G - 47.55 Retail sale of furniture, lighting equipment, tableware and other household goods</v>
      </c>
      <c r="K601" t="s">
        <v>3070</v>
      </c>
    </row>
    <row r="602" spans="1:11" x14ac:dyDescent="0.25">
      <c r="A602" s="6" t="s">
        <v>1768</v>
      </c>
      <c r="B602" t="s">
        <v>1769</v>
      </c>
      <c r="C602" s="7"/>
      <c r="D602" s="6" t="str">
        <f t="shared" si="13"/>
        <v>NACE G - 47.6 Retail sale of cultural and recreation goods</v>
      </c>
      <c r="K602" t="s">
        <v>3071</v>
      </c>
    </row>
    <row r="603" spans="1:11" x14ac:dyDescent="0.25">
      <c r="A603" s="7" t="s">
        <v>1770</v>
      </c>
      <c r="B603" t="s">
        <v>1771</v>
      </c>
      <c r="C603" s="7"/>
      <c r="D603" s="7" t="str">
        <f t="shared" si="13"/>
        <v>NACE G - 47.61 Retail sale of books</v>
      </c>
      <c r="K603" t="s">
        <v>3072</v>
      </c>
    </row>
    <row r="604" spans="1:11" x14ac:dyDescent="0.25">
      <c r="A604" s="7" t="s">
        <v>1772</v>
      </c>
      <c r="B604" t="s">
        <v>1773</v>
      </c>
      <c r="C604" s="7"/>
      <c r="D604" s="7" t="str">
        <f t="shared" si="13"/>
        <v>NACE G - 47.62 Retail sale of newspapers, and other periodical publications and stationery</v>
      </c>
      <c r="K604" t="s">
        <v>3073</v>
      </c>
    </row>
    <row r="605" spans="1:11" x14ac:dyDescent="0.25">
      <c r="A605" s="7" t="s">
        <v>1774</v>
      </c>
      <c r="B605" t="s">
        <v>1775</v>
      </c>
      <c r="C605" s="7"/>
      <c r="D605" s="7" t="str">
        <f t="shared" si="13"/>
        <v>NACE G - 47.63 Retail sale of sporting equipment</v>
      </c>
      <c r="K605" t="s">
        <v>3074</v>
      </c>
    </row>
    <row r="606" spans="1:11" x14ac:dyDescent="0.25">
      <c r="A606" s="7" t="s">
        <v>1776</v>
      </c>
      <c r="B606" t="s">
        <v>1777</v>
      </c>
      <c r="C606" s="7"/>
      <c r="D606" s="7" t="str">
        <f t="shared" si="13"/>
        <v>NACE G - 47.64 Retail sale of games and toys</v>
      </c>
      <c r="K606" t="s">
        <v>3075</v>
      </c>
    </row>
    <row r="607" spans="1:11" x14ac:dyDescent="0.25">
      <c r="A607" s="7" t="s">
        <v>1778</v>
      </c>
      <c r="B607" t="s">
        <v>1779</v>
      </c>
      <c r="C607" s="7"/>
      <c r="D607" s="7" t="str">
        <f t="shared" si="13"/>
        <v>NACE G - 47.69 Retail sale of cultural and recreational goods n.e.c.</v>
      </c>
      <c r="K607" t="s">
        <v>3552</v>
      </c>
    </row>
    <row r="608" spans="1:11" x14ac:dyDescent="0.25">
      <c r="A608" s="6" t="s">
        <v>1780</v>
      </c>
      <c r="B608" t="s">
        <v>1781</v>
      </c>
      <c r="C608" s="7"/>
      <c r="D608" s="6" t="str">
        <f t="shared" si="13"/>
        <v>NACE G - 47.7 Retail sale of other goods, except motor vehicles and motorcycles</v>
      </c>
      <c r="K608" t="s">
        <v>3254</v>
      </c>
    </row>
    <row r="609" spans="1:11" x14ac:dyDescent="0.25">
      <c r="A609" s="7" t="s">
        <v>1782</v>
      </c>
      <c r="B609" t="s">
        <v>1783</v>
      </c>
      <c r="C609" s="7"/>
      <c r="D609" s="7" t="str">
        <f t="shared" si="13"/>
        <v>NACE G - 47.71 Retail sale of clothing</v>
      </c>
      <c r="K609" t="s">
        <v>3553</v>
      </c>
    </row>
    <row r="610" spans="1:11" x14ac:dyDescent="0.25">
      <c r="A610" s="7" t="s">
        <v>1784</v>
      </c>
      <c r="B610" t="s">
        <v>1785</v>
      </c>
      <c r="C610" s="7"/>
      <c r="D610" s="7" t="str">
        <f t="shared" si="13"/>
        <v>NACE G - 47.72 Retail sale of footwear and leather goods</v>
      </c>
      <c r="K610" t="s">
        <v>3076</v>
      </c>
    </row>
    <row r="611" spans="1:11" x14ac:dyDescent="0.25">
      <c r="A611" s="7" t="s">
        <v>1786</v>
      </c>
      <c r="B611" t="s">
        <v>1787</v>
      </c>
      <c r="C611" s="7"/>
      <c r="D611" s="7" t="str">
        <f t="shared" si="13"/>
        <v>NACE G - 47.73 Retail sale of pharmaceutical products</v>
      </c>
      <c r="K611" t="s">
        <v>2767</v>
      </c>
    </row>
    <row r="612" spans="1:11" x14ac:dyDescent="0.25">
      <c r="A612" s="7" t="s">
        <v>1788</v>
      </c>
      <c r="B612" t="s">
        <v>1789</v>
      </c>
      <c r="C612" s="7"/>
      <c r="D612" s="7" t="str">
        <f t="shared" si="13"/>
        <v>NACE G - 47.74 Retail sale of medical and orthopaedic goods</v>
      </c>
      <c r="K612" t="s">
        <v>3255</v>
      </c>
    </row>
    <row r="613" spans="1:11" x14ac:dyDescent="0.25">
      <c r="A613" s="7" t="s">
        <v>1790</v>
      </c>
      <c r="B613" t="s">
        <v>1791</v>
      </c>
      <c r="C613" s="7"/>
      <c r="D613" s="7" t="str">
        <f t="shared" si="13"/>
        <v>NACE G - 47.75 Retail sale of cosmetic and toilet articles</v>
      </c>
      <c r="K613" t="s">
        <v>3077</v>
      </c>
    </row>
    <row r="614" spans="1:11" x14ac:dyDescent="0.25">
      <c r="A614" s="7" t="s">
        <v>1792</v>
      </c>
      <c r="B614" t="s">
        <v>1793</v>
      </c>
      <c r="C614" s="7"/>
      <c r="D614" s="7" t="str">
        <f t="shared" si="13"/>
        <v>NACE G - 47.76 Retail sale of flowers, plants, fertilisers, pets and pet food</v>
      </c>
      <c r="K614" t="s">
        <v>3078</v>
      </c>
    </row>
    <row r="615" spans="1:11" x14ac:dyDescent="0.25">
      <c r="A615" s="7" t="s">
        <v>1794</v>
      </c>
      <c r="B615" t="s">
        <v>1795</v>
      </c>
      <c r="C615" s="7"/>
      <c r="D615" s="7" t="str">
        <f t="shared" si="13"/>
        <v>NACE G - 47.77 Retail sale of watches and jewellery</v>
      </c>
      <c r="K615" t="s">
        <v>3079</v>
      </c>
    </row>
    <row r="616" spans="1:11" x14ac:dyDescent="0.25">
      <c r="A616" s="7" t="s">
        <v>1796</v>
      </c>
      <c r="B616" t="s">
        <v>1797</v>
      </c>
      <c r="C616" s="7"/>
      <c r="D616" s="7" t="str">
        <f t="shared" si="13"/>
        <v>NACE G - 47.78 Retail sale of other new goods</v>
      </c>
      <c r="K616" t="s">
        <v>3080</v>
      </c>
    </row>
    <row r="617" spans="1:11" x14ac:dyDescent="0.25">
      <c r="A617" s="7" t="s">
        <v>1798</v>
      </c>
      <c r="B617" t="s">
        <v>1799</v>
      </c>
      <c r="C617" s="7"/>
      <c r="D617" s="7" t="str">
        <f t="shared" si="13"/>
        <v>NACE G - 47.79 Retail sale of second-hand goods</v>
      </c>
      <c r="K617" t="s">
        <v>3256</v>
      </c>
    </row>
    <row r="618" spans="1:11" x14ac:dyDescent="0.25">
      <c r="A618" s="6" t="s">
        <v>1800</v>
      </c>
      <c r="B618" t="s">
        <v>1801</v>
      </c>
      <c r="C618" s="7"/>
      <c r="D618" s="6" t="str">
        <f t="shared" si="13"/>
        <v>NACE G - 47.8 Retail sale of motor vehicles, motorcycles and related parts and accessories</v>
      </c>
      <c r="K618" t="s">
        <v>3554</v>
      </c>
    </row>
    <row r="619" spans="1:11" x14ac:dyDescent="0.25">
      <c r="A619" s="7" t="s">
        <v>1802</v>
      </c>
      <c r="B619" t="s">
        <v>1803</v>
      </c>
      <c r="C619" s="7"/>
      <c r="D619" s="7" t="str">
        <f t="shared" si="13"/>
        <v>NACE G - 47.81 Retail sale of motor vehicles</v>
      </c>
      <c r="K619" t="s">
        <v>3555</v>
      </c>
    </row>
    <row r="620" spans="1:11" x14ac:dyDescent="0.25">
      <c r="A620" s="7" t="s">
        <v>1804</v>
      </c>
      <c r="B620" t="s">
        <v>1805</v>
      </c>
      <c r="C620" s="7"/>
      <c r="D620" s="7" t="str">
        <f t="shared" si="13"/>
        <v>NACE G - 47.82 Retail sale of motor vehicle parts and accessories</v>
      </c>
      <c r="K620" t="s">
        <v>3556</v>
      </c>
    </row>
    <row r="621" spans="1:11" x14ac:dyDescent="0.25">
      <c r="A621" s="7" t="s">
        <v>1806</v>
      </c>
      <c r="B621" t="s">
        <v>1807</v>
      </c>
      <c r="C621" s="7"/>
      <c r="D621" s="7" t="str">
        <f t="shared" si="13"/>
        <v>NACE G - 47.83 Retail sale of motorcycles, motorcycle parts and accessories</v>
      </c>
      <c r="K621" t="s">
        <v>3557</v>
      </c>
    </row>
    <row r="622" spans="1:11" x14ac:dyDescent="0.25">
      <c r="A622" s="6" t="s">
        <v>1808</v>
      </c>
      <c r="B622" t="s">
        <v>1809</v>
      </c>
      <c r="C622" s="7"/>
      <c r="D622" s="6" t="str">
        <f t="shared" si="13"/>
        <v>NACE G - 47.9 Intermediation service activities for retail sale</v>
      </c>
      <c r="K622" t="s">
        <v>3558</v>
      </c>
    </row>
    <row r="623" spans="1:11" x14ac:dyDescent="0.25">
      <c r="A623" s="7" t="s">
        <v>1810</v>
      </c>
      <c r="B623" t="s">
        <v>1811</v>
      </c>
      <c r="C623" s="7"/>
      <c r="D623" s="7" t="str">
        <f t="shared" si="13"/>
        <v>NACE G - 47.91 Intermediation service activities for non-specialised retail sale</v>
      </c>
      <c r="K623" t="s">
        <v>3081</v>
      </c>
    </row>
    <row r="624" spans="1:11" x14ac:dyDescent="0.25">
      <c r="A624" s="7" t="s">
        <v>1812</v>
      </c>
      <c r="B624" t="s">
        <v>1813</v>
      </c>
      <c r="C624" s="7"/>
      <c r="D624" s="7" t="str">
        <f t="shared" si="13"/>
        <v>NACE G - 47.92 Intermediation service activities for specialised retail sale</v>
      </c>
      <c r="K624" t="s">
        <v>3559</v>
      </c>
    </row>
    <row r="625" spans="1:11" x14ac:dyDescent="0.25">
      <c r="A625" s="4" t="s">
        <v>1814</v>
      </c>
      <c r="B625" t="s">
        <v>1815</v>
      </c>
      <c r="C625" s="7"/>
      <c r="D625" s="4" t="str">
        <f t="shared" si="13"/>
        <v>NACE H - TRANSPORTATION AND STORAGE</v>
      </c>
      <c r="K625" t="s">
        <v>3082</v>
      </c>
    </row>
    <row r="626" spans="1:11" x14ac:dyDescent="0.25">
      <c r="A626" s="5" t="s">
        <v>1816</v>
      </c>
      <c r="B626" t="s">
        <v>1817</v>
      </c>
      <c r="C626" s="7"/>
      <c r="D626" s="5" t="str">
        <f t="shared" si="13"/>
        <v>NACE H - 49 Land transport and transport via pipelines</v>
      </c>
      <c r="K626" t="s">
        <v>3257</v>
      </c>
    </row>
    <row r="627" spans="1:11" x14ac:dyDescent="0.25">
      <c r="A627" s="6" t="s">
        <v>1818</v>
      </c>
      <c r="B627" t="s">
        <v>1819</v>
      </c>
      <c r="C627" s="7"/>
      <c r="D627" s="6" t="str">
        <f t="shared" si="13"/>
        <v>NACE H - 49.1 Passenger rail transport</v>
      </c>
      <c r="K627" t="s">
        <v>3083</v>
      </c>
    </row>
    <row r="628" spans="1:11" x14ac:dyDescent="0.25">
      <c r="A628" s="7" t="s">
        <v>1820</v>
      </c>
      <c r="B628" t="s">
        <v>1821</v>
      </c>
      <c r="C628" s="7"/>
      <c r="D628" s="7" t="str">
        <f t="shared" si="13"/>
        <v>NACE H - 49.11 Passenger heavy rail transport</v>
      </c>
      <c r="K628" t="s">
        <v>3084</v>
      </c>
    </row>
    <row r="629" spans="1:11" x14ac:dyDescent="0.25">
      <c r="A629" s="7" t="s">
        <v>1822</v>
      </c>
      <c r="B629" t="s">
        <v>1823</v>
      </c>
      <c r="C629" s="7"/>
      <c r="D629" s="7" t="str">
        <f t="shared" si="13"/>
        <v>NACE H - 49.12 Other passenger rail transport</v>
      </c>
      <c r="K629" t="s">
        <v>3258</v>
      </c>
    </row>
    <row r="630" spans="1:11" x14ac:dyDescent="0.25">
      <c r="A630" s="6" t="s">
        <v>1824</v>
      </c>
      <c r="B630" t="s">
        <v>1825</v>
      </c>
      <c r="C630" s="7"/>
      <c r="D630" s="6" t="str">
        <f t="shared" si="13"/>
        <v>NACE H - 49.2 Freight rail transport</v>
      </c>
      <c r="K630" t="s">
        <v>3560</v>
      </c>
    </row>
    <row r="631" spans="1:11" x14ac:dyDescent="0.25">
      <c r="A631" s="7" t="s">
        <v>1826</v>
      </c>
      <c r="B631" t="s">
        <v>1827</v>
      </c>
      <c r="C631" s="7"/>
      <c r="D631" s="7" t="str">
        <f t="shared" si="13"/>
        <v>NACE H - 49.20 Freight rail transport</v>
      </c>
      <c r="K631" t="s">
        <v>3561</v>
      </c>
    </row>
    <row r="632" spans="1:11" x14ac:dyDescent="0.25">
      <c r="A632" s="6" t="s">
        <v>1828</v>
      </c>
      <c r="B632" t="s">
        <v>1829</v>
      </c>
      <c r="C632" s="7"/>
      <c r="D632" s="6" t="str">
        <f t="shared" si="13"/>
        <v>NACE H - 49.3 Other passenger land transport</v>
      </c>
      <c r="K632" t="s">
        <v>3562</v>
      </c>
    </row>
    <row r="633" spans="1:11" x14ac:dyDescent="0.25">
      <c r="A633" s="7" t="s">
        <v>1830</v>
      </c>
      <c r="B633" t="s">
        <v>1831</v>
      </c>
      <c r="C633" s="7"/>
      <c r="D633" s="7" t="str">
        <f t="shared" si="13"/>
        <v>NACE H - 49.31 Scheduled passenger transport by road</v>
      </c>
      <c r="K633" t="s">
        <v>3259</v>
      </c>
    </row>
    <row r="634" spans="1:11" x14ac:dyDescent="0.25">
      <c r="A634" s="7" t="s">
        <v>1832</v>
      </c>
      <c r="B634" t="s">
        <v>1833</v>
      </c>
      <c r="C634" s="7"/>
      <c r="D634" s="7" t="str">
        <f t="shared" si="13"/>
        <v>NACE H - 49.32 Non-scheduled passenger transport by road</v>
      </c>
      <c r="K634" t="s">
        <v>3085</v>
      </c>
    </row>
    <row r="635" spans="1:11" x14ac:dyDescent="0.25">
      <c r="A635" s="7" t="s">
        <v>1834</v>
      </c>
      <c r="B635" t="s">
        <v>1835</v>
      </c>
      <c r="C635" s="7"/>
      <c r="D635" s="7" t="str">
        <f t="shared" si="13"/>
        <v>NACE H - 49.33 On-demand passenger transport service activities by vehicle with driver</v>
      </c>
      <c r="K635" t="s">
        <v>3086</v>
      </c>
    </row>
    <row r="636" spans="1:11" x14ac:dyDescent="0.25">
      <c r="A636" s="7" t="s">
        <v>1836</v>
      </c>
      <c r="B636" t="s">
        <v>1837</v>
      </c>
      <c r="C636" s="7"/>
      <c r="D636" s="7" t="str">
        <f t="shared" si="13"/>
        <v>NACE H - 49.34 Passenger transport by cableways and ski lifts</v>
      </c>
      <c r="K636" t="s">
        <v>3087</v>
      </c>
    </row>
    <row r="637" spans="1:11" x14ac:dyDescent="0.25">
      <c r="A637" s="7" t="s">
        <v>1838</v>
      </c>
      <c r="B637" t="s">
        <v>1839</v>
      </c>
      <c r="C637" s="7"/>
      <c r="D637" s="7" t="str">
        <f t="shared" si="13"/>
        <v>NACE H - 49.39 Other passenger land transport n.e.c.</v>
      </c>
      <c r="K637" t="s">
        <v>3260</v>
      </c>
    </row>
    <row r="638" spans="1:11" x14ac:dyDescent="0.25">
      <c r="A638" s="6" t="s">
        <v>1840</v>
      </c>
      <c r="B638" t="s">
        <v>1841</v>
      </c>
      <c r="C638" s="7"/>
      <c r="D638" s="6" t="str">
        <f t="shared" si="13"/>
        <v>NACE H - 49.4 Freight transport by road and removal services</v>
      </c>
      <c r="K638" t="s">
        <v>3563</v>
      </c>
    </row>
    <row r="639" spans="1:11" x14ac:dyDescent="0.25">
      <c r="A639" s="7" t="s">
        <v>1842</v>
      </c>
      <c r="B639" t="s">
        <v>1843</v>
      </c>
      <c r="C639" s="7"/>
      <c r="D639" s="7" t="str">
        <f t="shared" si="13"/>
        <v>NACE H - 49.41 Freight transport by road</v>
      </c>
      <c r="K639" t="s">
        <v>3564</v>
      </c>
    </row>
    <row r="640" spans="1:11" x14ac:dyDescent="0.25">
      <c r="A640" s="7" t="s">
        <v>1844</v>
      </c>
      <c r="B640" t="s">
        <v>1845</v>
      </c>
      <c r="C640" s="7"/>
      <c r="D640" s="7" t="str">
        <f t="shared" si="13"/>
        <v>NACE H - 49.42 Removal services</v>
      </c>
      <c r="K640" t="s">
        <v>3565</v>
      </c>
    </row>
    <row r="641" spans="1:11" x14ac:dyDescent="0.25">
      <c r="A641" s="6" t="s">
        <v>1846</v>
      </c>
      <c r="B641" t="s">
        <v>1847</v>
      </c>
      <c r="C641" s="7"/>
      <c r="D641" s="6" t="str">
        <f t="shared" si="13"/>
        <v>NACE H - 49.5 Transport via pipeline</v>
      </c>
      <c r="K641" t="s">
        <v>3088</v>
      </c>
    </row>
    <row r="642" spans="1:11" x14ac:dyDescent="0.25">
      <c r="A642" s="7" t="s">
        <v>1848</v>
      </c>
      <c r="B642" t="s">
        <v>1849</v>
      </c>
      <c r="C642" s="7"/>
      <c r="D642" s="7" t="str">
        <f t="shared" ref="D642:D705" si="14">_xlfn.CONCAT("NACE ", A642)</f>
        <v>NACE H - 49.50 Transport via pipeline</v>
      </c>
      <c r="K642" t="s">
        <v>3089</v>
      </c>
    </row>
    <row r="643" spans="1:11" x14ac:dyDescent="0.25">
      <c r="A643" s="5" t="s">
        <v>1850</v>
      </c>
      <c r="B643" t="s">
        <v>1851</v>
      </c>
      <c r="C643" s="7"/>
      <c r="D643" s="5" t="str">
        <f t="shared" si="14"/>
        <v>NACE H - 50 Water transport</v>
      </c>
      <c r="K643" t="s">
        <v>3566</v>
      </c>
    </row>
    <row r="644" spans="1:11" x14ac:dyDescent="0.25">
      <c r="A644" s="6" t="s">
        <v>1852</v>
      </c>
      <c r="B644" t="s">
        <v>1853</v>
      </c>
      <c r="C644" s="7"/>
      <c r="D644" s="6" t="str">
        <f t="shared" si="14"/>
        <v>NACE H - 50.1 Sea and coastal passenger water transport</v>
      </c>
      <c r="K644" t="s">
        <v>3261</v>
      </c>
    </row>
    <row r="645" spans="1:11" x14ac:dyDescent="0.25">
      <c r="A645" s="7" t="s">
        <v>1854</v>
      </c>
      <c r="B645" t="s">
        <v>1855</v>
      </c>
      <c r="C645" s="7"/>
      <c r="D645" s="7" t="str">
        <f t="shared" si="14"/>
        <v>NACE H - 50.10 Sea and coastal passenger water transport</v>
      </c>
      <c r="K645" t="s">
        <v>3567</v>
      </c>
    </row>
    <row r="646" spans="1:11" x14ac:dyDescent="0.25">
      <c r="A646" s="6" t="s">
        <v>1856</v>
      </c>
      <c r="B646" t="s">
        <v>1857</v>
      </c>
      <c r="C646" s="7"/>
      <c r="D646" s="6" t="str">
        <f t="shared" si="14"/>
        <v>NACE H - 50.2 Sea and coastal freight water transport</v>
      </c>
      <c r="K646" t="s">
        <v>3568</v>
      </c>
    </row>
    <row r="647" spans="1:11" x14ac:dyDescent="0.25">
      <c r="A647" s="7" t="s">
        <v>1858</v>
      </c>
      <c r="B647" t="s">
        <v>1859</v>
      </c>
      <c r="C647" s="7"/>
      <c r="D647" s="7" t="str">
        <f t="shared" si="14"/>
        <v>NACE H - 50.20 Sea and coastal freight water transport</v>
      </c>
      <c r="K647" t="s">
        <v>3569</v>
      </c>
    </row>
    <row r="648" spans="1:11" x14ac:dyDescent="0.25">
      <c r="A648" s="6" t="s">
        <v>1860</v>
      </c>
      <c r="B648" t="s">
        <v>1861</v>
      </c>
      <c r="C648" s="7"/>
      <c r="D648" s="6" t="str">
        <f t="shared" si="14"/>
        <v>NACE H - 50.3 Inland passenger water transport</v>
      </c>
      <c r="K648" t="s">
        <v>3570</v>
      </c>
    </row>
    <row r="649" spans="1:11" x14ac:dyDescent="0.25">
      <c r="A649" s="7" t="s">
        <v>1862</v>
      </c>
      <c r="B649" t="s">
        <v>1863</v>
      </c>
      <c r="C649" s="7"/>
      <c r="D649" s="7" t="str">
        <f t="shared" si="14"/>
        <v>NACE H - 50.30 Inland passenger water transport</v>
      </c>
      <c r="K649" t="s">
        <v>3571</v>
      </c>
    </row>
    <row r="650" spans="1:11" x14ac:dyDescent="0.25">
      <c r="A650" s="6" t="s">
        <v>1864</v>
      </c>
      <c r="B650" t="s">
        <v>1865</v>
      </c>
      <c r="C650" s="7"/>
      <c r="D650" s="6" t="str">
        <f t="shared" si="14"/>
        <v>NACE H - 50.4 Inland freight water transport</v>
      </c>
      <c r="K650" t="s">
        <v>3572</v>
      </c>
    </row>
    <row r="651" spans="1:11" x14ac:dyDescent="0.25">
      <c r="A651" s="7" t="s">
        <v>1866</v>
      </c>
      <c r="B651" t="s">
        <v>1867</v>
      </c>
      <c r="C651" s="7"/>
      <c r="D651" s="7" t="str">
        <f t="shared" si="14"/>
        <v>NACE H - 50.40 Inland freight water transport</v>
      </c>
      <c r="K651" t="s">
        <v>3090</v>
      </c>
    </row>
    <row r="652" spans="1:11" x14ac:dyDescent="0.25">
      <c r="A652" s="5" t="s">
        <v>1868</v>
      </c>
      <c r="B652" t="s">
        <v>1869</v>
      </c>
      <c r="C652" s="7"/>
      <c r="D652" s="5" t="str">
        <f t="shared" si="14"/>
        <v>NACE H - 51 Air transport</v>
      </c>
      <c r="K652" t="s">
        <v>3091</v>
      </c>
    </row>
    <row r="653" spans="1:11" x14ac:dyDescent="0.25">
      <c r="A653" s="6" t="s">
        <v>1870</v>
      </c>
      <c r="B653" t="s">
        <v>1871</v>
      </c>
      <c r="C653" s="7"/>
      <c r="D653" s="6" t="str">
        <f t="shared" si="14"/>
        <v>NACE H - 51.1 Passenger air transport</v>
      </c>
      <c r="K653" t="s">
        <v>3262</v>
      </c>
    </row>
    <row r="654" spans="1:11" x14ac:dyDescent="0.25">
      <c r="A654" s="7" t="s">
        <v>1872</v>
      </c>
      <c r="B654" t="s">
        <v>1873</v>
      </c>
      <c r="C654" s="7"/>
      <c r="D654" s="7" t="str">
        <f t="shared" si="14"/>
        <v>NACE H - 51.10 Passenger air transport</v>
      </c>
      <c r="K654" t="s">
        <v>3092</v>
      </c>
    </row>
    <row r="655" spans="1:11" x14ac:dyDescent="0.25">
      <c r="A655" s="6" t="s">
        <v>1874</v>
      </c>
      <c r="B655" t="s">
        <v>1875</v>
      </c>
      <c r="C655" s="7"/>
      <c r="D655" s="6" t="str">
        <f t="shared" si="14"/>
        <v>NACE H - 51.2 Freight air transport and space transport</v>
      </c>
      <c r="K655" t="s">
        <v>3573</v>
      </c>
    </row>
    <row r="656" spans="1:11" x14ac:dyDescent="0.25">
      <c r="A656" s="7" t="s">
        <v>1876</v>
      </c>
      <c r="B656" t="s">
        <v>1877</v>
      </c>
      <c r="C656" s="7"/>
      <c r="D656" s="7" t="str">
        <f t="shared" si="14"/>
        <v>NACE H - 51.21 Freight air transport</v>
      </c>
      <c r="K656" t="s">
        <v>3093</v>
      </c>
    </row>
    <row r="657" spans="1:11" x14ac:dyDescent="0.25">
      <c r="A657" s="7" t="s">
        <v>1878</v>
      </c>
      <c r="B657" t="s">
        <v>1879</v>
      </c>
      <c r="C657" s="7"/>
      <c r="D657" s="7" t="str">
        <f t="shared" si="14"/>
        <v>NACE H - 51.22 Space transport</v>
      </c>
      <c r="K657" t="s">
        <v>3094</v>
      </c>
    </row>
    <row r="658" spans="1:11" x14ac:dyDescent="0.25">
      <c r="A658" s="5" t="s">
        <v>1880</v>
      </c>
      <c r="B658" t="s">
        <v>1881</v>
      </c>
      <c r="C658" s="7"/>
      <c r="D658" s="5" t="str">
        <f t="shared" si="14"/>
        <v>NACE H - 52 Warehousing, storage and support activities for transportation</v>
      </c>
      <c r="K658" t="s">
        <v>3574</v>
      </c>
    </row>
    <row r="659" spans="1:11" x14ac:dyDescent="0.25">
      <c r="A659" s="6" t="s">
        <v>1882</v>
      </c>
      <c r="B659" t="s">
        <v>1883</v>
      </c>
      <c r="C659" s="7"/>
      <c r="D659" s="6" t="str">
        <f t="shared" si="14"/>
        <v>NACE H - 52.1 Warehousing and storage</v>
      </c>
      <c r="K659" t="s">
        <v>3575</v>
      </c>
    </row>
    <row r="660" spans="1:11" x14ac:dyDescent="0.25">
      <c r="A660" s="7" t="s">
        <v>1884</v>
      </c>
      <c r="B660" t="s">
        <v>1885</v>
      </c>
      <c r="C660" s="7"/>
      <c r="D660" s="7" t="str">
        <f t="shared" si="14"/>
        <v>NACE H - 52.10 Warehousing and storage</v>
      </c>
      <c r="K660" t="s">
        <v>3576</v>
      </c>
    </row>
    <row r="661" spans="1:11" x14ac:dyDescent="0.25">
      <c r="A661" s="6" t="s">
        <v>1886</v>
      </c>
      <c r="B661" t="s">
        <v>1887</v>
      </c>
      <c r="C661" s="7"/>
      <c r="D661" s="6" t="str">
        <f t="shared" si="14"/>
        <v>NACE H - 52.2 Support activities for transportation</v>
      </c>
      <c r="K661" t="s">
        <v>2768</v>
      </c>
    </row>
    <row r="662" spans="1:11" x14ac:dyDescent="0.25">
      <c r="A662" s="7" t="s">
        <v>1888</v>
      </c>
      <c r="B662" t="s">
        <v>1889</v>
      </c>
      <c r="C662" s="7"/>
      <c r="D662" s="7" t="str">
        <f t="shared" si="14"/>
        <v>NACE H - 52.21 Service activities incidental to land transportation</v>
      </c>
      <c r="K662" t="s">
        <v>3263</v>
      </c>
    </row>
    <row r="663" spans="1:11" x14ac:dyDescent="0.25">
      <c r="A663" s="7" t="s">
        <v>1890</v>
      </c>
      <c r="B663" t="s">
        <v>1891</v>
      </c>
      <c r="C663" s="7"/>
      <c r="D663" s="7" t="str">
        <f t="shared" si="14"/>
        <v>NACE H - 52.22 Service activities incidental to water transportation</v>
      </c>
      <c r="K663" t="s">
        <v>3095</v>
      </c>
    </row>
    <row r="664" spans="1:11" x14ac:dyDescent="0.25">
      <c r="A664" s="7" t="s">
        <v>1892</v>
      </c>
      <c r="B664" t="s">
        <v>1893</v>
      </c>
      <c r="C664" s="7"/>
      <c r="D664" s="7" t="str">
        <f t="shared" si="14"/>
        <v>NACE H - 52.23 Service activities incidental to air transportation</v>
      </c>
      <c r="K664" t="s">
        <v>3096</v>
      </c>
    </row>
    <row r="665" spans="1:11" x14ac:dyDescent="0.25">
      <c r="A665" s="7" t="s">
        <v>1894</v>
      </c>
      <c r="B665" t="s">
        <v>1895</v>
      </c>
      <c r="C665" s="7"/>
      <c r="D665" s="7" t="str">
        <f t="shared" si="14"/>
        <v>NACE H - 52.24 Cargo handling</v>
      </c>
      <c r="K665" t="s">
        <v>3097</v>
      </c>
    </row>
    <row r="666" spans="1:11" x14ac:dyDescent="0.25">
      <c r="A666" s="7" t="s">
        <v>1896</v>
      </c>
      <c r="B666" t="s">
        <v>1897</v>
      </c>
      <c r="C666" s="7"/>
      <c r="D666" s="7" t="str">
        <f t="shared" si="14"/>
        <v>NACE H - 52.25 Logistics service activities</v>
      </c>
      <c r="K666" t="s">
        <v>3098</v>
      </c>
    </row>
    <row r="667" spans="1:11" x14ac:dyDescent="0.25">
      <c r="A667" s="7" t="s">
        <v>1898</v>
      </c>
      <c r="B667" t="s">
        <v>1899</v>
      </c>
      <c r="C667" s="7"/>
      <c r="D667" s="7" t="str">
        <f t="shared" si="14"/>
        <v>NACE H - 52.26 Other support activities for transportation</v>
      </c>
      <c r="K667" t="s">
        <v>3099</v>
      </c>
    </row>
    <row r="668" spans="1:11" x14ac:dyDescent="0.25">
      <c r="A668" s="6" t="s">
        <v>1900</v>
      </c>
      <c r="B668" t="s">
        <v>1901</v>
      </c>
      <c r="C668" s="7"/>
      <c r="D668" s="6" t="str">
        <f t="shared" si="14"/>
        <v>NACE H - 52.3 Intermediation service activities for transportation</v>
      </c>
      <c r="K668" t="s">
        <v>3264</v>
      </c>
    </row>
    <row r="669" spans="1:11" x14ac:dyDescent="0.25">
      <c r="A669" s="7" t="s">
        <v>1902</v>
      </c>
      <c r="B669" t="s">
        <v>1903</v>
      </c>
      <c r="C669" s="7"/>
      <c r="D669" s="7" t="str">
        <f t="shared" si="14"/>
        <v>NACE H - 52.31 Intermediation service activities for freight transportation</v>
      </c>
      <c r="K669" t="s">
        <v>3100</v>
      </c>
    </row>
    <row r="670" spans="1:11" x14ac:dyDescent="0.25">
      <c r="A670" s="7" t="s">
        <v>1904</v>
      </c>
      <c r="B670" t="s">
        <v>1905</v>
      </c>
      <c r="C670" s="7"/>
      <c r="D670" s="7" t="str">
        <f t="shared" si="14"/>
        <v>NACE H - 52.32 Intermediation service activities for passenger transportation</v>
      </c>
      <c r="K670" t="s">
        <v>3101</v>
      </c>
    </row>
    <row r="671" spans="1:11" x14ac:dyDescent="0.25">
      <c r="A671" s="5" t="s">
        <v>1906</v>
      </c>
      <c r="B671" t="s">
        <v>1907</v>
      </c>
      <c r="C671" s="7"/>
      <c r="D671" s="5" t="str">
        <f t="shared" si="14"/>
        <v>NACE H - 53 Postal and courier activities</v>
      </c>
      <c r="K671" t="s">
        <v>3102</v>
      </c>
    </row>
    <row r="672" spans="1:11" x14ac:dyDescent="0.25">
      <c r="A672" s="6" t="s">
        <v>1908</v>
      </c>
      <c r="B672" t="s">
        <v>1909</v>
      </c>
      <c r="C672" s="7"/>
      <c r="D672" s="6" t="str">
        <f t="shared" si="14"/>
        <v>NACE H - 53.1 Postal activities under universal service obligation</v>
      </c>
      <c r="K672" t="s">
        <v>3265</v>
      </c>
    </row>
    <row r="673" spans="1:11" x14ac:dyDescent="0.25">
      <c r="A673" s="7" t="s">
        <v>1910</v>
      </c>
      <c r="B673" t="s">
        <v>1911</v>
      </c>
      <c r="C673" s="7"/>
      <c r="D673" s="7" t="str">
        <f t="shared" si="14"/>
        <v>NACE H - 53.10 Postal activities under universal service obligation</v>
      </c>
      <c r="K673" t="s">
        <v>3103</v>
      </c>
    </row>
    <row r="674" spans="1:11" x14ac:dyDescent="0.25">
      <c r="A674" s="6" t="s">
        <v>1912</v>
      </c>
      <c r="B674" t="s">
        <v>1913</v>
      </c>
      <c r="C674" s="7"/>
      <c r="D674" s="6" t="str">
        <f t="shared" si="14"/>
        <v>NACE H - 53.2 Other postal and courier activities</v>
      </c>
      <c r="K674" t="s">
        <v>3104</v>
      </c>
    </row>
    <row r="675" spans="1:11" x14ac:dyDescent="0.25">
      <c r="A675" s="7" t="s">
        <v>1914</v>
      </c>
      <c r="B675" t="s">
        <v>1915</v>
      </c>
      <c r="C675" s="7"/>
      <c r="D675" s="7" t="str">
        <f t="shared" si="14"/>
        <v>NACE H - 53.20 Other postal and courier activities</v>
      </c>
      <c r="K675" t="s">
        <v>3105</v>
      </c>
    </row>
    <row r="676" spans="1:11" x14ac:dyDescent="0.25">
      <c r="A676" s="6" t="s">
        <v>1916</v>
      </c>
      <c r="B676" t="s">
        <v>1917</v>
      </c>
      <c r="C676" s="7"/>
      <c r="D676" s="6" t="str">
        <f t="shared" si="14"/>
        <v>NACE H - 53.3 Intermediation service activities for postal and courier activities</v>
      </c>
      <c r="K676" t="s">
        <v>3266</v>
      </c>
    </row>
    <row r="677" spans="1:11" x14ac:dyDescent="0.25">
      <c r="A677" s="7" t="s">
        <v>1918</v>
      </c>
      <c r="B677" t="s">
        <v>1919</v>
      </c>
      <c r="C677" s="7"/>
      <c r="D677" s="7" t="str">
        <f t="shared" si="14"/>
        <v>NACE H - 53.30 Intermediation service activities for postal and courier activities</v>
      </c>
      <c r="K677" t="s">
        <v>3106</v>
      </c>
    </row>
    <row r="678" spans="1:11" x14ac:dyDescent="0.25">
      <c r="A678" s="4" t="s">
        <v>1920</v>
      </c>
      <c r="B678" t="s">
        <v>1921</v>
      </c>
      <c r="C678" s="7"/>
      <c r="D678" s="4" t="str">
        <f t="shared" si="14"/>
        <v>NACE I - ACCOMMODATION AND FOOD SERVICE ACTIVITIES</v>
      </c>
      <c r="K678" t="s">
        <v>3107</v>
      </c>
    </row>
    <row r="679" spans="1:11" x14ac:dyDescent="0.25">
      <c r="A679" s="5" t="s">
        <v>1922</v>
      </c>
      <c r="B679" t="s">
        <v>1923</v>
      </c>
      <c r="C679" s="7"/>
      <c r="D679" s="5" t="str">
        <f t="shared" si="14"/>
        <v>NACE I - 55 Accommodation</v>
      </c>
      <c r="K679" t="s">
        <v>3108</v>
      </c>
    </row>
    <row r="680" spans="1:11" x14ac:dyDescent="0.25">
      <c r="A680" s="6" t="s">
        <v>1924</v>
      </c>
      <c r="B680" t="s">
        <v>1925</v>
      </c>
      <c r="C680" s="7"/>
      <c r="D680" s="6" t="str">
        <f t="shared" si="14"/>
        <v>NACE I - 55.1 Hotels and similar accommodation</v>
      </c>
      <c r="K680" t="s">
        <v>3109</v>
      </c>
    </row>
    <row r="681" spans="1:11" x14ac:dyDescent="0.25">
      <c r="A681" s="7" t="s">
        <v>1926</v>
      </c>
      <c r="B681" t="s">
        <v>1927</v>
      </c>
      <c r="C681" s="7"/>
      <c r="D681" s="7" t="str">
        <f t="shared" si="14"/>
        <v>NACE I - 55.10 Hotels and similar accommodation</v>
      </c>
      <c r="K681" t="s">
        <v>3110</v>
      </c>
    </row>
    <row r="682" spans="1:11" x14ac:dyDescent="0.25">
      <c r="A682" s="6" t="s">
        <v>1928</v>
      </c>
      <c r="B682" t="s">
        <v>1929</v>
      </c>
      <c r="C682" s="7"/>
      <c r="D682" s="6" t="str">
        <f t="shared" si="14"/>
        <v>NACE I - 55.2 Holiday and other short-stay accommodation</v>
      </c>
      <c r="K682" t="s">
        <v>3111</v>
      </c>
    </row>
    <row r="683" spans="1:11" x14ac:dyDescent="0.25">
      <c r="A683" s="7" t="s">
        <v>1930</v>
      </c>
      <c r="B683" t="s">
        <v>1931</v>
      </c>
      <c r="C683" s="7"/>
      <c r="D683" s="7" t="str">
        <f t="shared" si="14"/>
        <v>NACE I - 55.20 Holiday and other short-stay accommodation</v>
      </c>
      <c r="K683" t="s">
        <v>3112</v>
      </c>
    </row>
    <row r="684" spans="1:11" x14ac:dyDescent="0.25">
      <c r="A684" s="6" t="s">
        <v>1932</v>
      </c>
      <c r="B684" t="s">
        <v>1933</v>
      </c>
      <c r="C684" s="7"/>
      <c r="D684" s="6" t="str">
        <f t="shared" si="14"/>
        <v>NACE I - 55.3 Camping grounds and recreational vehicle parks</v>
      </c>
      <c r="K684" t="s">
        <v>3113</v>
      </c>
    </row>
    <row r="685" spans="1:11" x14ac:dyDescent="0.25">
      <c r="A685" s="7" t="s">
        <v>1934</v>
      </c>
      <c r="B685" t="s">
        <v>1935</v>
      </c>
      <c r="C685" s="7"/>
      <c r="D685" s="7" t="str">
        <f t="shared" si="14"/>
        <v>NACE I - 55.30 Camping grounds and recreational vehicle parks</v>
      </c>
      <c r="K685" t="s">
        <v>3267</v>
      </c>
    </row>
    <row r="686" spans="1:11" x14ac:dyDescent="0.25">
      <c r="A686" s="6" t="s">
        <v>1936</v>
      </c>
      <c r="B686" t="s">
        <v>1937</v>
      </c>
      <c r="C686" s="7"/>
      <c r="D686" s="6" t="str">
        <f t="shared" si="14"/>
        <v>NACE I - 55.4 Intermediation service activities for accommodation</v>
      </c>
      <c r="K686" t="s">
        <v>3577</v>
      </c>
    </row>
    <row r="687" spans="1:11" x14ac:dyDescent="0.25">
      <c r="A687" s="7" t="s">
        <v>1938</v>
      </c>
      <c r="B687" t="s">
        <v>1939</v>
      </c>
      <c r="C687" s="7"/>
      <c r="D687" s="7" t="str">
        <f t="shared" si="14"/>
        <v>NACE I - 55.40 Intermediation service activities for accommodation</v>
      </c>
      <c r="K687" t="s">
        <v>3114</v>
      </c>
    </row>
    <row r="688" spans="1:11" x14ac:dyDescent="0.25">
      <c r="A688" s="6" t="s">
        <v>1940</v>
      </c>
      <c r="B688" t="s">
        <v>1941</v>
      </c>
      <c r="C688" s="7"/>
      <c r="D688" s="6" t="str">
        <f t="shared" si="14"/>
        <v>NACE I - 55.9 Other accommodation</v>
      </c>
      <c r="K688" t="s">
        <v>3578</v>
      </c>
    </row>
    <row r="689" spans="1:11" x14ac:dyDescent="0.25">
      <c r="A689" s="7" t="s">
        <v>1942</v>
      </c>
      <c r="B689" t="s">
        <v>1943</v>
      </c>
      <c r="C689" s="7"/>
      <c r="D689" s="7" t="str">
        <f t="shared" si="14"/>
        <v>NACE I - 55.90 Other accommodation</v>
      </c>
      <c r="K689" t="s">
        <v>3115</v>
      </c>
    </row>
    <row r="690" spans="1:11" x14ac:dyDescent="0.25">
      <c r="A690" s="5" t="s">
        <v>1944</v>
      </c>
      <c r="B690" t="s">
        <v>1945</v>
      </c>
      <c r="C690" s="7"/>
      <c r="D690" s="5" t="str">
        <f t="shared" si="14"/>
        <v>NACE I - 56 Food and beverage service activities</v>
      </c>
      <c r="K690" t="s">
        <v>3268</v>
      </c>
    </row>
    <row r="691" spans="1:11" x14ac:dyDescent="0.25">
      <c r="A691" s="6" t="s">
        <v>1946</v>
      </c>
      <c r="B691" t="s">
        <v>1947</v>
      </c>
      <c r="C691" s="7"/>
      <c r="D691" s="6" t="str">
        <f t="shared" si="14"/>
        <v>NACE I - 56.1 Restaurants and mobile food service activities</v>
      </c>
      <c r="K691" t="s">
        <v>3579</v>
      </c>
    </row>
    <row r="692" spans="1:11" x14ac:dyDescent="0.25">
      <c r="A692" s="7" t="s">
        <v>1948</v>
      </c>
      <c r="B692" t="s">
        <v>1949</v>
      </c>
      <c r="C692" s="7"/>
      <c r="D692" s="7" t="str">
        <f t="shared" si="14"/>
        <v>NACE I - 56.11 Restaurant activities</v>
      </c>
      <c r="K692" t="s">
        <v>3116</v>
      </c>
    </row>
    <row r="693" spans="1:11" x14ac:dyDescent="0.25">
      <c r="A693" s="7" t="s">
        <v>1950</v>
      </c>
      <c r="B693" t="s">
        <v>1951</v>
      </c>
      <c r="C693" s="7"/>
      <c r="D693" s="7" t="str">
        <f t="shared" si="14"/>
        <v>NACE I - 56.12 Mobile food service activities</v>
      </c>
      <c r="K693" t="s">
        <v>3269</v>
      </c>
    </row>
    <row r="694" spans="1:11" x14ac:dyDescent="0.25">
      <c r="A694" s="6" t="s">
        <v>1952</v>
      </c>
      <c r="B694" t="s">
        <v>1953</v>
      </c>
      <c r="C694" s="7"/>
      <c r="D694" s="6" t="str">
        <f t="shared" si="14"/>
        <v>NACE I - 56.2 Event catering, contract catering service activities and other food service activities</v>
      </c>
      <c r="K694" t="s">
        <v>3580</v>
      </c>
    </row>
    <row r="695" spans="1:11" x14ac:dyDescent="0.25">
      <c r="A695" s="7" t="s">
        <v>1954</v>
      </c>
      <c r="B695" t="s">
        <v>1955</v>
      </c>
      <c r="C695" s="7"/>
      <c r="D695" s="7" t="str">
        <f t="shared" si="14"/>
        <v>NACE I - 56.21 Event catering activities</v>
      </c>
      <c r="K695" t="s">
        <v>3313</v>
      </c>
    </row>
    <row r="696" spans="1:11" x14ac:dyDescent="0.25">
      <c r="A696" s="7" t="s">
        <v>1956</v>
      </c>
      <c r="B696" t="s">
        <v>1957</v>
      </c>
      <c r="C696" s="7"/>
      <c r="D696" s="7" t="str">
        <f t="shared" si="14"/>
        <v>NACE I - 56.22 Contract catering service activities and other food service activities</v>
      </c>
      <c r="K696" t="s">
        <v>2769</v>
      </c>
    </row>
    <row r="697" spans="1:11" x14ac:dyDescent="0.25">
      <c r="A697" s="6" t="s">
        <v>1958</v>
      </c>
      <c r="B697" t="s">
        <v>1959</v>
      </c>
      <c r="C697" s="7"/>
      <c r="D697" s="6" t="str">
        <f t="shared" si="14"/>
        <v>NACE I - 56.3 Beverage serving activities</v>
      </c>
      <c r="K697" t="s">
        <v>3270</v>
      </c>
    </row>
    <row r="698" spans="1:11" x14ac:dyDescent="0.25">
      <c r="A698" s="7" t="s">
        <v>1960</v>
      </c>
      <c r="B698" t="s">
        <v>1961</v>
      </c>
      <c r="C698" s="7"/>
      <c r="D698" s="7" t="str">
        <f t="shared" si="14"/>
        <v>NACE I - 56.30 Beverage serving activities</v>
      </c>
      <c r="K698" t="s">
        <v>3117</v>
      </c>
    </row>
    <row r="699" spans="1:11" x14ac:dyDescent="0.25">
      <c r="A699" s="6" t="s">
        <v>1962</v>
      </c>
      <c r="B699" t="s">
        <v>1963</v>
      </c>
      <c r="C699" s="7"/>
      <c r="D699" s="6" t="str">
        <f t="shared" si="14"/>
        <v>NACE I - 56.4 Intermediation service activities for food and beverage services activities</v>
      </c>
      <c r="K699" t="s">
        <v>3118</v>
      </c>
    </row>
    <row r="700" spans="1:11" x14ac:dyDescent="0.25">
      <c r="A700" s="7" t="s">
        <v>1964</v>
      </c>
      <c r="B700" t="s">
        <v>1965</v>
      </c>
      <c r="C700" s="7"/>
      <c r="D700" s="7" t="str">
        <f t="shared" si="14"/>
        <v>NACE I - 56.40 Intermediation service activities for food and beverage services activities</v>
      </c>
      <c r="K700" t="s">
        <v>3581</v>
      </c>
    </row>
    <row r="701" spans="1:11" x14ac:dyDescent="0.25">
      <c r="A701" s="4" t="s">
        <v>1966</v>
      </c>
      <c r="B701" t="s">
        <v>1967</v>
      </c>
      <c r="C701" s="7"/>
      <c r="D701" s="4" t="str">
        <f t="shared" si="14"/>
        <v>NACE J - PUBLISHING, BROADCASTING, AND CONTENT PRODUCTION AND DISTRIBUTION ACTIVITIES</v>
      </c>
      <c r="K701" t="s">
        <v>3119</v>
      </c>
    </row>
    <row r="702" spans="1:11" x14ac:dyDescent="0.25">
      <c r="A702" s="5" t="s">
        <v>1968</v>
      </c>
      <c r="B702" t="s">
        <v>1969</v>
      </c>
      <c r="C702" s="7"/>
      <c r="D702" s="5" t="str">
        <f t="shared" si="14"/>
        <v>NACE J - 58 Publishing activities</v>
      </c>
      <c r="K702" t="s">
        <v>3582</v>
      </c>
    </row>
    <row r="703" spans="1:11" x14ac:dyDescent="0.25">
      <c r="A703" s="6" t="s">
        <v>1970</v>
      </c>
      <c r="B703" t="s">
        <v>1971</v>
      </c>
      <c r="C703" s="7"/>
      <c r="D703" s="6" t="str">
        <f t="shared" si="14"/>
        <v>NACE J - 58.1 Publishing of books, newspapers and other publishing activities, except software publishing</v>
      </c>
      <c r="K703" t="s">
        <v>3314</v>
      </c>
    </row>
    <row r="704" spans="1:11" x14ac:dyDescent="0.25">
      <c r="A704" s="7" t="s">
        <v>1972</v>
      </c>
      <c r="B704" t="s">
        <v>1973</v>
      </c>
      <c r="C704" s="7"/>
      <c r="D704" s="7" t="str">
        <f t="shared" si="14"/>
        <v>NACE J - 58.11 Publishing of books</v>
      </c>
      <c r="K704" t="s">
        <v>3583</v>
      </c>
    </row>
    <row r="705" spans="1:11" x14ac:dyDescent="0.25">
      <c r="A705" s="7" t="s">
        <v>1974</v>
      </c>
      <c r="B705" t="s">
        <v>1975</v>
      </c>
      <c r="C705" s="7"/>
      <c r="D705" s="7" t="str">
        <f t="shared" si="14"/>
        <v>NACE J - 58.12 Publishing of newspapers</v>
      </c>
      <c r="K705" t="s">
        <v>3315</v>
      </c>
    </row>
    <row r="706" spans="1:11" x14ac:dyDescent="0.25">
      <c r="A706" s="7" t="s">
        <v>1976</v>
      </c>
      <c r="B706" t="s">
        <v>1977</v>
      </c>
      <c r="C706" s="7"/>
      <c r="D706" s="7" t="str">
        <f t="shared" ref="D706:D769" si="15">_xlfn.CONCAT("NACE ", A706)</f>
        <v>NACE J - 58.13 Publishing of journals and periodicals</v>
      </c>
      <c r="K706" t="s">
        <v>3584</v>
      </c>
    </row>
    <row r="707" spans="1:11" x14ac:dyDescent="0.25">
      <c r="A707" s="7" t="s">
        <v>1978</v>
      </c>
      <c r="B707" t="s">
        <v>1979</v>
      </c>
      <c r="C707" s="7"/>
      <c r="D707" s="7" t="str">
        <f t="shared" si="15"/>
        <v>NACE J - 58.19 Other publishing activities, except software publishing</v>
      </c>
      <c r="K707" t="s">
        <v>3271</v>
      </c>
    </row>
    <row r="708" spans="1:11" x14ac:dyDescent="0.25">
      <c r="A708" s="6" t="s">
        <v>1980</v>
      </c>
      <c r="B708" t="s">
        <v>1981</v>
      </c>
      <c r="C708" s="7"/>
      <c r="D708" s="6" t="str">
        <f t="shared" si="15"/>
        <v>NACE J - 58.2 Software publishing</v>
      </c>
      <c r="K708" t="s">
        <v>3120</v>
      </c>
    </row>
    <row r="709" spans="1:11" x14ac:dyDescent="0.25">
      <c r="A709" s="7" t="s">
        <v>1982</v>
      </c>
      <c r="B709" t="s">
        <v>1983</v>
      </c>
      <c r="C709" s="7"/>
      <c r="D709" s="7" t="str">
        <f t="shared" si="15"/>
        <v>NACE J - 58.21 Publishing of video games</v>
      </c>
      <c r="K709" t="s">
        <v>3585</v>
      </c>
    </row>
    <row r="710" spans="1:11" x14ac:dyDescent="0.25">
      <c r="A710" s="7" t="s">
        <v>1984</v>
      </c>
      <c r="B710" t="s">
        <v>1985</v>
      </c>
      <c r="C710" s="7"/>
      <c r="D710" s="7" t="str">
        <f t="shared" si="15"/>
        <v>NACE J - 58.29 Other software publishing</v>
      </c>
      <c r="K710" t="s">
        <v>3121</v>
      </c>
    </row>
    <row r="711" spans="1:11" x14ac:dyDescent="0.25">
      <c r="A711" s="5" t="s">
        <v>1986</v>
      </c>
      <c r="B711" t="s">
        <v>1987</v>
      </c>
      <c r="C711" s="7"/>
      <c r="D711" s="5" t="str">
        <f t="shared" si="15"/>
        <v>NACE J - 59 Motion picture, video and television programme production, sound recording and music publishing activities</v>
      </c>
      <c r="K711" t="s">
        <v>3586</v>
      </c>
    </row>
    <row r="712" spans="1:11" x14ac:dyDescent="0.25">
      <c r="A712" s="6" t="s">
        <v>1988</v>
      </c>
      <c r="B712" t="s">
        <v>1989</v>
      </c>
      <c r="C712" s="7"/>
      <c r="D712" s="6" t="str">
        <f t="shared" si="15"/>
        <v>NACE J - 59.1 Motion picture, video and television programme activities</v>
      </c>
      <c r="K712" t="s">
        <v>3316</v>
      </c>
    </row>
    <row r="713" spans="1:11" x14ac:dyDescent="0.25">
      <c r="A713" s="7" t="s">
        <v>1990</v>
      </c>
      <c r="B713" t="s">
        <v>1991</v>
      </c>
      <c r="C713" s="7"/>
      <c r="D713" s="7" t="str">
        <f t="shared" si="15"/>
        <v>NACE J - 59.11 Motion picture, video and television programme production activities</v>
      </c>
      <c r="K713" t="s">
        <v>3587</v>
      </c>
    </row>
    <row r="714" spans="1:11" x14ac:dyDescent="0.25">
      <c r="A714" s="7" t="s">
        <v>1992</v>
      </c>
      <c r="B714" t="s">
        <v>1993</v>
      </c>
      <c r="C714" s="7"/>
      <c r="D714" s="7" t="str">
        <f t="shared" si="15"/>
        <v>NACE J - 59.12 Motion picture, video and television programme post-production activities</v>
      </c>
      <c r="K714" t="s">
        <v>3272</v>
      </c>
    </row>
    <row r="715" spans="1:11" x14ac:dyDescent="0.25">
      <c r="A715" s="7" t="s">
        <v>1994</v>
      </c>
      <c r="B715" t="s">
        <v>1995</v>
      </c>
      <c r="C715" s="7"/>
      <c r="D715" s="7" t="str">
        <f t="shared" si="15"/>
        <v>NACE J - 59.13 Motion picture and video distribution activities</v>
      </c>
      <c r="K715" t="s">
        <v>2770</v>
      </c>
    </row>
    <row r="716" spans="1:11" x14ac:dyDescent="0.25">
      <c r="A716" s="7" t="s">
        <v>1996</v>
      </c>
      <c r="B716" t="s">
        <v>1997</v>
      </c>
      <c r="C716" s="7"/>
      <c r="D716" s="7" t="str">
        <f t="shared" si="15"/>
        <v>NACE J - 59.14 Motion picture projection activities</v>
      </c>
      <c r="K716" t="s">
        <v>3273</v>
      </c>
    </row>
    <row r="717" spans="1:11" x14ac:dyDescent="0.25">
      <c r="A717" s="6" t="s">
        <v>1998</v>
      </c>
      <c r="B717" t="s">
        <v>1999</v>
      </c>
      <c r="C717" s="7"/>
      <c r="D717" s="6" t="str">
        <f t="shared" si="15"/>
        <v>NACE J - 59.2 Sound recording and music publishing activities</v>
      </c>
      <c r="K717" t="s">
        <v>3122</v>
      </c>
    </row>
    <row r="718" spans="1:11" x14ac:dyDescent="0.25">
      <c r="A718" s="7" t="s">
        <v>2000</v>
      </c>
      <c r="B718" t="s">
        <v>2001</v>
      </c>
      <c r="C718" s="7"/>
      <c r="D718" s="7" t="str">
        <f t="shared" si="15"/>
        <v>NACE J - 59.20 Sound recording and music publishing activities</v>
      </c>
      <c r="K718" t="s">
        <v>3588</v>
      </c>
    </row>
    <row r="719" spans="1:11" x14ac:dyDescent="0.25">
      <c r="A719" s="5" t="s">
        <v>2002</v>
      </c>
      <c r="B719" t="s">
        <v>2003</v>
      </c>
      <c r="C719" s="7"/>
      <c r="D719" s="5" t="str">
        <f t="shared" si="15"/>
        <v>NACE J - 60 Programming, broadcasting, news agency and other content distribution activities</v>
      </c>
      <c r="K719" t="s">
        <v>3589</v>
      </c>
    </row>
    <row r="720" spans="1:11" x14ac:dyDescent="0.25">
      <c r="A720" s="6" t="s">
        <v>2004</v>
      </c>
      <c r="B720" t="s">
        <v>2005</v>
      </c>
      <c r="C720" s="7"/>
      <c r="D720" s="6" t="str">
        <f t="shared" si="15"/>
        <v>NACE J - 60.1 Radio broadcasting and audio distribution activities</v>
      </c>
      <c r="K720" t="s">
        <v>3590</v>
      </c>
    </row>
    <row r="721" spans="1:11" x14ac:dyDescent="0.25">
      <c r="A721" s="7" t="s">
        <v>2006</v>
      </c>
      <c r="B721" t="s">
        <v>2007</v>
      </c>
      <c r="C721" s="7"/>
      <c r="D721" s="7" t="str">
        <f t="shared" si="15"/>
        <v>NACE J - 60.10 Radio broadcasting and audio distribution activities</v>
      </c>
      <c r="K721" t="s">
        <v>3591</v>
      </c>
    </row>
    <row r="722" spans="1:11" x14ac:dyDescent="0.25">
      <c r="A722" s="6" t="s">
        <v>2008</v>
      </c>
      <c r="B722" t="s">
        <v>2009</v>
      </c>
      <c r="C722" s="7"/>
      <c r="D722" s="6" t="str">
        <f t="shared" si="15"/>
        <v>NACE J - 60.2 Television programming, broadcasting and video distribution activities</v>
      </c>
      <c r="K722" t="s">
        <v>3592</v>
      </c>
    </row>
    <row r="723" spans="1:11" x14ac:dyDescent="0.25">
      <c r="A723" s="7" t="s">
        <v>2010</v>
      </c>
      <c r="B723" t="s">
        <v>2011</v>
      </c>
      <c r="C723" s="7"/>
      <c r="D723" s="7" t="str">
        <f t="shared" si="15"/>
        <v>NACE J - 60.20 Television programming, broadcasting and video distribution activities</v>
      </c>
      <c r="K723" t="s">
        <v>3317</v>
      </c>
    </row>
    <row r="724" spans="1:11" x14ac:dyDescent="0.25">
      <c r="A724" s="6" t="s">
        <v>2012</v>
      </c>
      <c r="B724" t="s">
        <v>2013</v>
      </c>
      <c r="C724" s="7"/>
      <c r="D724" s="6" t="str">
        <f t="shared" si="15"/>
        <v>NACE J - 60.3 News agency and other content distribution activities</v>
      </c>
      <c r="K724" t="s">
        <v>3593</v>
      </c>
    </row>
    <row r="725" spans="1:11" x14ac:dyDescent="0.25">
      <c r="A725" s="7" t="s">
        <v>2014</v>
      </c>
      <c r="B725" t="s">
        <v>2015</v>
      </c>
      <c r="C725" s="7"/>
      <c r="D725" s="7" t="str">
        <f t="shared" si="15"/>
        <v>NACE J - 60.31 News agency activities</v>
      </c>
      <c r="K725" t="s">
        <v>3318</v>
      </c>
    </row>
    <row r="726" spans="1:11" x14ac:dyDescent="0.25">
      <c r="A726" s="7" t="s">
        <v>2016</v>
      </c>
      <c r="B726" t="s">
        <v>2017</v>
      </c>
      <c r="C726" s="7"/>
      <c r="D726" s="7" t="str">
        <f t="shared" si="15"/>
        <v>NACE J - 60.39 Other content distribution activities</v>
      </c>
      <c r="K726" t="s">
        <v>3594</v>
      </c>
    </row>
    <row r="727" spans="1:11" x14ac:dyDescent="0.25">
      <c r="A727" s="4" t="s">
        <v>2018</v>
      </c>
      <c r="B727" t="s">
        <v>2019</v>
      </c>
      <c r="C727" s="7"/>
      <c r="D727" s="4" t="str">
        <f t="shared" si="15"/>
        <v>NACE K - TELECOMMUNICATION, COMPUTER PROGRAMMING, CONSULTING, COMPUTING INFRASTRUCTURE AND OTHER INFORMATION SERVICE ACTIVITIES</v>
      </c>
      <c r="K727" t="s">
        <v>3319</v>
      </c>
    </row>
    <row r="728" spans="1:11" x14ac:dyDescent="0.25">
      <c r="A728" s="5" t="s">
        <v>2020</v>
      </c>
      <c r="B728" t="s">
        <v>2021</v>
      </c>
      <c r="C728" s="7"/>
      <c r="D728" s="5" t="str">
        <f t="shared" si="15"/>
        <v>NACE K - 61 Telecommunication</v>
      </c>
      <c r="K728" t="s">
        <v>3595</v>
      </c>
    </row>
    <row r="729" spans="1:11" x14ac:dyDescent="0.25">
      <c r="A729" s="6" t="s">
        <v>2022</v>
      </c>
      <c r="B729" t="s">
        <v>2023</v>
      </c>
      <c r="C729" s="7"/>
      <c r="D729" s="6" t="str">
        <f t="shared" si="15"/>
        <v>NACE K - 61.1 Wired, wireless, and satellite telecommunication activities</v>
      </c>
      <c r="K729" t="s">
        <v>3320</v>
      </c>
    </row>
    <row r="730" spans="1:11" x14ac:dyDescent="0.25">
      <c r="A730" s="7" t="s">
        <v>2024</v>
      </c>
      <c r="B730" t="s">
        <v>2025</v>
      </c>
      <c r="C730" s="7"/>
      <c r="D730" s="7" t="str">
        <f t="shared" si="15"/>
        <v>NACE K - 61.10 Wired, wireless, and satellite telecommunication activities</v>
      </c>
      <c r="K730" t="s">
        <v>3123</v>
      </c>
    </row>
    <row r="731" spans="1:11" x14ac:dyDescent="0.25">
      <c r="A731" s="6" t="s">
        <v>2026</v>
      </c>
      <c r="B731" t="s">
        <v>2027</v>
      </c>
      <c r="C731" s="7"/>
      <c r="D731" s="6" t="str">
        <f t="shared" si="15"/>
        <v>NACE K - 61.2 Telecommunication reselling activities and intermediation service activities for telecommunication</v>
      </c>
      <c r="K731" t="s">
        <v>3274</v>
      </c>
    </row>
    <row r="732" spans="1:11" x14ac:dyDescent="0.25">
      <c r="A732" s="7" t="s">
        <v>2028</v>
      </c>
      <c r="B732" t="s">
        <v>2029</v>
      </c>
      <c r="C732" s="7"/>
      <c r="D732" s="7" t="str">
        <f t="shared" si="15"/>
        <v>NACE K - 61.20 Telecommunication reselling activities and intermediation service activities for telecommunication</v>
      </c>
      <c r="K732" t="s">
        <v>3596</v>
      </c>
    </row>
    <row r="733" spans="1:11" x14ac:dyDescent="0.25">
      <c r="A733" s="6" t="s">
        <v>2030</v>
      </c>
      <c r="B733" t="s">
        <v>2031</v>
      </c>
      <c r="C733" s="7"/>
      <c r="D733" s="6" t="str">
        <f t="shared" si="15"/>
        <v>NACE K - 61.9 Other telecommunication activities</v>
      </c>
      <c r="K733" t="s">
        <v>3124</v>
      </c>
    </row>
    <row r="734" spans="1:11" x14ac:dyDescent="0.25">
      <c r="A734" s="7" t="s">
        <v>2032</v>
      </c>
      <c r="B734" t="s">
        <v>2033</v>
      </c>
      <c r="C734" s="7"/>
      <c r="D734" s="7" t="str">
        <f t="shared" si="15"/>
        <v>NACE K - 61.90 Other telecommunication activities</v>
      </c>
      <c r="K734" t="s">
        <v>3597</v>
      </c>
    </row>
    <row r="735" spans="1:11" x14ac:dyDescent="0.25">
      <c r="A735" s="5" t="s">
        <v>2034</v>
      </c>
      <c r="B735" t="s">
        <v>2035</v>
      </c>
      <c r="C735" s="7"/>
      <c r="D735" s="5" t="str">
        <f t="shared" si="15"/>
        <v>NACE K - 62 Computer programming, consultancy and related activities</v>
      </c>
      <c r="K735" t="s">
        <v>3275</v>
      </c>
    </row>
    <row r="736" spans="1:11" x14ac:dyDescent="0.25">
      <c r="A736" s="6" t="s">
        <v>2036</v>
      </c>
      <c r="B736" t="s">
        <v>2037</v>
      </c>
      <c r="C736" s="7"/>
      <c r="D736" s="6" t="str">
        <f t="shared" si="15"/>
        <v>NACE K - 62.1 Computer programming activities</v>
      </c>
      <c r="K736" t="s">
        <v>3598</v>
      </c>
    </row>
    <row r="737" spans="1:11" x14ac:dyDescent="0.25">
      <c r="A737" s="7" t="s">
        <v>2038</v>
      </c>
      <c r="B737" t="s">
        <v>2039</v>
      </c>
      <c r="C737" s="7"/>
      <c r="D737" s="7" t="str">
        <f t="shared" si="15"/>
        <v>NACE K - 62.10 Computer programming activities</v>
      </c>
      <c r="K737" t="s">
        <v>3321</v>
      </c>
    </row>
    <row r="738" spans="1:11" x14ac:dyDescent="0.25">
      <c r="A738" s="6" t="s">
        <v>2040</v>
      </c>
      <c r="B738" t="s">
        <v>2041</v>
      </c>
      <c r="C738" s="7"/>
      <c r="D738" s="6" t="str">
        <f t="shared" si="15"/>
        <v>NACE K - 62.2 Computer consultancy and computer facilities management activities</v>
      </c>
      <c r="K738" t="s">
        <v>3599</v>
      </c>
    </row>
    <row r="739" spans="1:11" x14ac:dyDescent="0.25">
      <c r="A739" s="7" t="s">
        <v>2042</v>
      </c>
      <c r="B739" t="s">
        <v>2043</v>
      </c>
      <c r="C739" s="7"/>
      <c r="D739" s="7" t="str">
        <f t="shared" si="15"/>
        <v>NACE K - 62.20 Computer consultancy and computer facilities management activities</v>
      </c>
      <c r="K739" t="s">
        <v>3322</v>
      </c>
    </row>
    <row r="740" spans="1:11" x14ac:dyDescent="0.25">
      <c r="A740" s="6" t="s">
        <v>2044</v>
      </c>
      <c r="B740" t="s">
        <v>2045</v>
      </c>
      <c r="C740" s="7"/>
      <c r="D740" s="6" t="str">
        <f t="shared" si="15"/>
        <v>NACE K - 62.9 Other information technology and computer service activities</v>
      </c>
      <c r="K740" t="s">
        <v>3276</v>
      </c>
    </row>
    <row r="741" spans="1:11" x14ac:dyDescent="0.25">
      <c r="A741" s="7" t="s">
        <v>2046</v>
      </c>
      <c r="B741" t="s">
        <v>2047</v>
      </c>
      <c r="C741" s="7"/>
      <c r="D741" s="7" t="str">
        <f t="shared" si="15"/>
        <v>NACE K - 62.90 Other information technology and computer service activities</v>
      </c>
      <c r="K741" t="s">
        <v>3125</v>
      </c>
    </row>
    <row r="742" spans="1:11" x14ac:dyDescent="0.25">
      <c r="A742" s="5" t="s">
        <v>2048</v>
      </c>
      <c r="B742" t="s">
        <v>2049</v>
      </c>
      <c r="C742" s="7"/>
      <c r="D742" s="5" t="str">
        <f t="shared" si="15"/>
        <v>NACE K - 63 Computing infrastructure, data processing, hosting and other information service activities</v>
      </c>
      <c r="K742" t="s">
        <v>3600</v>
      </c>
    </row>
    <row r="743" spans="1:11" x14ac:dyDescent="0.25">
      <c r="A743" s="6" t="s">
        <v>2050</v>
      </c>
      <c r="B743" t="s">
        <v>2051</v>
      </c>
      <c r="C743" s="7"/>
      <c r="D743" s="6" t="str">
        <f t="shared" si="15"/>
        <v>NACE K - 63.1 Computing infrastructure, data processing, hosting and related activities</v>
      </c>
      <c r="K743" t="s">
        <v>3601</v>
      </c>
    </row>
    <row r="744" spans="1:11" x14ac:dyDescent="0.25">
      <c r="A744" s="7" t="s">
        <v>2052</v>
      </c>
      <c r="B744" t="s">
        <v>2053</v>
      </c>
      <c r="C744" s="7"/>
      <c r="D744" s="7" t="str">
        <f t="shared" si="15"/>
        <v>NACE K - 63.10 Computing infrastructure, data processing, hosting and related activities</v>
      </c>
      <c r="K744" t="s">
        <v>3126</v>
      </c>
    </row>
    <row r="745" spans="1:11" x14ac:dyDescent="0.25">
      <c r="A745" s="6" t="s">
        <v>2054</v>
      </c>
      <c r="B745" t="s">
        <v>2055</v>
      </c>
      <c r="C745" s="7"/>
      <c r="D745" s="6" t="str">
        <f t="shared" si="15"/>
        <v>NACE K - 63.9 Web search portal activities and other information service activities</v>
      </c>
      <c r="K745" t="s">
        <v>3277</v>
      </c>
    </row>
    <row r="746" spans="1:11" x14ac:dyDescent="0.25">
      <c r="A746" s="7" t="s">
        <v>2056</v>
      </c>
      <c r="B746" t="s">
        <v>2057</v>
      </c>
      <c r="C746" s="7"/>
      <c r="D746" s="7" t="str">
        <f t="shared" si="15"/>
        <v>NACE K - 63.91 Web search portal activities</v>
      </c>
      <c r="K746" t="s">
        <v>3127</v>
      </c>
    </row>
    <row r="747" spans="1:11" x14ac:dyDescent="0.25">
      <c r="A747" s="7" t="s">
        <v>2058</v>
      </c>
      <c r="B747" t="s">
        <v>2059</v>
      </c>
      <c r="C747" s="7"/>
      <c r="D747" s="7" t="str">
        <f t="shared" si="15"/>
        <v>NACE K - 63.92 Other information service activities</v>
      </c>
      <c r="K747" t="s">
        <v>3128</v>
      </c>
    </row>
    <row r="748" spans="1:11" x14ac:dyDescent="0.25">
      <c r="A748" s="4" t="s">
        <v>2060</v>
      </c>
      <c r="B748" t="s">
        <v>2061</v>
      </c>
      <c r="C748" s="7"/>
      <c r="D748" s="4" t="str">
        <f t="shared" si="15"/>
        <v>NACE L - FINANCIAL AND INSURANCE ACTIVITIES</v>
      </c>
      <c r="K748" t="s">
        <v>3129</v>
      </c>
    </row>
    <row r="749" spans="1:11" x14ac:dyDescent="0.25">
      <c r="A749" s="5" t="s">
        <v>2062</v>
      </c>
      <c r="B749" t="s">
        <v>2063</v>
      </c>
      <c r="C749" s="7"/>
      <c r="D749" s="5" t="str">
        <f t="shared" si="15"/>
        <v>NACE L - 64 Financial service activities, except insurance and pension funding</v>
      </c>
      <c r="K749" t="s">
        <v>3130</v>
      </c>
    </row>
    <row r="750" spans="1:11" x14ac:dyDescent="0.25">
      <c r="A750" s="6" t="s">
        <v>2064</v>
      </c>
      <c r="B750" t="s">
        <v>2065</v>
      </c>
      <c r="C750" s="7"/>
      <c r="D750" s="6" t="str">
        <f t="shared" si="15"/>
        <v>NACE L - 64.1 Monetary intermediation</v>
      </c>
      <c r="K750" t="s">
        <v>3278</v>
      </c>
    </row>
    <row r="751" spans="1:11" x14ac:dyDescent="0.25">
      <c r="A751" s="7" t="s">
        <v>2066</v>
      </c>
      <c r="B751" t="s">
        <v>2067</v>
      </c>
      <c r="C751" s="7"/>
      <c r="D751" s="7" t="str">
        <f t="shared" si="15"/>
        <v>NACE L - 64.11 Central banking</v>
      </c>
      <c r="K751" t="s">
        <v>3131</v>
      </c>
    </row>
    <row r="752" spans="1:11" x14ac:dyDescent="0.25">
      <c r="A752" s="7" t="s">
        <v>2068</v>
      </c>
      <c r="B752" t="s">
        <v>2069</v>
      </c>
      <c r="C752" s="7"/>
      <c r="D752" s="7" t="str">
        <f t="shared" si="15"/>
        <v>NACE L - 64.19 Other monetary intermediation</v>
      </c>
      <c r="K752" t="s">
        <v>3132</v>
      </c>
    </row>
    <row r="753" spans="1:11" x14ac:dyDescent="0.25">
      <c r="A753" s="6" t="s">
        <v>2070</v>
      </c>
      <c r="B753" t="s">
        <v>2071</v>
      </c>
      <c r="C753" s="7"/>
      <c r="D753" s="6" t="str">
        <f t="shared" si="15"/>
        <v>NACE L - 64.2 Activities of holding companies and financing conduits</v>
      </c>
      <c r="K753" t="s">
        <v>3133</v>
      </c>
    </row>
    <row r="754" spans="1:11" x14ac:dyDescent="0.25">
      <c r="A754" s="7" t="s">
        <v>2072</v>
      </c>
      <c r="B754" t="s">
        <v>2073</v>
      </c>
      <c r="C754" s="7"/>
      <c r="D754" s="7" t="str">
        <f t="shared" si="15"/>
        <v>NACE L - 64.21 Activities of holding companies</v>
      </c>
      <c r="K754" t="s">
        <v>3279</v>
      </c>
    </row>
    <row r="755" spans="1:11" x14ac:dyDescent="0.25">
      <c r="A755" s="7" t="s">
        <v>2074</v>
      </c>
      <c r="B755" t="s">
        <v>2075</v>
      </c>
      <c r="C755" s="7"/>
      <c r="D755" s="7" t="str">
        <f t="shared" si="15"/>
        <v>NACE L - 64.22 Activities of financing conduits</v>
      </c>
      <c r="K755" t="s">
        <v>3134</v>
      </c>
    </row>
    <row r="756" spans="1:11" x14ac:dyDescent="0.25">
      <c r="A756" s="6" t="s">
        <v>2076</v>
      </c>
      <c r="B756" t="s">
        <v>2077</v>
      </c>
      <c r="C756" s="7"/>
      <c r="D756" s="6" t="str">
        <f t="shared" si="15"/>
        <v>NACE L - 64.3 Activities of trusts, funds and similar financial entities</v>
      </c>
      <c r="K756" t="s">
        <v>3280</v>
      </c>
    </row>
    <row r="757" spans="1:11" x14ac:dyDescent="0.25">
      <c r="A757" s="7" t="s">
        <v>2078</v>
      </c>
      <c r="B757" t="s">
        <v>2079</v>
      </c>
      <c r="C757" s="7"/>
      <c r="D757" s="7" t="str">
        <f t="shared" si="15"/>
        <v>NACE L - 64.31 Activities of money market and non-money market investments funds</v>
      </c>
      <c r="K757" t="s">
        <v>3135</v>
      </c>
    </row>
    <row r="758" spans="1:11" x14ac:dyDescent="0.25">
      <c r="A758" s="7" t="s">
        <v>2080</v>
      </c>
      <c r="B758" t="s">
        <v>2081</v>
      </c>
      <c r="C758" s="7"/>
      <c r="D758" s="7" t="str">
        <f t="shared" si="15"/>
        <v>NACE L - 64.32 Activities of trust, estate and agency accounts</v>
      </c>
      <c r="K758" t="s">
        <v>3136</v>
      </c>
    </row>
    <row r="759" spans="1:11" x14ac:dyDescent="0.25">
      <c r="A759" s="6" t="s">
        <v>2082</v>
      </c>
      <c r="B759" t="s">
        <v>2083</v>
      </c>
      <c r="C759" s="7"/>
      <c r="D759" s="6" t="str">
        <f t="shared" si="15"/>
        <v>NACE L - 64.9 Other financial service activities, except insurance and pension funding</v>
      </c>
      <c r="K759" t="s">
        <v>3602</v>
      </c>
    </row>
    <row r="760" spans="1:11" x14ac:dyDescent="0.25">
      <c r="A760" s="7" t="s">
        <v>2084</v>
      </c>
      <c r="B760" t="s">
        <v>2085</v>
      </c>
      <c r="C760" s="7"/>
      <c r="D760" s="7" t="str">
        <f t="shared" si="15"/>
        <v>NACE L - 64.91 Financial leasing</v>
      </c>
      <c r="K760" t="s">
        <v>3137</v>
      </c>
    </row>
    <row r="761" spans="1:11" x14ac:dyDescent="0.25">
      <c r="A761" s="7" t="s">
        <v>2086</v>
      </c>
      <c r="B761" t="s">
        <v>2087</v>
      </c>
      <c r="C761" s="7"/>
      <c r="D761" s="7" t="str">
        <f t="shared" si="15"/>
        <v>NACE L - 64.92 Other credit granting</v>
      </c>
      <c r="K761" t="s">
        <v>3138</v>
      </c>
    </row>
    <row r="762" spans="1:11" x14ac:dyDescent="0.25">
      <c r="A762" s="7" t="s">
        <v>2088</v>
      </c>
      <c r="B762" t="s">
        <v>2089</v>
      </c>
      <c r="C762" s="7"/>
      <c r="D762" s="7" t="str">
        <f t="shared" si="15"/>
        <v>NACE L - 64.99 Other financial service activities, except insurance and pension funding n.e.c.</v>
      </c>
      <c r="K762" t="s">
        <v>3603</v>
      </c>
    </row>
    <row r="763" spans="1:11" x14ac:dyDescent="0.25">
      <c r="A763" s="5" t="s">
        <v>2090</v>
      </c>
      <c r="B763" t="s">
        <v>2091</v>
      </c>
      <c r="C763" s="7"/>
      <c r="D763" s="5" t="str">
        <f t="shared" si="15"/>
        <v>NACE L - 65 Insurance, reinsurance and pension funding, except compulsory social security</v>
      </c>
      <c r="K763" t="s">
        <v>3604</v>
      </c>
    </row>
    <row r="764" spans="1:11" x14ac:dyDescent="0.25">
      <c r="A764" s="6" t="s">
        <v>2092</v>
      </c>
      <c r="B764" t="s">
        <v>2093</v>
      </c>
      <c r="C764" s="7"/>
      <c r="D764" s="6" t="str">
        <f t="shared" si="15"/>
        <v>NACE L - 65.1 Insurance</v>
      </c>
      <c r="K764" t="s">
        <v>3139</v>
      </c>
    </row>
    <row r="765" spans="1:11" x14ac:dyDescent="0.25">
      <c r="A765" s="7" t="s">
        <v>2094</v>
      </c>
      <c r="B765" t="s">
        <v>2095</v>
      </c>
      <c r="C765" s="7"/>
      <c r="D765" s="7" t="str">
        <f t="shared" si="15"/>
        <v>NACE L - 65.11 Life insurance</v>
      </c>
      <c r="K765" t="s">
        <v>3281</v>
      </c>
    </row>
    <row r="766" spans="1:11" x14ac:dyDescent="0.25">
      <c r="A766" s="7" t="s">
        <v>2096</v>
      </c>
      <c r="B766" t="s">
        <v>2097</v>
      </c>
      <c r="C766" s="7"/>
      <c r="D766" s="7" t="str">
        <f t="shared" si="15"/>
        <v>NACE L - 65.12 Non-life insurance</v>
      </c>
      <c r="K766" t="s">
        <v>3140</v>
      </c>
    </row>
    <row r="767" spans="1:11" x14ac:dyDescent="0.25">
      <c r="A767" s="6" t="s">
        <v>2098</v>
      </c>
      <c r="B767" t="s">
        <v>2099</v>
      </c>
      <c r="C767" s="7"/>
      <c r="D767" s="6" t="str">
        <f t="shared" si="15"/>
        <v>NACE L - 65.2 Reinsurance</v>
      </c>
      <c r="K767" t="s">
        <v>3141</v>
      </c>
    </row>
    <row r="768" spans="1:11" x14ac:dyDescent="0.25">
      <c r="A768" s="7" t="s">
        <v>2100</v>
      </c>
      <c r="B768" t="s">
        <v>2101</v>
      </c>
      <c r="C768" s="7"/>
      <c r="D768" s="7" t="str">
        <f t="shared" si="15"/>
        <v>NACE L - 65.20 Reinsurance</v>
      </c>
      <c r="K768" t="s">
        <v>3142</v>
      </c>
    </row>
    <row r="769" spans="1:11" x14ac:dyDescent="0.25">
      <c r="A769" s="6" t="s">
        <v>2102</v>
      </c>
      <c r="B769" t="s">
        <v>2103</v>
      </c>
      <c r="C769" s="7"/>
      <c r="D769" s="6" t="str">
        <f t="shared" si="15"/>
        <v>NACE L - 65.3 Pension funding</v>
      </c>
      <c r="K769" t="s">
        <v>3143</v>
      </c>
    </row>
    <row r="770" spans="1:11" x14ac:dyDescent="0.25">
      <c r="A770" s="7" t="s">
        <v>2104</v>
      </c>
      <c r="B770" t="s">
        <v>2105</v>
      </c>
      <c r="C770" s="7"/>
      <c r="D770" s="7" t="str">
        <f t="shared" ref="D770:D833" si="16">_xlfn.CONCAT("NACE ", A770)</f>
        <v>NACE L - 65.30 Pension funding</v>
      </c>
      <c r="K770" t="s">
        <v>3144</v>
      </c>
    </row>
    <row r="771" spans="1:11" x14ac:dyDescent="0.25">
      <c r="A771" s="5" t="s">
        <v>2106</v>
      </c>
      <c r="B771" t="s">
        <v>2107</v>
      </c>
      <c r="C771" s="7"/>
      <c r="D771" s="5" t="str">
        <f t="shared" si="16"/>
        <v>NACE L - 66 Activities auxiliary to financial services and insurance activities</v>
      </c>
      <c r="K771" t="s">
        <v>3145</v>
      </c>
    </row>
    <row r="772" spans="1:11" x14ac:dyDescent="0.25">
      <c r="A772" s="6" t="s">
        <v>2108</v>
      </c>
      <c r="B772" t="s">
        <v>2109</v>
      </c>
      <c r="C772" s="7"/>
      <c r="D772" s="6" t="str">
        <f t="shared" si="16"/>
        <v>NACE L - 66.1 Activities auxiliary to financial services, except insurance and pension funding</v>
      </c>
      <c r="K772" t="s">
        <v>3146</v>
      </c>
    </row>
    <row r="773" spans="1:11" x14ac:dyDescent="0.25">
      <c r="A773" s="7" t="s">
        <v>2110</v>
      </c>
      <c r="B773" t="s">
        <v>2111</v>
      </c>
      <c r="C773" s="7"/>
      <c r="D773" s="7" t="str">
        <f t="shared" si="16"/>
        <v>NACE L - 66.11 Administration of financial markets</v>
      </c>
      <c r="K773" t="s">
        <v>3282</v>
      </c>
    </row>
    <row r="774" spans="1:11" x14ac:dyDescent="0.25">
      <c r="A774" s="7" t="s">
        <v>2112</v>
      </c>
      <c r="B774" t="s">
        <v>2113</v>
      </c>
      <c r="C774" s="7"/>
      <c r="D774" s="7" t="str">
        <f t="shared" si="16"/>
        <v>NACE L - 66.12 Security and commodity contracts brokerage</v>
      </c>
      <c r="K774" t="s">
        <v>3147</v>
      </c>
    </row>
    <row r="775" spans="1:11" x14ac:dyDescent="0.25">
      <c r="A775" s="7" t="s">
        <v>2114</v>
      </c>
      <c r="B775" t="s">
        <v>2115</v>
      </c>
      <c r="C775" s="7"/>
      <c r="D775" s="7" t="str">
        <f t="shared" si="16"/>
        <v>NACE L - 66.19 Other activities auxiliary to financial services, except insurance and pension funding</v>
      </c>
      <c r="K775" t="s">
        <v>3148</v>
      </c>
    </row>
    <row r="776" spans="1:11" x14ac:dyDescent="0.25">
      <c r="A776" s="6" t="s">
        <v>2116</v>
      </c>
      <c r="B776" t="s">
        <v>2117</v>
      </c>
      <c r="C776" s="7"/>
      <c r="D776" s="6" t="str">
        <f t="shared" si="16"/>
        <v>NACE L - 66.2 Activities auxiliary to insurance and pension funding</v>
      </c>
      <c r="K776" t="s">
        <v>3605</v>
      </c>
    </row>
    <row r="777" spans="1:11" x14ac:dyDescent="0.25">
      <c r="A777" s="7" t="s">
        <v>2118</v>
      </c>
      <c r="B777" t="s">
        <v>2119</v>
      </c>
      <c r="C777" s="7"/>
      <c r="D777" s="7" t="str">
        <f t="shared" si="16"/>
        <v>NACE L - 66.21 Risk and damage evaluation</v>
      </c>
      <c r="K777" t="s">
        <v>3149</v>
      </c>
    </row>
    <row r="778" spans="1:11" x14ac:dyDescent="0.25">
      <c r="A778" s="7" t="s">
        <v>2120</v>
      </c>
      <c r="B778" t="s">
        <v>2121</v>
      </c>
      <c r="C778" s="7"/>
      <c r="D778" s="7" t="str">
        <f t="shared" si="16"/>
        <v>NACE L - 66.22 Activities of insurance agents and brokers</v>
      </c>
      <c r="K778" t="s">
        <v>3606</v>
      </c>
    </row>
    <row r="779" spans="1:11" x14ac:dyDescent="0.25">
      <c r="A779" s="7" t="s">
        <v>2122</v>
      </c>
      <c r="B779" t="s">
        <v>2123</v>
      </c>
      <c r="C779" s="7"/>
      <c r="D779" s="7" t="str">
        <f t="shared" si="16"/>
        <v>NACE L - 66.29 Activities auxiliary to insurance and pension funding n.e.c.</v>
      </c>
      <c r="K779" t="s">
        <v>3150</v>
      </c>
    </row>
    <row r="780" spans="1:11" x14ac:dyDescent="0.25">
      <c r="A780" s="6" t="s">
        <v>2124</v>
      </c>
      <c r="B780" t="s">
        <v>2125</v>
      </c>
      <c r="C780" s="7"/>
      <c r="D780" s="6" t="str">
        <f t="shared" si="16"/>
        <v>NACE L - 66.3 Fund management activities</v>
      </c>
      <c r="K780" t="s">
        <v>2771</v>
      </c>
    </row>
    <row r="781" spans="1:11" x14ac:dyDescent="0.25">
      <c r="A781" s="7" t="s">
        <v>2126</v>
      </c>
      <c r="B781" t="s">
        <v>2127</v>
      </c>
      <c r="C781" s="7"/>
      <c r="D781" s="7" t="str">
        <f t="shared" si="16"/>
        <v>NACE L - 66.30 Fund management activities</v>
      </c>
      <c r="K781" t="s">
        <v>3283</v>
      </c>
    </row>
    <row r="782" spans="1:11" x14ac:dyDescent="0.25">
      <c r="A782" s="4" t="s">
        <v>2128</v>
      </c>
      <c r="B782" t="s">
        <v>2129</v>
      </c>
      <c r="C782" s="7"/>
      <c r="D782" s="4" t="str">
        <f t="shared" si="16"/>
        <v>NACE M - REAL ESTATE ACTIVITIES</v>
      </c>
      <c r="K782" t="s">
        <v>3151</v>
      </c>
    </row>
    <row r="783" spans="1:11" x14ac:dyDescent="0.25">
      <c r="A783" s="5" t="s">
        <v>2130</v>
      </c>
      <c r="B783" t="s">
        <v>2131</v>
      </c>
      <c r="C783" s="7"/>
      <c r="D783" s="5" t="str">
        <f t="shared" si="16"/>
        <v>NACE M - 68 Real estate activities</v>
      </c>
      <c r="K783" t="s">
        <v>3152</v>
      </c>
    </row>
    <row r="784" spans="1:11" x14ac:dyDescent="0.25">
      <c r="A784" s="6" t="s">
        <v>2132</v>
      </c>
      <c r="B784" t="s">
        <v>2133</v>
      </c>
      <c r="C784" s="7"/>
      <c r="D784" s="6" t="str">
        <f t="shared" si="16"/>
        <v>NACE M - 68.1 Real estate activities with own property and development of building projects</v>
      </c>
      <c r="K784" t="s">
        <v>3153</v>
      </c>
    </row>
    <row r="785" spans="1:11" x14ac:dyDescent="0.25">
      <c r="A785" s="7" t="s">
        <v>2134</v>
      </c>
      <c r="B785" t="s">
        <v>2135</v>
      </c>
      <c r="C785" s="7"/>
      <c r="D785" s="7" t="str">
        <f t="shared" si="16"/>
        <v>NACE M - 68.11 Buying and selling of own real estate</v>
      </c>
      <c r="K785" t="s">
        <v>3154</v>
      </c>
    </row>
    <row r="786" spans="1:11" x14ac:dyDescent="0.25">
      <c r="A786" s="7" t="s">
        <v>2136</v>
      </c>
      <c r="B786" t="s">
        <v>2137</v>
      </c>
      <c r="C786" s="7"/>
      <c r="D786" s="7" t="str">
        <f t="shared" si="16"/>
        <v>NACE M - 68.12 Development of building projects</v>
      </c>
      <c r="K786" t="s">
        <v>3155</v>
      </c>
    </row>
    <row r="787" spans="1:11" x14ac:dyDescent="0.25">
      <c r="A787" s="6" t="s">
        <v>2138</v>
      </c>
      <c r="B787" t="s">
        <v>2139</v>
      </c>
      <c r="C787" s="7"/>
      <c r="D787" s="6" t="str">
        <f t="shared" si="16"/>
        <v>NACE M - 68.2 Rental and operating of own or leased real estate</v>
      </c>
      <c r="K787" t="s">
        <v>3156</v>
      </c>
    </row>
    <row r="788" spans="1:11" x14ac:dyDescent="0.25">
      <c r="A788" s="7" t="s">
        <v>2140</v>
      </c>
      <c r="B788" t="s">
        <v>2141</v>
      </c>
      <c r="C788" s="7"/>
      <c r="D788" s="7" t="str">
        <f t="shared" si="16"/>
        <v>NACE M - 68.20 Rental and operating of own or leased real estate</v>
      </c>
      <c r="K788" t="s">
        <v>3157</v>
      </c>
    </row>
    <row r="789" spans="1:11" x14ac:dyDescent="0.25">
      <c r="A789" s="6" t="s">
        <v>2142</v>
      </c>
      <c r="B789" t="s">
        <v>2143</v>
      </c>
      <c r="C789" s="7"/>
      <c r="D789" s="6" t="str">
        <f t="shared" si="16"/>
        <v>NACE M - 68.3 Real estate activities on a fee or contract basis</v>
      </c>
      <c r="K789" t="s">
        <v>3158</v>
      </c>
    </row>
    <row r="790" spans="1:11" x14ac:dyDescent="0.25">
      <c r="A790" s="7" t="s">
        <v>2144</v>
      </c>
      <c r="B790" t="s">
        <v>2145</v>
      </c>
      <c r="C790" s="7"/>
      <c r="D790" s="7" t="str">
        <f t="shared" si="16"/>
        <v>NACE M - 68.31 Intermediation service activities for real estate activities</v>
      </c>
      <c r="K790" t="s">
        <v>3159</v>
      </c>
    </row>
    <row r="791" spans="1:11" x14ac:dyDescent="0.25">
      <c r="A791" s="7" t="s">
        <v>2146</v>
      </c>
      <c r="B791" t="s">
        <v>2147</v>
      </c>
      <c r="C791" s="7"/>
      <c r="D791" s="7" t="str">
        <f t="shared" si="16"/>
        <v>NACE M - 68.32 Other real estate activities on a fee or contract basis</v>
      </c>
      <c r="K791" t="s">
        <v>3160</v>
      </c>
    </row>
    <row r="792" spans="1:11" x14ac:dyDescent="0.25">
      <c r="A792" s="4" t="s">
        <v>2148</v>
      </c>
      <c r="B792" t="s">
        <v>2149</v>
      </c>
      <c r="C792" s="7"/>
      <c r="D792" s="4" t="str">
        <f t="shared" si="16"/>
        <v>NACE N - PROFESSIONAL, SCIENTIFIC AND TECHNICAL ACTIVITIES</v>
      </c>
      <c r="K792" t="s">
        <v>3607</v>
      </c>
    </row>
    <row r="793" spans="1:11" x14ac:dyDescent="0.25">
      <c r="A793" s="5" t="s">
        <v>2150</v>
      </c>
      <c r="B793" t="s">
        <v>2151</v>
      </c>
      <c r="C793" s="7"/>
      <c r="D793" s="5" t="str">
        <f t="shared" si="16"/>
        <v>NACE N - 69 Legal and accounting activities</v>
      </c>
      <c r="K793" t="s">
        <v>3608</v>
      </c>
    </row>
    <row r="794" spans="1:11" x14ac:dyDescent="0.25">
      <c r="A794" s="6" t="s">
        <v>2152</v>
      </c>
      <c r="B794" t="s">
        <v>2153</v>
      </c>
      <c r="C794" s="7"/>
      <c r="D794" s="6" t="str">
        <f t="shared" si="16"/>
        <v>NACE N - 69.1 Legal activities</v>
      </c>
      <c r="K794" t="s">
        <v>3609</v>
      </c>
    </row>
    <row r="795" spans="1:11" x14ac:dyDescent="0.25">
      <c r="A795" s="7" t="s">
        <v>2154</v>
      </c>
      <c r="B795" t="s">
        <v>2155</v>
      </c>
      <c r="C795" s="7"/>
      <c r="D795" s="7" t="str">
        <f t="shared" si="16"/>
        <v>NACE N - 69.10 Legal activities</v>
      </c>
      <c r="K795" t="s">
        <v>3610</v>
      </c>
    </row>
    <row r="796" spans="1:11" x14ac:dyDescent="0.25">
      <c r="A796" s="6" t="s">
        <v>2156</v>
      </c>
      <c r="B796" t="s">
        <v>2157</v>
      </c>
      <c r="C796" s="7"/>
      <c r="D796" s="6" t="str">
        <f t="shared" si="16"/>
        <v>NACE N - 69.2 Accounting, bookkeeping and auditing activities; tax consultancy</v>
      </c>
      <c r="K796" t="s">
        <v>3611</v>
      </c>
    </row>
    <row r="797" spans="1:11" x14ac:dyDescent="0.25">
      <c r="A797" s="7" t="s">
        <v>2158</v>
      </c>
      <c r="B797" t="s">
        <v>2159</v>
      </c>
      <c r="C797" s="7"/>
      <c r="D797" s="7" t="str">
        <f t="shared" si="16"/>
        <v>NACE N - 69.20 Accounting, bookkeeping and auditing activities; tax consultancy</v>
      </c>
      <c r="K797" t="s">
        <v>3612</v>
      </c>
    </row>
    <row r="798" spans="1:11" x14ac:dyDescent="0.25">
      <c r="A798" s="5" t="s">
        <v>2160</v>
      </c>
      <c r="B798" t="s">
        <v>2161</v>
      </c>
      <c r="C798" s="7"/>
      <c r="D798" s="5" t="str">
        <f t="shared" si="16"/>
        <v>NACE N - 70 Activities of head offices and management consultancy</v>
      </c>
      <c r="K798" t="s">
        <v>3161</v>
      </c>
    </row>
    <row r="799" spans="1:11" x14ac:dyDescent="0.25">
      <c r="A799" s="6" t="s">
        <v>2162</v>
      </c>
      <c r="B799" t="s">
        <v>2163</v>
      </c>
      <c r="C799" s="7"/>
      <c r="D799" s="6" t="str">
        <f t="shared" si="16"/>
        <v>NACE N - 70.1 Activities of head offices</v>
      </c>
      <c r="K799" t="s">
        <v>3613</v>
      </c>
    </row>
    <row r="800" spans="1:11" x14ac:dyDescent="0.25">
      <c r="A800" s="7" t="s">
        <v>2164</v>
      </c>
      <c r="B800" t="s">
        <v>2165</v>
      </c>
      <c r="C800" s="7"/>
      <c r="D800" s="7" t="str">
        <f t="shared" si="16"/>
        <v>NACE N - 70.10 Activities of head offices</v>
      </c>
      <c r="K800" t="s">
        <v>3162</v>
      </c>
    </row>
    <row r="801" spans="1:11" x14ac:dyDescent="0.25">
      <c r="A801" s="6" t="s">
        <v>2166</v>
      </c>
      <c r="B801" t="s">
        <v>2167</v>
      </c>
      <c r="C801" s="7"/>
      <c r="D801" s="6" t="str">
        <f t="shared" si="16"/>
        <v>NACE N - 70.2 Business and other management consultancy activities</v>
      </c>
      <c r="K801" t="s">
        <v>3614</v>
      </c>
    </row>
    <row r="802" spans="1:11" x14ac:dyDescent="0.25">
      <c r="A802" s="7" t="s">
        <v>2168</v>
      </c>
      <c r="B802" t="s">
        <v>2169</v>
      </c>
      <c r="C802" s="7"/>
      <c r="D802" s="7" t="str">
        <f t="shared" si="16"/>
        <v>NACE N - 70.20 Business and other management consultancy activities</v>
      </c>
      <c r="K802" t="s">
        <v>3615</v>
      </c>
    </row>
    <row r="803" spans="1:11" x14ac:dyDescent="0.25">
      <c r="A803" s="5" t="s">
        <v>2170</v>
      </c>
      <c r="B803" t="s">
        <v>2171</v>
      </c>
      <c r="C803" s="7"/>
      <c r="D803" s="5" t="str">
        <f t="shared" si="16"/>
        <v>NACE N - 71 Architectural and engineering activities; technical testing and analysis</v>
      </c>
      <c r="K803" t="s">
        <v>3163</v>
      </c>
    </row>
    <row r="804" spans="1:11" x14ac:dyDescent="0.25">
      <c r="A804" s="6" t="s">
        <v>2172</v>
      </c>
      <c r="B804" t="s">
        <v>2173</v>
      </c>
      <c r="C804" s="7"/>
      <c r="D804" s="6" t="str">
        <f t="shared" si="16"/>
        <v>NACE N - 71.1 Architectural and engineering activities and related technical consultancy</v>
      </c>
      <c r="K804" t="s">
        <v>3616</v>
      </c>
    </row>
    <row r="805" spans="1:11" x14ac:dyDescent="0.25">
      <c r="A805" s="7" t="s">
        <v>2174</v>
      </c>
      <c r="B805" t="s">
        <v>2175</v>
      </c>
      <c r="C805" s="7"/>
      <c r="D805" s="7" t="str">
        <f t="shared" si="16"/>
        <v>NACE N - 71.11 Architectural activities</v>
      </c>
      <c r="K805" t="s">
        <v>3164</v>
      </c>
    </row>
    <row r="806" spans="1:11" x14ac:dyDescent="0.25">
      <c r="A806" s="7" t="s">
        <v>2176</v>
      </c>
      <c r="B806" t="s">
        <v>2177</v>
      </c>
      <c r="C806" s="7"/>
      <c r="D806" s="7" t="str">
        <f t="shared" si="16"/>
        <v>NACE N - 71.12 Engineering activities and related technical consultancy</v>
      </c>
      <c r="K806" t="s">
        <v>3617</v>
      </c>
    </row>
    <row r="807" spans="1:11" x14ac:dyDescent="0.25">
      <c r="A807" s="6" t="s">
        <v>2178</v>
      </c>
      <c r="B807" t="s">
        <v>2179</v>
      </c>
      <c r="C807" s="7"/>
      <c r="D807" s="6" t="str">
        <f t="shared" si="16"/>
        <v>NACE N - 71.2 Technical testing and analysis</v>
      </c>
      <c r="K807" t="s">
        <v>3165</v>
      </c>
    </row>
    <row r="808" spans="1:11" x14ac:dyDescent="0.25">
      <c r="A808" s="7" t="s">
        <v>2180</v>
      </c>
      <c r="B808" t="s">
        <v>2181</v>
      </c>
      <c r="C808" s="7"/>
      <c r="D808" s="7" t="str">
        <f t="shared" si="16"/>
        <v>NACE N - 71.20 Technical testing and analysis</v>
      </c>
      <c r="K808" t="s">
        <v>3618</v>
      </c>
    </row>
    <row r="809" spans="1:11" x14ac:dyDescent="0.25">
      <c r="A809" s="5" t="s">
        <v>2182</v>
      </c>
      <c r="B809" t="s">
        <v>2183</v>
      </c>
      <c r="C809" s="7"/>
      <c r="D809" s="5" t="str">
        <f t="shared" si="16"/>
        <v>NACE N - 72 Scientific research and development</v>
      </c>
      <c r="K809" t="s">
        <v>3323</v>
      </c>
    </row>
    <row r="810" spans="1:11" x14ac:dyDescent="0.25">
      <c r="A810" s="6" t="s">
        <v>2184</v>
      </c>
      <c r="B810" t="s">
        <v>2185</v>
      </c>
      <c r="C810" s="7"/>
      <c r="D810" s="6" t="str">
        <f t="shared" si="16"/>
        <v>NACE N - 72.1 Research and experimental development on natural sciences and engineering</v>
      </c>
      <c r="K810" t="s">
        <v>3619</v>
      </c>
    </row>
    <row r="811" spans="1:11" x14ac:dyDescent="0.25">
      <c r="A811" s="7" t="s">
        <v>2186</v>
      </c>
      <c r="B811" t="s">
        <v>2187</v>
      </c>
      <c r="C811" s="7"/>
      <c r="D811" s="7" t="str">
        <f t="shared" si="16"/>
        <v>NACE N - 72.10 Research and experimental development on natural sciences and engineering</v>
      </c>
      <c r="K811" t="s">
        <v>3286</v>
      </c>
    </row>
    <row r="812" spans="1:11" x14ac:dyDescent="0.25">
      <c r="A812" s="6" t="s">
        <v>2188</v>
      </c>
      <c r="B812" t="s">
        <v>2189</v>
      </c>
      <c r="C812" s="7"/>
      <c r="D812" s="6" t="str">
        <f t="shared" si="16"/>
        <v>NACE N - 72.2 Research and experimental development on social sciences and humanities</v>
      </c>
      <c r="K812" t="s">
        <v>3284</v>
      </c>
    </row>
    <row r="813" spans="1:11" x14ac:dyDescent="0.25">
      <c r="A813" s="7" t="s">
        <v>2190</v>
      </c>
      <c r="B813" t="s">
        <v>2191</v>
      </c>
      <c r="C813" s="7"/>
      <c r="D813" s="7" t="str">
        <f t="shared" si="16"/>
        <v>NACE N - 72.20 Research and experimental development on social sciences and humanities</v>
      </c>
      <c r="K813" t="s">
        <v>3166</v>
      </c>
    </row>
    <row r="814" spans="1:11" x14ac:dyDescent="0.25">
      <c r="A814" s="5" t="s">
        <v>2192</v>
      </c>
      <c r="B814" t="s">
        <v>2193</v>
      </c>
      <c r="C814" s="7"/>
      <c r="D814" s="5" t="str">
        <f t="shared" si="16"/>
        <v>NACE N - 73 Activities of advertising, market research and public relations</v>
      </c>
      <c r="K814" t="s">
        <v>3167</v>
      </c>
    </row>
    <row r="815" spans="1:11" x14ac:dyDescent="0.25">
      <c r="A815" s="6" t="s">
        <v>2194</v>
      </c>
      <c r="B815" t="s">
        <v>2195</v>
      </c>
      <c r="C815" s="7"/>
      <c r="D815" s="6" t="str">
        <f t="shared" si="16"/>
        <v>NACE N - 73.1 Advertising</v>
      </c>
      <c r="K815" t="s">
        <v>3168</v>
      </c>
    </row>
    <row r="816" spans="1:11" x14ac:dyDescent="0.25">
      <c r="A816" s="7" t="s">
        <v>2196</v>
      </c>
      <c r="B816" t="s">
        <v>2197</v>
      </c>
      <c r="C816" s="7"/>
      <c r="D816" s="7" t="str">
        <f t="shared" si="16"/>
        <v>NACE N - 73.11 Activities of advertising agencies</v>
      </c>
      <c r="K816" t="s">
        <v>3285</v>
      </c>
    </row>
    <row r="817" spans="1:11" x14ac:dyDescent="0.25">
      <c r="A817" s="7" t="s">
        <v>2198</v>
      </c>
      <c r="B817" t="s">
        <v>2199</v>
      </c>
      <c r="C817" s="7"/>
      <c r="D817" s="7" t="str">
        <f t="shared" si="16"/>
        <v>NACE N - 73.12 Media representation</v>
      </c>
      <c r="K817" t="s">
        <v>3169</v>
      </c>
    </row>
    <row r="818" spans="1:11" x14ac:dyDescent="0.25">
      <c r="A818" s="6" t="s">
        <v>2200</v>
      </c>
      <c r="B818" t="s">
        <v>2201</v>
      </c>
      <c r="C818" s="7"/>
      <c r="D818" s="6" t="str">
        <f t="shared" si="16"/>
        <v>NACE N - 73.2 Market research and public opinion polling</v>
      </c>
      <c r="K818" t="s">
        <v>3170</v>
      </c>
    </row>
    <row r="819" spans="1:11" x14ac:dyDescent="0.25">
      <c r="A819" s="7" t="s">
        <v>2202</v>
      </c>
      <c r="B819" t="s">
        <v>2203</v>
      </c>
      <c r="C819" s="7"/>
      <c r="D819" s="7" t="str">
        <f t="shared" si="16"/>
        <v>NACE N - 73.20 Market research and public opinion polling</v>
      </c>
      <c r="K819" t="s">
        <v>3171</v>
      </c>
    </row>
    <row r="820" spans="1:11" x14ac:dyDescent="0.25">
      <c r="A820" s="6" t="s">
        <v>2204</v>
      </c>
      <c r="B820" t="s">
        <v>2205</v>
      </c>
      <c r="C820" s="7"/>
      <c r="D820" s="6" t="str">
        <f t="shared" si="16"/>
        <v>NACE N - 73.3 Public relations and communication activities</v>
      </c>
      <c r="K820" t="s">
        <v>3172</v>
      </c>
    </row>
    <row r="821" spans="1:11" x14ac:dyDescent="0.25">
      <c r="A821" s="7" t="s">
        <v>2206</v>
      </c>
      <c r="B821" t="s">
        <v>2207</v>
      </c>
      <c r="C821" s="7"/>
      <c r="D821" s="7" t="str">
        <f t="shared" si="16"/>
        <v>NACE N - 73.30 Public relations and communication activities</v>
      </c>
    </row>
    <row r="822" spans="1:11" x14ac:dyDescent="0.25">
      <c r="A822" s="5" t="s">
        <v>2208</v>
      </c>
      <c r="B822" t="s">
        <v>2209</v>
      </c>
      <c r="C822" s="7"/>
      <c r="D822" s="5" t="str">
        <f t="shared" si="16"/>
        <v>NACE N - 74 Other professional, scientific and technical activities</v>
      </c>
    </row>
    <row r="823" spans="1:11" x14ac:dyDescent="0.25">
      <c r="A823" s="6" t="s">
        <v>2210</v>
      </c>
      <c r="B823" t="s">
        <v>2211</v>
      </c>
      <c r="C823" s="7"/>
      <c r="D823" s="6" t="str">
        <f t="shared" si="16"/>
        <v>NACE N - 74.1 Specialised design activities</v>
      </c>
    </row>
    <row r="824" spans="1:11" x14ac:dyDescent="0.25">
      <c r="A824" s="7" t="s">
        <v>2212</v>
      </c>
      <c r="B824" t="s">
        <v>2213</v>
      </c>
      <c r="C824" s="7"/>
      <c r="D824" s="7" t="str">
        <f t="shared" si="16"/>
        <v>NACE N - 74.11 Industrial product and fashion design activities</v>
      </c>
    </row>
    <row r="825" spans="1:11" x14ac:dyDescent="0.25">
      <c r="A825" s="7" t="s">
        <v>2214</v>
      </c>
      <c r="B825" t="s">
        <v>2215</v>
      </c>
      <c r="C825" s="7"/>
      <c r="D825" s="7" t="str">
        <f t="shared" si="16"/>
        <v>NACE N - 74.12 Graphic design and visual communication activities</v>
      </c>
    </row>
    <row r="826" spans="1:11" x14ac:dyDescent="0.25">
      <c r="A826" s="7" t="s">
        <v>2216</v>
      </c>
      <c r="B826" t="s">
        <v>2217</v>
      </c>
      <c r="C826" s="7"/>
      <c r="D826" s="7" t="str">
        <f t="shared" si="16"/>
        <v>NACE N - 74.13 Interior design activities</v>
      </c>
    </row>
    <row r="827" spans="1:11" x14ac:dyDescent="0.25">
      <c r="A827" s="7" t="s">
        <v>2218</v>
      </c>
      <c r="B827" t="s">
        <v>2219</v>
      </c>
      <c r="C827" s="7"/>
      <c r="D827" s="7" t="str">
        <f t="shared" si="16"/>
        <v>NACE N - 74.14 Other specialised design activities</v>
      </c>
    </row>
    <row r="828" spans="1:11" x14ac:dyDescent="0.25">
      <c r="A828" s="6" t="s">
        <v>2220</v>
      </c>
      <c r="B828" t="s">
        <v>2221</v>
      </c>
      <c r="C828" s="7"/>
      <c r="D828" s="6" t="str">
        <f t="shared" si="16"/>
        <v>NACE N - 74.2 Photographic activities</v>
      </c>
    </row>
    <row r="829" spans="1:11" x14ac:dyDescent="0.25">
      <c r="A829" s="7" t="s">
        <v>2222</v>
      </c>
      <c r="B829" t="s">
        <v>2223</v>
      </c>
      <c r="C829" s="7"/>
      <c r="D829" s="7" t="str">
        <f t="shared" si="16"/>
        <v>NACE N - 74.20 Photographic activities</v>
      </c>
    </row>
    <row r="830" spans="1:11" x14ac:dyDescent="0.25">
      <c r="A830" s="6" t="s">
        <v>2224</v>
      </c>
      <c r="B830" t="s">
        <v>2225</v>
      </c>
      <c r="C830" s="7"/>
      <c r="D830" s="6" t="str">
        <f t="shared" si="16"/>
        <v>NACE N - 74.3 Translation and interpretation activities</v>
      </c>
    </row>
    <row r="831" spans="1:11" x14ac:dyDescent="0.25">
      <c r="A831" s="7" t="s">
        <v>2226</v>
      </c>
      <c r="B831" t="s">
        <v>2227</v>
      </c>
      <c r="C831" s="7"/>
      <c r="D831" s="7" t="str">
        <f t="shared" si="16"/>
        <v>NACE N - 74.30 Translation and interpretation activities</v>
      </c>
    </row>
    <row r="832" spans="1:11" x14ac:dyDescent="0.25">
      <c r="A832" s="6" t="s">
        <v>2228</v>
      </c>
      <c r="B832" t="s">
        <v>2229</v>
      </c>
      <c r="C832" s="7"/>
      <c r="D832" s="6" t="str">
        <f t="shared" si="16"/>
        <v>NACE N - 74.9 Other professional, scientific and technical activities n.e.c.</v>
      </c>
    </row>
    <row r="833" spans="1:4" x14ac:dyDescent="0.25">
      <c r="A833" s="7" t="s">
        <v>2230</v>
      </c>
      <c r="B833" t="s">
        <v>2231</v>
      </c>
      <c r="C833" s="7"/>
      <c r="D833" s="7" t="str">
        <f t="shared" si="16"/>
        <v>NACE N - 74.91 Patent brokering and marketing service activities</v>
      </c>
    </row>
    <row r="834" spans="1:4" x14ac:dyDescent="0.25">
      <c r="A834" s="7" t="s">
        <v>2232</v>
      </c>
      <c r="B834" t="s">
        <v>2233</v>
      </c>
      <c r="C834" s="7"/>
      <c r="D834" s="7" t="str">
        <f t="shared" ref="D834:D897" si="17">_xlfn.CONCAT("NACE ", A834)</f>
        <v>NACE N - 74.99 All other professional, scientific and technical activities n.e.c.</v>
      </c>
    </row>
    <row r="835" spans="1:4" x14ac:dyDescent="0.25">
      <c r="A835" s="5" t="s">
        <v>2234</v>
      </c>
      <c r="B835" t="s">
        <v>2235</v>
      </c>
      <c r="C835" s="7"/>
      <c r="D835" s="5" t="str">
        <f t="shared" si="17"/>
        <v>NACE N - 75 Veterinary activities</v>
      </c>
    </row>
    <row r="836" spans="1:4" x14ac:dyDescent="0.25">
      <c r="A836" s="6" t="s">
        <v>2236</v>
      </c>
      <c r="B836" t="s">
        <v>2237</v>
      </c>
      <c r="C836" s="7"/>
      <c r="D836" s="6" t="str">
        <f t="shared" si="17"/>
        <v>NACE N - 75.0 Veterinary activities</v>
      </c>
    </row>
    <row r="837" spans="1:4" x14ac:dyDescent="0.25">
      <c r="A837" s="7" t="s">
        <v>2238</v>
      </c>
      <c r="B837" t="s">
        <v>2239</v>
      </c>
      <c r="C837" s="7"/>
      <c r="D837" s="7" t="str">
        <f t="shared" si="17"/>
        <v>NACE N - 75.00 Veterinary activities</v>
      </c>
    </row>
    <row r="838" spans="1:4" x14ac:dyDescent="0.25">
      <c r="A838" s="4" t="s">
        <v>2240</v>
      </c>
      <c r="B838" t="s">
        <v>2241</v>
      </c>
      <c r="C838" s="7"/>
      <c r="D838" s="4" t="str">
        <f t="shared" si="17"/>
        <v>NACE O - ADMINISTRATIVE AND SUPPORT SERVICE ACTIVITIES</v>
      </c>
    </row>
    <row r="839" spans="1:4" x14ac:dyDescent="0.25">
      <c r="A839" s="5" t="s">
        <v>2242</v>
      </c>
      <c r="B839" t="s">
        <v>2243</v>
      </c>
      <c r="C839" s="7"/>
      <c r="D839" s="5" t="str">
        <f t="shared" si="17"/>
        <v>NACE O - 77 Rental and leasing activities</v>
      </c>
    </row>
    <row r="840" spans="1:4" x14ac:dyDescent="0.25">
      <c r="A840" s="6" t="s">
        <v>2244</v>
      </c>
      <c r="B840" t="s">
        <v>2245</v>
      </c>
      <c r="C840" s="7"/>
      <c r="D840" s="6" t="str">
        <f t="shared" si="17"/>
        <v>NACE O - 77.1 Rental and leasing of motor vehicles</v>
      </c>
    </row>
    <row r="841" spans="1:4" x14ac:dyDescent="0.25">
      <c r="A841" s="7" t="s">
        <v>2246</v>
      </c>
      <c r="B841" t="s">
        <v>2247</v>
      </c>
      <c r="C841" s="7"/>
      <c r="D841" s="7" t="str">
        <f t="shared" si="17"/>
        <v>NACE O - 77.11 Rental and leasing of cars and light motor vehicles</v>
      </c>
    </row>
    <row r="842" spans="1:4" x14ac:dyDescent="0.25">
      <c r="A842" s="7" t="s">
        <v>2248</v>
      </c>
      <c r="B842" t="s">
        <v>2249</v>
      </c>
      <c r="C842" s="7"/>
      <c r="D842" s="7" t="str">
        <f t="shared" si="17"/>
        <v>NACE O - 77.12 Rental and leasing of trucks</v>
      </c>
    </row>
    <row r="843" spans="1:4" x14ac:dyDescent="0.25">
      <c r="A843" s="6" t="s">
        <v>2250</v>
      </c>
      <c r="B843" t="s">
        <v>2251</v>
      </c>
      <c r="C843" s="7"/>
      <c r="D843" s="6" t="str">
        <f t="shared" si="17"/>
        <v>NACE O - 77.2 Rental and leasing of personal and household goods</v>
      </c>
    </row>
    <row r="844" spans="1:4" x14ac:dyDescent="0.25">
      <c r="A844" s="7" t="s">
        <v>2252</v>
      </c>
      <c r="B844" t="s">
        <v>2253</v>
      </c>
      <c r="C844" s="7"/>
      <c r="D844" s="7" t="str">
        <f t="shared" si="17"/>
        <v>NACE O - 77.21 Rental and leasing of recreational and sports goods</v>
      </c>
    </row>
    <row r="845" spans="1:4" x14ac:dyDescent="0.25">
      <c r="A845" s="7" t="s">
        <v>2254</v>
      </c>
      <c r="B845" t="s">
        <v>2255</v>
      </c>
      <c r="C845" s="7"/>
      <c r="D845" s="7" t="str">
        <f t="shared" si="17"/>
        <v>NACE O - 77.22 Rental and leasing of other personal and household goods</v>
      </c>
    </row>
    <row r="846" spans="1:4" x14ac:dyDescent="0.25">
      <c r="A846" s="6" t="s">
        <v>2256</v>
      </c>
      <c r="B846" t="s">
        <v>2257</v>
      </c>
      <c r="C846" s="7"/>
      <c r="D846" s="6" t="str">
        <f t="shared" si="17"/>
        <v>NACE O - 77.3 Rental and leasing of other machinery, equipment and tangible goods</v>
      </c>
    </row>
    <row r="847" spans="1:4" x14ac:dyDescent="0.25">
      <c r="A847" s="7" t="s">
        <v>2258</v>
      </c>
      <c r="B847" t="s">
        <v>2259</v>
      </c>
      <c r="C847" s="7"/>
      <c r="D847" s="7" t="str">
        <f t="shared" si="17"/>
        <v>NACE O - 77.31 Rental and leasing of agricultural machinery and equipment</v>
      </c>
    </row>
    <row r="848" spans="1:4" x14ac:dyDescent="0.25">
      <c r="A848" s="7" t="s">
        <v>2260</v>
      </c>
      <c r="B848" t="s">
        <v>2261</v>
      </c>
      <c r="C848" s="7"/>
      <c r="D848" s="7" t="str">
        <f t="shared" si="17"/>
        <v>NACE O - 77.32 Rental and leasing of construction and civil engineering machinery and equipment</v>
      </c>
    </row>
    <row r="849" spans="1:4" x14ac:dyDescent="0.25">
      <c r="A849" s="7" t="s">
        <v>2262</v>
      </c>
      <c r="B849" t="s">
        <v>2263</v>
      </c>
      <c r="C849" s="7"/>
      <c r="D849" s="7" t="str">
        <f t="shared" si="17"/>
        <v>NACE O - 77.33 Rental and leasing of office machinery, equipment and computers</v>
      </c>
    </row>
    <row r="850" spans="1:4" x14ac:dyDescent="0.25">
      <c r="A850" s="7" t="s">
        <v>2264</v>
      </c>
      <c r="B850" t="s">
        <v>2265</v>
      </c>
      <c r="C850" s="7"/>
      <c r="D850" s="7" t="str">
        <f t="shared" si="17"/>
        <v>NACE O - 77.34 Rental and leasing of water transport equipment</v>
      </c>
    </row>
    <row r="851" spans="1:4" x14ac:dyDescent="0.25">
      <c r="A851" s="7" t="s">
        <v>2266</v>
      </c>
      <c r="B851" t="s">
        <v>2267</v>
      </c>
      <c r="C851" s="7"/>
      <c r="D851" s="7" t="str">
        <f t="shared" si="17"/>
        <v>NACE O - 77.35 Rental and leasing of air transport equipment</v>
      </c>
    </row>
    <row r="852" spans="1:4" x14ac:dyDescent="0.25">
      <c r="A852" s="7" t="s">
        <v>2268</v>
      </c>
      <c r="B852" t="s">
        <v>2269</v>
      </c>
      <c r="C852" s="7"/>
      <c r="D852" s="7" t="str">
        <f t="shared" si="17"/>
        <v>NACE O - 77.39 Rental and leasing of other machinery, equipment and tangible goods n.e.c.</v>
      </c>
    </row>
    <row r="853" spans="1:4" x14ac:dyDescent="0.25">
      <c r="A853" s="6" t="s">
        <v>2270</v>
      </c>
      <c r="B853" t="s">
        <v>2271</v>
      </c>
      <c r="C853" s="7"/>
      <c r="D853" s="6" t="str">
        <f t="shared" si="17"/>
        <v>NACE O - 77.4 Leasing of intellectual property and similar products, except copyrighted works</v>
      </c>
    </row>
    <row r="854" spans="1:4" x14ac:dyDescent="0.25">
      <c r="A854" s="7" t="s">
        <v>2272</v>
      </c>
      <c r="B854" t="s">
        <v>2273</v>
      </c>
      <c r="C854" s="7"/>
      <c r="D854" s="7" t="str">
        <f t="shared" si="17"/>
        <v>NACE O - 77.40 Leasing of intellectual property and similar products, except copyrighted works</v>
      </c>
    </row>
    <row r="855" spans="1:4" x14ac:dyDescent="0.25">
      <c r="A855" s="6" t="s">
        <v>2274</v>
      </c>
      <c r="B855" t="s">
        <v>2275</v>
      </c>
      <c r="C855" s="7"/>
      <c r="D855" s="6" t="str">
        <f t="shared" si="17"/>
        <v>NACE O - 77.5 Intermediation service activities for rental and leasing of tangible goods and non-financial intangible assets</v>
      </c>
    </row>
    <row r="856" spans="1:4" x14ac:dyDescent="0.25">
      <c r="A856" s="7" t="s">
        <v>2276</v>
      </c>
      <c r="B856" t="s">
        <v>2277</v>
      </c>
      <c r="C856" s="7"/>
      <c r="D856" s="7" t="str">
        <f t="shared" si="17"/>
        <v>NACE O - 77.51 Intermediation service activities for rental and leasing of cars, motorhomes and trailers</v>
      </c>
    </row>
    <row r="857" spans="1:4" x14ac:dyDescent="0.25">
      <c r="A857" s="7" t="s">
        <v>2278</v>
      </c>
      <c r="B857" t="s">
        <v>2279</v>
      </c>
      <c r="C857" s="7"/>
      <c r="D857" s="7" t="str">
        <f t="shared" si="17"/>
        <v>NACE O - 77.52 Intermediation service activities for rental and leasing of other tangible goods and non-financial intangible assets</v>
      </c>
    </row>
    <row r="858" spans="1:4" x14ac:dyDescent="0.25">
      <c r="A858" s="5" t="s">
        <v>2280</v>
      </c>
      <c r="B858" t="s">
        <v>2281</v>
      </c>
      <c r="C858" s="7"/>
      <c r="D858" s="5" t="str">
        <f t="shared" si="17"/>
        <v>NACE O - 78 Employment activities</v>
      </c>
    </row>
    <row r="859" spans="1:4" x14ac:dyDescent="0.25">
      <c r="A859" s="6" t="s">
        <v>2282</v>
      </c>
      <c r="B859" t="s">
        <v>2283</v>
      </c>
      <c r="C859" s="7"/>
      <c r="D859" s="6" t="str">
        <f t="shared" si="17"/>
        <v>NACE O - 78.1 Activities of employment placement agencies</v>
      </c>
    </row>
    <row r="860" spans="1:4" x14ac:dyDescent="0.25">
      <c r="A860" s="7" t="s">
        <v>2284</v>
      </c>
      <c r="B860" t="s">
        <v>2285</v>
      </c>
      <c r="C860" s="7"/>
      <c r="D860" s="7" t="str">
        <f t="shared" si="17"/>
        <v>NACE O - 78.10 Activities of employment placement agencies</v>
      </c>
    </row>
    <row r="861" spans="1:4" x14ac:dyDescent="0.25">
      <c r="A861" s="6" t="s">
        <v>2286</v>
      </c>
      <c r="B861" t="s">
        <v>2287</v>
      </c>
      <c r="C861" s="7"/>
      <c r="D861" s="6" t="str">
        <f t="shared" si="17"/>
        <v>NACE O - 78.2 Temporary employment agency activities and other human resource provisions</v>
      </c>
    </row>
    <row r="862" spans="1:4" x14ac:dyDescent="0.25">
      <c r="A862" s="7" t="s">
        <v>2288</v>
      </c>
      <c r="B862" t="s">
        <v>2289</v>
      </c>
      <c r="C862" s="7"/>
      <c r="D862" s="7" t="str">
        <f t="shared" si="17"/>
        <v>NACE O - 78.20 Temporary employment agency activities and other human resource provisions</v>
      </c>
    </row>
    <row r="863" spans="1:4" x14ac:dyDescent="0.25">
      <c r="A863" s="5" t="s">
        <v>2290</v>
      </c>
      <c r="B863" t="s">
        <v>2291</v>
      </c>
      <c r="C863" s="7"/>
      <c r="D863" s="5" t="str">
        <f t="shared" si="17"/>
        <v>NACE O - 79 Travel agency, tour operator and other reservation service and related activities</v>
      </c>
    </row>
    <row r="864" spans="1:4" x14ac:dyDescent="0.25">
      <c r="A864" s="6" t="s">
        <v>2292</v>
      </c>
      <c r="B864" t="s">
        <v>2293</v>
      </c>
      <c r="C864" s="7"/>
      <c r="D864" s="6" t="str">
        <f t="shared" si="17"/>
        <v>NACE O - 79.1 Travel agency and tour operator activities</v>
      </c>
    </row>
    <row r="865" spans="1:4" x14ac:dyDescent="0.25">
      <c r="A865" s="7" t="s">
        <v>2294</v>
      </c>
      <c r="B865" t="s">
        <v>2295</v>
      </c>
      <c r="C865" s="7"/>
      <c r="D865" s="7" t="str">
        <f t="shared" si="17"/>
        <v>NACE O - 79.11 Travel agency activities</v>
      </c>
    </row>
    <row r="866" spans="1:4" x14ac:dyDescent="0.25">
      <c r="A866" s="7" t="s">
        <v>2296</v>
      </c>
      <c r="B866" t="s">
        <v>2297</v>
      </c>
      <c r="C866" s="7"/>
      <c r="D866" s="7" t="str">
        <f t="shared" si="17"/>
        <v>NACE O - 79.12 Tour operator activities</v>
      </c>
    </row>
    <row r="867" spans="1:4" x14ac:dyDescent="0.25">
      <c r="A867" s="6" t="s">
        <v>2298</v>
      </c>
      <c r="B867" t="s">
        <v>2299</v>
      </c>
      <c r="C867" s="7"/>
      <c r="D867" s="6" t="str">
        <f t="shared" si="17"/>
        <v>NACE O - 79.9 Other reservation service and related activities</v>
      </c>
    </row>
    <row r="868" spans="1:4" x14ac:dyDescent="0.25">
      <c r="A868" s="7" t="s">
        <v>2300</v>
      </c>
      <c r="B868" t="s">
        <v>2301</v>
      </c>
      <c r="C868" s="7"/>
      <c r="D868" s="7" t="str">
        <f t="shared" si="17"/>
        <v>NACE O - 79.90 Other reservation service and related activities</v>
      </c>
    </row>
    <row r="869" spans="1:4" x14ac:dyDescent="0.25">
      <c r="A869" s="5" t="s">
        <v>2302</v>
      </c>
      <c r="B869" t="s">
        <v>2303</v>
      </c>
      <c r="C869" s="7"/>
      <c r="D869" s="5" t="str">
        <f t="shared" si="17"/>
        <v>NACE O - 80 Investigation and security activities</v>
      </c>
    </row>
    <row r="870" spans="1:4" x14ac:dyDescent="0.25">
      <c r="A870" s="6" t="s">
        <v>2304</v>
      </c>
      <c r="B870" t="s">
        <v>2305</v>
      </c>
      <c r="C870" s="7"/>
      <c r="D870" s="6" t="str">
        <f t="shared" si="17"/>
        <v>NACE O - 80.0 Investigation and security activities</v>
      </c>
    </row>
    <row r="871" spans="1:4" x14ac:dyDescent="0.25">
      <c r="A871" s="7" t="s">
        <v>2306</v>
      </c>
      <c r="B871" t="s">
        <v>2307</v>
      </c>
      <c r="C871" s="7"/>
      <c r="D871" s="7" t="str">
        <f t="shared" si="17"/>
        <v>NACE O - 80.01 Investigation and private security activities</v>
      </c>
    </row>
    <row r="872" spans="1:4" x14ac:dyDescent="0.25">
      <c r="A872" s="7" t="s">
        <v>2308</v>
      </c>
      <c r="B872" t="s">
        <v>2309</v>
      </c>
      <c r="C872" s="7"/>
      <c r="D872" s="7" t="str">
        <f t="shared" si="17"/>
        <v>NACE O - 80.09 Security activities n.e.c.</v>
      </c>
    </row>
    <row r="873" spans="1:4" x14ac:dyDescent="0.25">
      <c r="A873" s="5" t="s">
        <v>2310</v>
      </c>
      <c r="B873" t="s">
        <v>2311</v>
      </c>
      <c r="C873" s="7"/>
      <c r="D873" s="5" t="str">
        <f t="shared" si="17"/>
        <v>NACE O - 81 Services to buildings and landscape activities</v>
      </c>
    </row>
    <row r="874" spans="1:4" x14ac:dyDescent="0.25">
      <c r="A874" s="6" t="s">
        <v>2312</v>
      </c>
      <c r="B874" t="s">
        <v>2313</v>
      </c>
      <c r="C874" s="7"/>
      <c r="D874" s="6" t="str">
        <f t="shared" si="17"/>
        <v>NACE O - 81.1 Combined facilities support activities</v>
      </c>
    </row>
    <row r="875" spans="1:4" x14ac:dyDescent="0.25">
      <c r="A875" s="7" t="s">
        <v>2314</v>
      </c>
      <c r="B875" t="s">
        <v>2315</v>
      </c>
      <c r="C875" s="7"/>
      <c r="D875" s="7" t="str">
        <f t="shared" si="17"/>
        <v>NACE O - 81.10 Combined facilities support activities</v>
      </c>
    </row>
    <row r="876" spans="1:4" x14ac:dyDescent="0.25">
      <c r="A876" s="6" t="s">
        <v>2316</v>
      </c>
      <c r="B876" t="s">
        <v>2317</v>
      </c>
      <c r="C876" s="7"/>
      <c r="D876" s="6" t="str">
        <f t="shared" si="17"/>
        <v>NACE O - 81.2 Cleaning activities</v>
      </c>
    </row>
    <row r="877" spans="1:4" x14ac:dyDescent="0.25">
      <c r="A877" s="7" t="s">
        <v>2318</v>
      </c>
      <c r="B877" t="s">
        <v>2319</v>
      </c>
      <c r="C877" s="7"/>
      <c r="D877" s="7" t="str">
        <f t="shared" si="17"/>
        <v>NACE O - 81.21 General cleaning of buildings</v>
      </c>
    </row>
    <row r="878" spans="1:4" x14ac:dyDescent="0.25">
      <c r="A878" s="7" t="s">
        <v>2320</v>
      </c>
      <c r="B878" t="s">
        <v>2321</v>
      </c>
      <c r="C878" s="7"/>
      <c r="D878" s="7" t="str">
        <f t="shared" si="17"/>
        <v>NACE O - 81.22 Other building and industrial cleaning activities</v>
      </c>
    </row>
    <row r="879" spans="1:4" x14ac:dyDescent="0.25">
      <c r="A879" s="7" t="s">
        <v>2322</v>
      </c>
      <c r="B879" t="s">
        <v>2323</v>
      </c>
      <c r="C879" s="7"/>
      <c r="D879" s="7" t="str">
        <f t="shared" si="17"/>
        <v>NACE O - 81.23 Other cleaning activities</v>
      </c>
    </row>
    <row r="880" spans="1:4" x14ac:dyDescent="0.25">
      <c r="A880" s="6" t="s">
        <v>2324</v>
      </c>
      <c r="B880" t="s">
        <v>2325</v>
      </c>
      <c r="C880" s="7"/>
      <c r="D880" s="6" t="str">
        <f t="shared" si="17"/>
        <v>NACE O - 81.3 Landscape service activities</v>
      </c>
    </row>
    <row r="881" spans="1:4" x14ac:dyDescent="0.25">
      <c r="A881" s="7" t="s">
        <v>2326</v>
      </c>
      <c r="B881" t="s">
        <v>2327</v>
      </c>
      <c r="C881" s="7"/>
      <c r="D881" s="7" t="str">
        <f t="shared" si="17"/>
        <v>NACE O - 81.30 Landscape service activities</v>
      </c>
    </row>
    <row r="882" spans="1:4" x14ac:dyDescent="0.25">
      <c r="A882" s="5" t="s">
        <v>2328</v>
      </c>
      <c r="B882" t="s">
        <v>2329</v>
      </c>
      <c r="C882" s="7"/>
      <c r="D882" s="5" t="str">
        <f t="shared" si="17"/>
        <v>NACE O - 82 Office administrative, office support and other business support activities</v>
      </c>
    </row>
    <row r="883" spans="1:4" x14ac:dyDescent="0.25">
      <c r="A883" s="6" t="s">
        <v>2330</v>
      </c>
      <c r="B883" t="s">
        <v>2331</v>
      </c>
      <c r="C883" s="7"/>
      <c r="D883" s="6" t="str">
        <f t="shared" si="17"/>
        <v>NACE O - 82.1 Office administrative and support activities</v>
      </c>
    </row>
    <row r="884" spans="1:4" x14ac:dyDescent="0.25">
      <c r="A884" s="7" t="s">
        <v>2332</v>
      </c>
      <c r="B884" t="s">
        <v>2333</v>
      </c>
      <c r="C884" s="7"/>
      <c r="D884" s="7" t="str">
        <f t="shared" si="17"/>
        <v>NACE O - 82.10 Office administrative and support activities</v>
      </c>
    </row>
    <row r="885" spans="1:4" x14ac:dyDescent="0.25">
      <c r="A885" s="6" t="s">
        <v>2334</v>
      </c>
      <c r="B885" t="s">
        <v>2335</v>
      </c>
      <c r="C885" s="7"/>
      <c r="D885" s="6" t="str">
        <f t="shared" si="17"/>
        <v>NACE O - 82.2 Activities of call centres</v>
      </c>
    </row>
    <row r="886" spans="1:4" x14ac:dyDescent="0.25">
      <c r="A886" s="7" t="s">
        <v>2336</v>
      </c>
      <c r="B886" t="s">
        <v>2337</v>
      </c>
      <c r="C886" s="7"/>
      <c r="D886" s="7" t="str">
        <f t="shared" si="17"/>
        <v>NACE O - 82.20 Activities of call centres</v>
      </c>
    </row>
    <row r="887" spans="1:4" x14ac:dyDescent="0.25">
      <c r="A887" s="6" t="s">
        <v>2338</v>
      </c>
      <c r="B887" t="s">
        <v>2339</v>
      </c>
      <c r="C887" s="7"/>
      <c r="D887" s="6" t="str">
        <f t="shared" si="17"/>
        <v>NACE O - 82.3 Organisation of conventions and trade shows</v>
      </c>
    </row>
    <row r="888" spans="1:4" x14ac:dyDescent="0.25">
      <c r="A888" s="7" t="s">
        <v>2340</v>
      </c>
      <c r="B888" t="s">
        <v>2341</v>
      </c>
      <c r="C888" s="7"/>
      <c r="D888" s="7" t="str">
        <f t="shared" si="17"/>
        <v>NACE O - 82.30 Organisation of conventions and trade shows</v>
      </c>
    </row>
    <row r="889" spans="1:4" x14ac:dyDescent="0.25">
      <c r="A889" s="6" t="s">
        <v>2342</v>
      </c>
      <c r="B889" t="s">
        <v>2343</v>
      </c>
      <c r="C889" s="7"/>
      <c r="D889" s="6" t="str">
        <f t="shared" si="17"/>
        <v>NACE O - 82.4 Intermediation service activities for business support service activities n.e.c.</v>
      </c>
    </row>
    <row r="890" spans="1:4" x14ac:dyDescent="0.25">
      <c r="A890" s="7" t="s">
        <v>2344</v>
      </c>
      <c r="B890" t="s">
        <v>2345</v>
      </c>
      <c r="C890" s="7"/>
      <c r="D890" s="7" t="str">
        <f t="shared" si="17"/>
        <v>NACE O - 82.40 Intermediation service activities for business support service activities n.e.c.</v>
      </c>
    </row>
    <row r="891" spans="1:4" x14ac:dyDescent="0.25">
      <c r="A891" s="6" t="s">
        <v>2346</v>
      </c>
      <c r="B891" t="s">
        <v>2347</v>
      </c>
      <c r="C891" s="7"/>
      <c r="D891" s="6" t="str">
        <f t="shared" si="17"/>
        <v>NACE O - 82.9 Business support service activities n.e.c.</v>
      </c>
    </row>
    <row r="892" spans="1:4" x14ac:dyDescent="0.25">
      <c r="A892" s="7" t="s">
        <v>2348</v>
      </c>
      <c r="B892" t="s">
        <v>2349</v>
      </c>
      <c r="C892" s="7"/>
      <c r="D892" s="7" t="str">
        <f t="shared" si="17"/>
        <v>NACE O - 82.91 Activities of collection agencies and credit bureaus</v>
      </c>
    </row>
    <row r="893" spans="1:4" x14ac:dyDescent="0.25">
      <c r="A893" s="7" t="s">
        <v>2350</v>
      </c>
      <c r="B893" t="s">
        <v>2351</v>
      </c>
      <c r="C893" s="7"/>
      <c r="D893" s="7" t="str">
        <f t="shared" si="17"/>
        <v>NACE O - 82.92 Packaging activities</v>
      </c>
    </row>
    <row r="894" spans="1:4" x14ac:dyDescent="0.25">
      <c r="A894" s="7" t="s">
        <v>2352</v>
      </c>
      <c r="B894" t="s">
        <v>2353</v>
      </c>
      <c r="C894" s="7"/>
      <c r="D894" s="7" t="str">
        <f t="shared" si="17"/>
        <v>NACE O - 82.99 Other business support service activities n.e.c.</v>
      </c>
    </row>
    <row r="895" spans="1:4" x14ac:dyDescent="0.25">
      <c r="A895" s="4" t="s">
        <v>2354</v>
      </c>
      <c r="B895" t="s">
        <v>2355</v>
      </c>
      <c r="C895" s="7"/>
      <c r="D895" s="4" t="str">
        <f t="shared" si="17"/>
        <v>NACE P - PUBLIC ADMINISTRATION AND DEFENCE; COMPULSORY SOCIAL SECURITY</v>
      </c>
    </row>
    <row r="896" spans="1:4" x14ac:dyDescent="0.25">
      <c r="A896" s="5" t="s">
        <v>2356</v>
      </c>
      <c r="B896" t="s">
        <v>2357</v>
      </c>
      <c r="C896" s="7"/>
      <c r="D896" s="5" t="str">
        <f t="shared" si="17"/>
        <v>NACE P - 84 Public administration and defence; compulsory social security</v>
      </c>
    </row>
    <row r="897" spans="1:4" x14ac:dyDescent="0.25">
      <c r="A897" s="6" t="s">
        <v>2358</v>
      </c>
      <c r="B897" t="s">
        <v>2359</v>
      </c>
      <c r="C897" s="7"/>
      <c r="D897" s="6" t="str">
        <f t="shared" si="17"/>
        <v>NACE P - 84.1 Administration of the State and the economic, social and environmental policies of the community</v>
      </c>
    </row>
    <row r="898" spans="1:4" x14ac:dyDescent="0.25">
      <c r="A898" s="7" t="s">
        <v>2360</v>
      </c>
      <c r="B898" t="s">
        <v>2361</v>
      </c>
      <c r="C898" s="7"/>
      <c r="D898" s="7" t="str">
        <f t="shared" ref="D898:D961" si="18">_xlfn.CONCAT("NACE ", A898)</f>
        <v>NACE P - 84.11 General public administration activities</v>
      </c>
    </row>
    <row r="899" spans="1:4" x14ac:dyDescent="0.25">
      <c r="A899" s="7" t="s">
        <v>2362</v>
      </c>
      <c r="B899" t="s">
        <v>2363</v>
      </c>
      <c r="C899" s="7"/>
      <c r="D899" s="7" t="str">
        <f t="shared" si="18"/>
        <v>NACE P - 84.12 Regulation of health care, education, cultural services and other social services</v>
      </c>
    </row>
    <row r="900" spans="1:4" x14ac:dyDescent="0.25">
      <c r="A900" s="7" t="s">
        <v>2364</v>
      </c>
      <c r="B900" t="s">
        <v>2365</v>
      </c>
      <c r="C900" s="7"/>
      <c r="D900" s="7" t="str">
        <f t="shared" si="18"/>
        <v>NACE P - 84.13 Regulation of and contribution to more efficient operation of businesses</v>
      </c>
    </row>
    <row r="901" spans="1:4" x14ac:dyDescent="0.25">
      <c r="A901" s="6" t="s">
        <v>2366</v>
      </c>
      <c r="B901" t="s">
        <v>2367</v>
      </c>
      <c r="C901" s="7"/>
      <c r="D901" s="6" t="str">
        <f t="shared" si="18"/>
        <v>NACE P - 84.2 Provision of services to the community as a whole</v>
      </c>
    </row>
    <row r="902" spans="1:4" x14ac:dyDescent="0.25">
      <c r="A902" s="7" t="s">
        <v>2368</v>
      </c>
      <c r="B902" t="s">
        <v>2369</v>
      </c>
      <c r="C902" s="7"/>
      <c r="D902" s="7" t="str">
        <f t="shared" si="18"/>
        <v>NACE P - 84.21 Foreign affairs</v>
      </c>
    </row>
    <row r="903" spans="1:4" x14ac:dyDescent="0.25">
      <c r="A903" s="7" t="s">
        <v>2370</v>
      </c>
      <c r="B903" t="s">
        <v>2371</v>
      </c>
      <c r="C903" s="7"/>
      <c r="D903" s="7" t="str">
        <f t="shared" si="18"/>
        <v>NACE P - 84.22 Defence activities</v>
      </c>
    </row>
    <row r="904" spans="1:4" x14ac:dyDescent="0.25">
      <c r="A904" s="7" t="s">
        <v>2372</v>
      </c>
      <c r="B904" t="s">
        <v>2373</v>
      </c>
      <c r="C904" s="7"/>
      <c r="D904" s="7" t="str">
        <f t="shared" si="18"/>
        <v>NACE P - 84.23 Justice and judicial activities</v>
      </c>
    </row>
    <row r="905" spans="1:4" x14ac:dyDescent="0.25">
      <c r="A905" s="7" t="s">
        <v>2374</v>
      </c>
      <c r="B905" t="s">
        <v>2375</v>
      </c>
      <c r="C905" s="7"/>
      <c r="D905" s="7" t="str">
        <f t="shared" si="18"/>
        <v>NACE P - 84.24 Public order and safety activities</v>
      </c>
    </row>
    <row r="906" spans="1:4" x14ac:dyDescent="0.25">
      <c r="A906" s="7" t="s">
        <v>2376</v>
      </c>
      <c r="B906" t="s">
        <v>2377</v>
      </c>
      <c r="C906" s="7"/>
      <c r="D906" s="7" t="str">
        <f t="shared" si="18"/>
        <v>NACE P - 84.25 Fire service activities</v>
      </c>
    </row>
    <row r="907" spans="1:4" x14ac:dyDescent="0.25">
      <c r="A907" s="6" t="s">
        <v>2378</v>
      </c>
      <c r="B907" t="s">
        <v>2379</v>
      </c>
      <c r="C907" s="7"/>
      <c r="D907" s="6" t="str">
        <f t="shared" si="18"/>
        <v>NACE P - 84.3 Compulsory social security activities</v>
      </c>
    </row>
    <row r="908" spans="1:4" x14ac:dyDescent="0.25">
      <c r="A908" s="7" t="s">
        <v>2380</v>
      </c>
      <c r="B908" t="s">
        <v>2381</v>
      </c>
      <c r="C908" s="7"/>
      <c r="D908" s="7" t="str">
        <f t="shared" si="18"/>
        <v>NACE P - 84.30 Compulsory social security activities</v>
      </c>
    </row>
    <row r="909" spans="1:4" x14ac:dyDescent="0.25">
      <c r="A909" s="4" t="s">
        <v>2382</v>
      </c>
      <c r="B909" t="s">
        <v>2383</v>
      </c>
      <c r="C909" s="7"/>
      <c r="D909" s="4" t="str">
        <f t="shared" si="18"/>
        <v>NACE Q - EDUCATION</v>
      </c>
    </row>
    <row r="910" spans="1:4" x14ac:dyDescent="0.25">
      <c r="A910" s="5" t="s">
        <v>2384</v>
      </c>
      <c r="B910" t="s">
        <v>2385</v>
      </c>
      <c r="C910" s="7"/>
      <c r="D910" s="5" t="str">
        <f t="shared" si="18"/>
        <v>NACE Q - 85 Education</v>
      </c>
    </row>
    <row r="911" spans="1:4" x14ac:dyDescent="0.25">
      <c r="A911" s="6" t="s">
        <v>2386</v>
      </c>
      <c r="B911" t="s">
        <v>2387</v>
      </c>
      <c r="C911" s="7"/>
      <c r="D911" s="6" t="str">
        <f t="shared" si="18"/>
        <v>NACE Q - 85.1 Pre-primary education</v>
      </c>
    </row>
    <row r="912" spans="1:4" x14ac:dyDescent="0.25">
      <c r="A912" s="7" t="s">
        <v>2388</v>
      </c>
      <c r="B912" t="s">
        <v>2389</v>
      </c>
      <c r="C912" s="7"/>
      <c r="D912" s="7" t="str">
        <f t="shared" si="18"/>
        <v>NACE Q - 85.10 Pre-primary education</v>
      </c>
    </row>
    <row r="913" spans="1:4" x14ac:dyDescent="0.25">
      <c r="A913" s="6" t="s">
        <v>2390</v>
      </c>
      <c r="B913" t="s">
        <v>2391</v>
      </c>
      <c r="C913" s="7"/>
      <c r="D913" s="6" t="str">
        <f t="shared" si="18"/>
        <v>NACE Q - 85.2 Primary education</v>
      </c>
    </row>
    <row r="914" spans="1:4" x14ac:dyDescent="0.25">
      <c r="A914" s="7" t="s">
        <v>2392</v>
      </c>
      <c r="B914" t="s">
        <v>2393</v>
      </c>
      <c r="C914" s="7"/>
      <c r="D914" s="7" t="str">
        <f t="shared" si="18"/>
        <v>NACE Q - 85.20 Primary education</v>
      </c>
    </row>
    <row r="915" spans="1:4" x14ac:dyDescent="0.25">
      <c r="A915" s="6" t="s">
        <v>2394</v>
      </c>
      <c r="B915" t="s">
        <v>2395</v>
      </c>
      <c r="C915" s="7"/>
      <c r="D915" s="6" t="str">
        <f t="shared" si="18"/>
        <v>NACE Q - 85.3 Secondary and post-secondary non-tertiary education</v>
      </c>
    </row>
    <row r="916" spans="1:4" x14ac:dyDescent="0.25">
      <c r="A916" s="7" t="s">
        <v>2396</v>
      </c>
      <c r="B916" t="s">
        <v>2397</v>
      </c>
      <c r="C916" s="7"/>
      <c r="D916" s="7" t="str">
        <f t="shared" si="18"/>
        <v>NACE Q - 85.31 General secondary education</v>
      </c>
    </row>
    <row r="917" spans="1:4" x14ac:dyDescent="0.25">
      <c r="A917" s="7" t="s">
        <v>2398</v>
      </c>
      <c r="B917" t="s">
        <v>2399</v>
      </c>
      <c r="C917" s="7"/>
      <c r="D917" s="7" t="str">
        <f t="shared" si="18"/>
        <v>NACE Q - 85.32 Vocational secondary education</v>
      </c>
    </row>
    <row r="918" spans="1:4" x14ac:dyDescent="0.25">
      <c r="A918" s="7" t="s">
        <v>2400</v>
      </c>
      <c r="B918" t="s">
        <v>2401</v>
      </c>
      <c r="C918" s="7"/>
      <c r="D918" s="7" t="str">
        <f t="shared" si="18"/>
        <v>NACE Q - 85.33 Post-secondary non-tertiary education</v>
      </c>
    </row>
    <row r="919" spans="1:4" x14ac:dyDescent="0.25">
      <c r="A919" s="6" t="s">
        <v>2402</v>
      </c>
      <c r="B919" t="s">
        <v>2403</v>
      </c>
      <c r="C919" s="7"/>
      <c r="D919" s="6" t="str">
        <f t="shared" si="18"/>
        <v>NACE Q - 85.4 Tertiary education</v>
      </c>
    </row>
    <row r="920" spans="1:4" x14ac:dyDescent="0.25">
      <c r="A920" s="7" t="s">
        <v>2404</v>
      </c>
      <c r="B920" t="s">
        <v>2405</v>
      </c>
      <c r="C920" s="7"/>
      <c r="D920" s="7" t="str">
        <f t="shared" si="18"/>
        <v>NACE Q - 85.40 Tertiary education</v>
      </c>
    </row>
    <row r="921" spans="1:4" x14ac:dyDescent="0.25">
      <c r="A921" s="6" t="s">
        <v>2406</v>
      </c>
      <c r="B921" t="s">
        <v>2407</v>
      </c>
      <c r="C921" s="7"/>
      <c r="D921" s="6" t="str">
        <f t="shared" si="18"/>
        <v>NACE Q - 85.5 Other education</v>
      </c>
    </row>
    <row r="922" spans="1:4" x14ac:dyDescent="0.25">
      <c r="A922" s="7" t="s">
        <v>2408</v>
      </c>
      <c r="B922" t="s">
        <v>2409</v>
      </c>
      <c r="C922" s="7"/>
      <c r="D922" s="7" t="str">
        <f t="shared" si="18"/>
        <v>NACE Q - 85.51 Sports and recreation education</v>
      </c>
    </row>
    <row r="923" spans="1:4" x14ac:dyDescent="0.25">
      <c r="A923" s="7" t="s">
        <v>2410</v>
      </c>
      <c r="B923" t="s">
        <v>2411</v>
      </c>
      <c r="C923" s="7"/>
      <c r="D923" s="7" t="str">
        <f t="shared" si="18"/>
        <v>NACE Q - 85.52 Cultural education</v>
      </c>
    </row>
    <row r="924" spans="1:4" x14ac:dyDescent="0.25">
      <c r="A924" s="7" t="s">
        <v>2412</v>
      </c>
      <c r="B924" t="s">
        <v>2413</v>
      </c>
      <c r="C924" s="7"/>
      <c r="D924" s="7" t="str">
        <f t="shared" si="18"/>
        <v>NACE Q - 85.53 Driving school activities</v>
      </c>
    </row>
    <row r="925" spans="1:4" x14ac:dyDescent="0.25">
      <c r="A925" s="7" t="s">
        <v>2414</v>
      </c>
      <c r="B925" t="s">
        <v>2415</v>
      </c>
      <c r="C925" s="7"/>
      <c r="D925" s="7" t="str">
        <f t="shared" si="18"/>
        <v>NACE Q - 85.59 Other education n.e.c.</v>
      </c>
    </row>
    <row r="926" spans="1:4" x14ac:dyDescent="0.25">
      <c r="A926" s="6" t="s">
        <v>2416</v>
      </c>
      <c r="B926" t="s">
        <v>2417</v>
      </c>
      <c r="C926" s="7"/>
      <c r="D926" s="6" t="str">
        <f t="shared" si="18"/>
        <v>NACE Q - 85.6 Educational support activities</v>
      </c>
    </row>
    <row r="927" spans="1:4" x14ac:dyDescent="0.25">
      <c r="A927" s="7" t="s">
        <v>2418</v>
      </c>
      <c r="B927" t="s">
        <v>2419</v>
      </c>
      <c r="C927" s="7"/>
      <c r="D927" s="7" t="str">
        <f t="shared" si="18"/>
        <v>NACE Q - 85.61 Intermediation service activities for courses and tutors</v>
      </c>
    </row>
    <row r="928" spans="1:4" x14ac:dyDescent="0.25">
      <c r="A928" s="7" t="s">
        <v>2420</v>
      </c>
      <c r="B928" t="s">
        <v>2421</v>
      </c>
      <c r="C928" s="7"/>
      <c r="D928" s="7" t="str">
        <f t="shared" si="18"/>
        <v>NACE Q - 85.69 Educational support activities n.e.c.</v>
      </c>
    </row>
    <row r="929" spans="1:4" x14ac:dyDescent="0.25">
      <c r="A929" s="4" t="s">
        <v>2422</v>
      </c>
      <c r="B929" t="s">
        <v>2423</v>
      </c>
      <c r="C929" s="7"/>
      <c r="D929" s="4" t="str">
        <f t="shared" si="18"/>
        <v>NACE R - HUMAN HEALTH AND SOCIAL WORK ACTIVITIES</v>
      </c>
    </row>
    <row r="930" spans="1:4" x14ac:dyDescent="0.25">
      <c r="A930" s="5" t="s">
        <v>2424</v>
      </c>
      <c r="B930" t="s">
        <v>2425</v>
      </c>
      <c r="C930" s="7"/>
      <c r="D930" s="5" t="str">
        <f t="shared" si="18"/>
        <v>NACE R - 86 Human health activities</v>
      </c>
    </row>
    <row r="931" spans="1:4" x14ac:dyDescent="0.25">
      <c r="A931" s="6" t="s">
        <v>2426</v>
      </c>
      <c r="B931" t="s">
        <v>2427</v>
      </c>
      <c r="C931" s="7"/>
      <c r="D931" s="6" t="str">
        <f t="shared" si="18"/>
        <v>NACE R - 86.1 Hospital activities</v>
      </c>
    </row>
    <row r="932" spans="1:4" x14ac:dyDescent="0.25">
      <c r="A932" s="7" t="s">
        <v>2428</v>
      </c>
      <c r="B932" t="s">
        <v>2429</v>
      </c>
      <c r="C932" s="7"/>
      <c r="D932" s="7" t="str">
        <f t="shared" si="18"/>
        <v>NACE R - 86.10 Hospital activities</v>
      </c>
    </row>
    <row r="933" spans="1:4" x14ac:dyDescent="0.25">
      <c r="A933" s="6" t="s">
        <v>2430</v>
      </c>
      <c r="B933" t="s">
        <v>2431</v>
      </c>
      <c r="C933" s="7"/>
      <c r="D933" s="6" t="str">
        <f t="shared" si="18"/>
        <v>NACE R - 86.2 Medical and dental practice activities</v>
      </c>
    </row>
    <row r="934" spans="1:4" x14ac:dyDescent="0.25">
      <c r="A934" s="7" t="s">
        <v>2432</v>
      </c>
      <c r="B934" t="s">
        <v>2433</v>
      </c>
      <c r="C934" s="7"/>
      <c r="D934" s="7" t="str">
        <f t="shared" si="18"/>
        <v>NACE R - 86.21 General medical practice activities</v>
      </c>
    </row>
    <row r="935" spans="1:4" x14ac:dyDescent="0.25">
      <c r="A935" s="7" t="s">
        <v>2434</v>
      </c>
      <c r="B935" t="s">
        <v>2435</v>
      </c>
      <c r="C935" s="7"/>
      <c r="D935" s="7" t="str">
        <f t="shared" si="18"/>
        <v>NACE R - 86.22 Medical specialists activities</v>
      </c>
    </row>
    <row r="936" spans="1:4" x14ac:dyDescent="0.25">
      <c r="A936" s="7" t="s">
        <v>2436</v>
      </c>
      <c r="B936" t="s">
        <v>2437</v>
      </c>
      <c r="C936" s="7"/>
      <c r="D936" s="7" t="str">
        <f t="shared" si="18"/>
        <v>NACE R - 86.23 Dental practice care activities</v>
      </c>
    </row>
    <row r="937" spans="1:4" x14ac:dyDescent="0.25">
      <c r="A937" s="6" t="s">
        <v>2438</v>
      </c>
      <c r="B937" t="s">
        <v>2439</v>
      </c>
      <c r="C937" s="7"/>
      <c r="D937" s="6" t="str">
        <f t="shared" si="18"/>
        <v>NACE R - 86.9 Other human health activities</v>
      </c>
    </row>
    <row r="938" spans="1:4" x14ac:dyDescent="0.25">
      <c r="A938" s="7" t="s">
        <v>2440</v>
      </c>
      <c r="B938" t="s">
        <v>2441</v>
      </c>
      <c r="C938" s="7"/>
      <c r="D938" s="7" t="str">
        <f t="shared" si="18"/>
        <v>NACE R - 86.91 Diagnostic imaging services and medical laboratory activities</v>
      </c>
    </row>
    <row r="939" spans="1:4" x14ac:dyDescent="0.25">
      <c r="A939" s="7" t="s">
        <v>2442</v>
      </c>
      <c r="B939" t="s">
        <v>2443</v>
      </c>
      <c r="C939" s="7"/>
      <c r="D939" s="7" t="str">
        <f t="shared" si="18"/>
        <v>NACE R - 86.92 Patient transportation by ambulance</v>
      </c>
    </row>
    <row r="940" spans="1:4" x14ac:dyDescent="0.25">
      <c r="A940" s="7" t="s">
        <v>2444</v>
      </c>
      <c r="B940" t="s">
        <v>2445</v>
      </c>
      <c r="C940" s="7"/>
      <c r="D940" s="7" t="str">
        <f t="shared" si="18"/>
        <v>NACE R - 86.93 Activities of psychologists and psychotherapists, except medical doctors</v>
      </c>
    </row>
    <row r="941" spans="1:4" x14ac:dyDescent="0.25">
      <c r="A941" s="7" t="s">
        <v>2446</v>
      </c>
      <c r="B941" t="s">
        <v>2447</v>
      </c>
      <c r="C941" s="7"/>
      <c r="D941" s="7" t="str">
        <f t="shared" si="18"/>
        <v>NACE R - 86.94 Nursing and midwifery activities</v>
      </c>
    </row>
    <row r="942" spans="1:4" x14ac:dyDescent="0.25">
      <c r="A942" s="7" t="s">
        <v>2448</v>
      </c>
      <c r="B942" t="s">
        <v>2449</v>
      </c>
      <c r="C942" s="7"/>
      <c r="D942" s="7" t="str">
        <f t="shared" si="18"/>
        <v>NACE R - 86.95 Physiotherapy activities</v>
      </c>
    </row>
    <row r="943" spans="1:4" x14ac:dyDescent="0.25">
      <c r="A943" s="7" t="s">
        <v>2450</v>
      </c>
      <c r="B943" t="s">
        <v>2451</v>
      </c>
      <c r="C943" s="7"/>
      <c r="D943" s="7" t="str">
        <f t="shared" si="18"/>
        <v>NACE R - 86.96 Traditional, complementary and alternative medicine activities</v>
      </c>
    </row>
    <row r="944" spans="1:4" x14ac:dyDescent="0.25">
      <c r="A944" s="7" t="s">
        <v>2452</v>
      </c>
      <c r="B944" t="s">
        <v>2453</v>
      </c>
      <c r="C944" s="7"/>
      <c r="D944" s="7" t="str">
        <f t="shared" si="18"/>
        <v>NACE R - 86.97 Intermediation service activities for medical, dental and other human health services</v>
      </c>
    </row>
    <row r="945" spans="1:4" x14ac:dyDescent="0.25">
      <c r="A945" s="7" t="s">
        <v>2454</v>
      </c>
      <c r="B945" t="s">
        <v>2455</v>
      </c>
      <c r="C945" s="7"/>
      <c r="D945" s="7" t="str">
        <f t="shared" si="18"/>
        <v>NACE R - 86.99 Other human health activities n.e.c.</v>
      </c>
    </row>
    <row r="946" spans="1:4" x14ac:dyDescent="0.25">
      <c r="A946" s="5" t="s">
        <v>2456</v>
      </c>
      <c r="B946" t="s">
        <v>2457</v>
      </c>
      <c r="C946" s="7"/>
      <c r="D946" s="5" t="str">
        <f t="shared" si="18"/>
        <v>NACE R - 87 Residential care activities</v>
      </c>
    </row>
    <row r="947" spans="1:4" x14ac:dyDescent="0.25">
      <c r="A947" s="6" t="s">
        <v>2458</v>
      </c>
      <c r="B947" t="s">
        <v>2459</v>
      </c>
      <c r="C947" s="7"/>
      <c r="D947" s="6" t="str">
        <f t="shared" si="18"/>
        <v>NACE R - 87.1 Residential nursing care activities</v>
      </c>
    </row>
    <row r="948" spans="1:4" x14ac:dyDescent="0.25">
      <c r="A948" s="7" t="s">
        <v>2460</v>
      </c>
      <c r="B948" t="s">
        <v>2461</v>
      </c>
      <c r="C948" s="7"/>
      <c r="D948" s="7" t="str">
        <f t="shared" si="18"/>
        <v>NACE R - 87.10 Residential nursing care activities</v>
      </c>
    </row>
    <row r="949" spans="1:4" x14ac:dyDescent="0.25">
      <c r="A949" s="6" t="s">
        <v>2462</v>
      </c>
      <c r="B949" t="s">
        <v>2463</v>
      </c>
      <c r="C949" s="7"/>
      <c r="D949" s="6" t="str">
        <f t="shared" si="18"/>
        <v>NACE R - 87.2 Residential care activities for persons living with or having a diagnosis of a mental illness or substance abuse</v>
      </c>
    </row>
    <row r="950" spans="1:4" x14ac:dyDescent="0.25">
      <c r="A950" s="7" t="s">
        <v>2464</v>
      </c>
      <c r="B950" t="s">
        <v>2465</v>
      </c>
      <c r="C950" s="7"/>
      <c r="D950" s="7" t="str">
        <f t="shared" si="18"/>
        <v>NACE R - 87.20 Residential care activities for persons living with or having a diagnosis of a mental illness or substance abuse</v>
      </c>
    </row>
    <row r="951" spans="1:4" x14ac:dyDescent="0.25">
      <c r="A951" s="6" t="s">
        <v>2466</v>
      </c>
      <c r="B951" t="s">
        <v>2467</v>
      </c>
      <c r="C951" s="7"/>
      <c r="D951" s="6" t="str">
        <f t="shared" si="18"/>
        <v>NACE R - 87.3 Residential care activities for older persons or persons with physical disabilities</v>
      </c>
    </row>
    <row r="952" spans="1:4" x14ac:dyDescent="0.25">
      <c r="A952" s="7" t="s">
        <v>2468</v>
      </c>
      <c r="B952" t="s">
        <v>2469</v>
      </c>
      <c r="C952" s="7"/>
      <c r="D952" s="7" t="str">
        <f t="shared" si="18"/>
        <v>NACE R - 87.30 Residential care activities for older persons or persons with physical disabilities</v>
      </c>
    </row>
    <row r="953" spans="1:4" x14ac:dyDescent="0.25">
      <c r="A953" s="6" t="s">
        <v>2470</v>
      </c>
      <c r="B953" t="s">
        <v>2471</v>
      </c>
      <c r="C953" s="7"/>
      <c r="D953" s="6" t="str">
        <f t="shared" si="18"/>
        <v>NACE R - 87.9 Other residential care activities</v>
      </c>
    </row>
    <row r="954" spans="1:4" x14ac:dyDescent="0.25">
      <c r="A954" s="7" t="s">
        <v>2472</v>
      </c>
      <c r="B954" t="s">
        <v>2473</v>
      </c>
      <c r="C954" s="7"/>
      <c r="D954" s="7" t="str">
        <f t="shared" si="18"/>
        <v>NACE R - 87.91 Intermediation service activities for residential care activities</v>
      </c>
    </row>
    <row r="955" spans="1:4" x14ac:dyDescent="0.25">
      <c r="A955" s="7" t="s">
        <v>2474</v>
      </c>
      <c r="B955" t="s">
        <v>2475</v>
      </c>
      <c r="C955" s="7"/>
      <c r="D955" s="7" t="str">
        <f t="shared" si="18"/>
        <v>NACE R - 87.99 Other residential care activities n.e.c.</v>
      </c>
    </row>
    <row r="956" spans="1:4" x14ac:dyDescent="0.25">
      <c r="A956" s="5" t="s">
        <v>2476</v>
      </c>
      <c r="B956" t="s">
        <v>2477</v>
      </c>
      <c r="C956" s="7"/>
      <c r="D956" s="5" t="str">
        <f t="shared" si="18"/>
        <v>NACE R - 88 Social work activities without accommodation</v>
      </c>
    </row>
    <row r="957" spans="1:4" x14ac:dyDescent="0.25">
      <c r="A957" s="6" t="s">
        <v>2478</v>
      </c>
      <c r="B957" t="s">
        <v>2479</v>
      </c>
      <c r="C957" s="7"/>
      <c r="D957" s="6" t="str">
        <f t="shared" si="18"/>
        <v>NACE R - 88.1 Social work activities without accommodation for older persons or persons with disabilities</v>
      </c>
    </row>
    <row r="958" spans="1:4" x14ac:dyDescent="0.25">
      <c r="A958" s="7" t="s">
        <v>2480</v>
      </c>
      <c r="B958" t="s">
        <v>2481</v>
      </c>
      <c r="C958" s="7"/>
      <c r="D958" s="7" t="str">
        <f t="shared" si="18"/>
        <v>NACE R - 88.10 Social work activities without accommodation for older persons or persons with disabilities</v>
      </c>
    </row>
    <row r="959" spans="1:4" x14ac:dyDescent="0.25">
      <c r="A959" s="6" t="s">
        <v>2482</v>
      </c>
      <c r="B959" t="s">
        <v>2483</v>
      </c>
      <c r="C959" s="7"/>
      <c r="D959" s="6" t="str">
        <f t="shared" si="18"/>
        <v>NACE R - 88.9 Other social work activities without accommodation</v>
      </c>
    </row>
    <row r="960" spans="1:4" x14ac:dyDescent="0.25">
      <c r="A960" s="7" t="s">
        <v>2484</v>
      </c>
      <c r="B960" t="s">
        <v>2485</v>
      </c>
      <c r="C960" s="7"/>
      <c r="D960" s="7" t="str">
        <f t="shared" si="18"/>
        <v>NACE R - 88.91 Child day-care activities</v>
      </c>
    </row>
    <row r="961" spans="1:4" x14ac:dyDescent="0.25">
      <c r="A961" s="7" t="s">
        <v>2486</v>
      </c>
      <c r="B961" t="s">
        <v>2487</v>
      </c>
      <c r="C961" s="7"/>
      <c r="D961" s="7" t="str">
        <f t="shared" si="18"/>
        <v>NACE R - 88.99 Other social work activities without accommodation n.e.c.</v>
      </c>
    </row>
    <row r="962" spans="1:4" x14ac:dyDescent="0.25">
      <c r="A962" s="4" t="s">
        <v>2488</v>
      </c>
      <c r="B962" t="s">
        <v>2489</v>
      </c>
      <c r="C962" s="7"/>
      <c r="D962" s="4" t="str">
        <f t="shared" ref="D962:D1025" si="19">_xlfn.CONCAT("NACE ", A962)</f>
        <v>NACE S - ARTS, SPORTS AND RECREATION</v>
      </c>
    </row>
    <row r="963" spans="1:4" x14ac:dyDescent="0.25">
      <c r="A963" s="5" t="s">
        <v>2490</v>
      </c>
      <c r="B963" t="s">
        <v>2491</v>
      </c>
      <c r="C963" s="7"/>
      <c r="D963" s="5" t="str">
        <f t="shared" si="19"/>
        <v>NACE S - 90 Arts creation and performing arts activities</v>
      </c>
    </row>
    <row r="964" spans="1:4" x14ac:dyDescent="0.25">
      <c r="A964" s="6" t="s">
        <v>2492</v>
      </c>
      <c r="B964" t="s">
        <v>2493</v>
      </c>
      <c r="C964" s="7"/>
      <c r="D964" s="6" t="str">
        <f t="shared" si="19"/>
        <v>NACE S - 90.1 Arts creation activities</v>
      </c>
    </row>
    <row r="965" spans="1:4" x14ac:dyDescent="0.25">
      <c r="A965" s="7" t="s">
        <v>2494</v>
      </c>
      <c r="B965" t="s">
        <v>2495</v>
      </c>
      <c r="C965" s="7"/>
      <c r="D965" s="7" t="str">
        <f t="shared" si="19"/>
        <v>NACE S - 90.11 Literary creation and musical composition activities</v>
      </c>
    </row>
    <row r="966" spans="1:4" x14ac:dyDescent="0.25">
      <c r="A966" s="7" t="s">
        <v>2496</v>
      </c>
      <c r="B966" t="s">
        <v>2497</v>
      </c>
      <c r="C966" s="7"/>
      <c r="D966" s="7" t="str">
        <f t="shared" si="19"/>
        <v>NACE S - 90.12 Visual arts creation activities</v>
      </c>
    </row>
    <row r="967" spans="1:4" x14ac:dyDescent="0.25">
      <c r="A967" s="7" t="s">
        <v>2498</v>
      </c>
      <c r="B967" t="s">
        <v>2499</v>
      </c>
      <c r="C967" s="7"/>
      <c r="D967" s="7" t="str">
        <f t="shared" si="19"/>
        <v>NACE S - 90.13 Other arts creation activities</v>
      </c>
    </row>
    <row r="968" spans="1:4" x14ac:dyDescent="0.25">
      <c r="A968" s="6" t="s">
        <v>2500</v>
      </c>
      <c r="B968" t="s">
        <v>2501</v>
      </c>
      <c r="C968" s="7"/>
      <c r="D968" s="6" t="str">
        <f t="shared" si="19"/>
        <v>NACE S - 90.2 Activities of performing arts</v>
      </c>
    </row>
    <row r="969" spans="1:4" x14ac:dyDescent="0.25">
      <c r="A969" s="7" t="s">
        <v>2502</v>
      </c>
      <c r="B969" t="s">
        <v>2503</v>
      </c>
      <c r="C969" s="7"/>
      <c r="D969" s="7" t="str">
        <f t="shared" si="19"/>
        <v>NACE S - 90.20 Activities of performing arts</v>
      </c>
    </row>
    <row r="970" spans="1:4" x14ac:dyDescent="0.25">
      <c r="A970" s="6" t="s">
        <v>2504</v>
      </c>
      <c r="B970" t="s">
        <v>2505</v>
      </c>
      <c r="C970" s="7"/>
      <c r="D970" s="6" t="str">
        <f t="shared" si="19"/>
        <v>NACE S - 90.3 Support activities to arts creation and performing arts</v>
      </c>
    </row>
    <row r="971" spans="1:4" x14ac:dyDescent="0.25">
      <c r="A971" s="7" t="s">
        <v>2506</v>
      </c>
      <c r="B971" t="s">
        <v>2507</v>
      </c>
      <c r="C971" s="7"/>
      <c r="D971" s="7" t="str">
        <f t="shared" si="19"/>
        <v>NACE S - 90.31 Operation of arts facilities and sites</v>
      </c>
    </row>
    <row r="972" spans="1:4" x14ac:dyDescent="0.25">
      <c r="A972" s="7" t="s">
        <v>2508</v>
      </c>
      <c r="B972" t="s">
        <v>2509</v>
      </c>
      <c r="C972" s="7"/>
      <c r="D972" s="7" t="str">
        <f t="shared" si="19"/>
        <v>NACE S - 90.39 Other support activities to arts and performing arts</v>
      </c>
    </row>
    <row r="973" spans="1:4" x14ac:dyDescent="0.25">
      <c r="A973" s="5" t="s">
        <v>2510</v>
      </c>
      <c r="B973" t="s">
        <v>2511</v>
      </c>
      <c r="C973" s="7"/>
      <c r="D973" s="5" t="str">
        <f t="shared" si="19"/>
        <v>NACE S - 91 Libraries, archives, museums and other cultural activities</v>
      </c>
    </row>
    <row r="974" spans="1:4" x14ac:dyDescent="0.25">
      <c r="A974" s="6" t="s">
        <v>2512</v>
      </c>
      <c r="B974" t="s">
        <v>2513</v>
      </c>
      <c r="C974" s="7"/>
      <c r="D974" s="6" t="str">
        <f t="shared" si="19"/>
        <v>NACE S - 91.1 Library and archive activities</v>
      </c>
    </row>
    <row r="975" spans="1:4" x14ac:dyDescent="0.25">
      <c r="A975" s="7" t="s">
        <v>2514</v>
      </c>
      <c r="B975" t="s">
        <v>2515</v>
      </c>
      <c r="C975" s="7"/>
      <c r="D975" s="7" t="str">
        <f t="shared" si="19"/>
        <v>NACE S - 91.11 Library activities</v>
      </c>
    </row>
    <row r="976" spans="1:4" x14ac:dyDescent="0.25">
      <c r="A976" s="7" t="s">
        <v>2516</v>
      </c>
      <c r="B976" t="s">
        <v>2517</v>
      </c>
      <c r="C976" s="7"/>
      <c r="D976" s="7" t="str">
        <f t="shared" si="19"/>
        <v>NACE S - 91.12 Archive activities</v>
      </c>
    </row>
    <row r="977" spans="1:4" x14ac:dyDescent="0.25">
      <c r="A977" s="6" t="s">
        <v>2518</v>
      </c>
      <c r="B977" t="s">
        <v>2519</v>
      </c>
      <c r="C977" s="7"/>
      <c r="D977" s="6" t="str">
        <f t="shared" si="19"/>
        <v>NACE S - 91.2 Museum, collection, historical site and monument activities</v>
      </c>
    </row>
    <row r="978" spans="1:4" x14ac:dyDescent="0.25">
      <c r="A978" s="7" t="s">
        <v>2520</v>
      </c>
      <c r="B978" t="s">
        <v>2521</v>
      </c>
      <c r="C978" s="7"/>
      <c r="D978" s="7" t="str">
        <f t="shared" si="19"/>
        <v>NACE S - 91.21 Museum and collection activities</v>
      </c>
    </row>
    <row r="979" spans="1:4" x14ac:dyDescent="0.25">
      <c r="A979" s="7" t="s">
        <v>2522</v>
      </c>
      <c r="B979" t="s">
        <v>2523</v>
      </c>
      <c r="C979" s="7"/>
      <c r="D979" s="7" t="str">
        <f t="shared" si="19"/>
        <v>NACE S - 91.22 Historical site and monument activities</v>
      </c>
    </row>
    <row r="980" spans="1:4" x14ac:dyDescent="0.25">
      <c r="A980" s="6" t="s">
        <v>2524</v>
      </c>
      <c r="B980" t="s">
        <v>2525</v>
      </c>
      <c r="C980" s="7"/>
      <c r="D980" s="6" t="str">
        <f t="shared" si="19"/>
        <v>NACE S - 91.3 Conservation, restoration and other support activities for cultural heritage</v>
      </c>
    </row>
    <row r="981" spans="1:4" x14ac:dyDescent="0.25">
      <c r="A981" s="7" t="s">
        <v>2526</v>
      </c>
      <c r="B981" t="s">
        <v>2527</v>
      </c>
      <c r="C981" s="7"/>
      <c r="D981" s="7" t="str">
        <f t="shared" si="19"/>
        <v>NACE S - 91.30 Conservation, restoration and other support activities for cultural heritage</v>
      </c>
    </row>
    <row r="982" spans="1:4" x14ac:dyDescent="0.25">
      <c r="A982" s="6" t="s">
        <v>2528</v>
      </c>
      <c r="B982" t="s">
        <v>2529</v>
      </c>
      <c r="C982" s="7"/>
      <c r="D982" s="6" t="str">
        <f t="shared" si="19"/>
        <v>NACE S - 91.4 Botanical and zoological garden and nature reserve activities</v>
      </c>
    </row>
    <row r="983" spans="1:4" x14ac:dyDescent="0.25">
      <c r="A983" s="7" t="s">
        <v>2530</v>
      </c>
      <c r="B983" t="s">
        <v>2531</v>
      </c>
      <c r="C983" s="7"/>
      <c r="D983" s="7" t="str">
        <f t="shared" si="19"/>
        <v>NACE S - 91.41 Botanical and zoological garden activities</v>
      </c>
    </row>
    <row r="984" spans="1:4" x14ac:dyDescent="0.25">
      <c r="A984" s="7" t="s">
        <v>2532</v>
      </c>
      <c r="B984" t="s">
        <v>2533</v>
      </c>
      <c r="C984" s="7"/>
      <c r="D984" s="7" t="str">
        <f t="shared" si="19"/>
        <v>NACE S - 91.42 Nature reserve activities</v>
      </c>
    </row>
    <row r="985" spans="1:4" x14ac:dyDescent="0.25">
      <c r="A985" s="5" t="s">
        <v>2534</v>
      </c>
      <c r="B985" t="s">
        <v>2535</v>
      </c>
      <c r="C985" s="7"/>
      <c r="D985" s="5" t="str">
        <f t="shared" si="19"/>
        <v>NACE S - 92 Gambling and betting activities</v>
      </c>
    </row>
    <row r="986" spans="1:4" x14ac:dyDescent="0.25">
      <c r="A986" s="6" t="s">
        <v>2536</v>
      </c>
      <c r="B986" t="s">
        <v>2537</v>
      </c>
      <c r="C986" s="7"/>
      <c r="D986" s="6" t="str">
        <f t="shared" si="19"/>
        <v>NACE S - 92.0 Gambling and betting activities</v>
      </c>
    </row>
    <row r="987" spans="1:4" x14ac:dyDescent="0.25">
      <c r="A987" s="7" t="s">
        <v>2538</v>
      </c>
      <c r="B987" t="s">
        <v>2539</v>
      </c>
      <c r="C987" s="7"/>
      <c r="D987" s="7" t="str">
        <f t="shared" si="19"/>
        <v>NACE S - 92.00 Gambling and betting activities</v>
      </c>
    </row>
    <row r="988" spans="1:4" x14ac:dyDescent="0.25">
      <c r="A988" s="5" t="s">
        <v>2540</v>
      </c>
      <c r="B988" t="s">
        <v>2541</v>
      </c>
      <c r="C988" s="7"/>
      <c r="D988" s="5" t="str">
        <f t="shared" si="19"/>
        <v>NACE S - 93 Sports activities and amusement and recreation activities</v>
      </c>
    </row>
    <row r="989" spans="1:4" x14ac:dyDescent="0.25">
      <c r="A989" s="6" t="s">
        <v>2542</v>
      </c>
      <c r="B989" t="s">
        <v>2543</v>
      </c>
      <c r="C989" s="7"/>
      <c r="D989" s="6" t="str">
        <f t="shared" si="19"/>
        <v>NACE S - 93.1 Sports activities</v>
      </c>
    </row>
    <row r="990" spans="1:4" x14ac:dyDescent="0.25">
      <c r="A990" s="7" t="s">
        <v>2544</v>
      </c>
      <c r="B990" t="s">
        <v>2545</v>
      </c>
      <c r="C990" s="7"/>
      <c r="D990" s="7" t="str">
        <f t="shared" si="19"/>
        <v>NACE S - 93.11 Operation of sports facilities</v>
      </c>
    </row>
    <row r="991" spans="1:4" x14ac:dyDescent="0.25">
      <c r="A991" s="7" t="s">
        <v>2546</v>
      </c>
      <c r="B991" t="s">
        <v>2547</v>
      </c>
      <c r="C991" s="7"/>
      <c r="D991" s="7" t="str">
        <f t="shared" si="19"/>
        <v>NACE S - 93.12 Activities of sports clubs</v>
      </c>
    </row>
    <row r="992" spans="1:4" x14ac:dyDescent="0.25">
      <c r="A992" s="7" t="s">
        <v>2548</v>
      </c>
      <c r="B992" t="s">
        <v>2549</v>
      </c>
      <c r="C992" s="7"/>
      <c r="D992" s="7" t="str">
        <f t="shared" si="19"/>
        <v>NACE S - 93.13 Activities of fitness centres</v>
      </c>
    </row>
    <row r="993" spans="1:4" x14ac:dyDescent="0.25">
      <c r="A993" s="7" t="s">
        <v>2550</v>
      </c>
      <c r="B993" t="s">
        <v>2551</v>
      </c>
      <c r="C993" s="7"/>
      <c r="D993" s="7" t="str">
        <f t="shared" si="19"/>
        <v>NACE S - 93.19 Sports activities n.e.c.</v>
      </c>
    </row>
    <row r="994" spans="1:4" x14ac:dyDescent="0.25">
      <c r="A994" s="6" t="s">
        <v>2552</v>
      </c>
      <c r="B994" t="s">
        <v>2553</v>
      </c>
      <c r="C994" s="7"/>
      <c r="D994" s="6" t="str">
        <f t="shared" si="19"/>
        <v>NACE S - 93.2 Amusement and recreation activities</v>
      </c>
    </row>
    <row r="995" spans="1:4" x14ac:dyDescent="0.25">
      <c r="A995" s="7" t="s">
        <v>2554</v>
      </c>
      <c r="B995" t="s">
        <v>2555</v>
      </c>
      <c r="C995" s="7"/>
      <c r="D995" s="7" t="str">
        <f t="shared" si="19"/>
        <v>NACE S - 93.21 Activities of amusement parks and theme parks</v>
      </c>
    </row>
    <row r="996" spans="1:4" x14ac:dyDescent="0.25">
      <c r="A996" s="7" t="s">
        <v>2556</v>
      </c>
      <c r="B996" t="s">
        <v>2557</v>
      </c>
      <c r="C996" s="7"/>
      <c r="D996" s="7" t="str">
        <f t="shared" si="19"/>
        <v>NACE S - 93.29 Amusement and recreation activities n.e.c.</v>
      </c>
    </row>
    <row r="997" spans="1:4" x14ac:dyDescent="0.25">
      <c r="A997" s="4" t="s">
        <v>2558</v>
      </c>
      <c r="B997" t="s">
        <v>2559</v>
      </c>
      <c r="C997" s="7"/>
      <c r="D997" s="4" t="str">
        <f t="shared" si="19"/>
        <v>NACE T - OTHER SERVICE ACTIVITIES</v>
      </c>
    </row>
    <row r="998" spans="1:4" x14ac:dyDescent="0.25">
      <c r="A998" s="5" t="s">
        <v>2560</v>
      </c>
      <c r="B998" t="s">
        <v>2561</v>
      </c>
      <c r="C998" s="7"/>
      <c r="D998" s="5" t="str">
        <f t="shared" si="19"/>
        <v>NACE T - 94 Activities of membership organisations</v>
      </c>
    </row>
    <row r="999" spans="1:4" x14ac:dyDescent="0.25">
      <c r="A999" s="6" t="s">
        <v>2562</v>
      </c>
      <c r="B999" t="s">
        <v>2563</v>
      </c>
      <c r="C999" s="7"/>
      <c r="D999" s="6" t="str">
        <f t="shared" si="19"/>
        <v>NACE T - 94.1 Activities of business, employers and professional membership organisations</v>
      </c>
    </row>
    <row r="1000" spans="1:4" x14ac:dyDescent="0.25">
      <c r="A1000" s="7" t="s">
        <v>2564</v>
      </c>
      <c r="B1000" t="s">
        <v>2565</v>
      </c>
      <c r="C1000" s="7"/>
      <c r="D1000" s="7" t="str">
        <f t="shared" si="19"/>
        <v>NACE T - 94.11 Activities of business and employers membership organisations</v>
      </c>
    </row>
    <row r="1001" spans="1:4" x14ac:dyDescent="0.25">
      <c r="A1001" s="7" t="s">
        <v>2566</v>
      </c>
      <c r="B1001" t="s">
        <v>2567</v>
      </c>
      <c r="C1001" s="7"/>
      <c r="D1001" s="7" t="str">
        <f t="shared" si="19"/>
        <v>NACE T - 94.12 Activities of professional membership organisations</v>
      </c>
    </row>
    <row r="1002" spans="1:4" x14ac:dyDescent="0.25">
      <c r="A1002" s="6" t="s">
        <v>2568</v>
      </c>
      <c r="B1002" t="s">
        <v>2569</v>
      </c>
      <c r="C1002" s="7"/>
      <c r="D1002" s="6" t="str">
        <f t="shared" si="19"/>
        <v>NACE T - 94.2 Activities of trade unions</v>
      </c>
    </row>
    <row r="1003" spans="1:4" x14ac:dyDescent="0.25">
      <c r="A1003" s="7" t="s">
        <v>2570</v>
      </c>
      <c r="B1003" t="s">
        <v>2571</v>
      </c>
      <c r="C1003" s="7"/>
      <c r="D1003" s="7" t="str">
        <f t="shared" si="19"/>
        <v>NACE T - 94.20 Activities of trade unions</v>
      </c>
    </row>
    <row r="1004" spans="1:4" x14ac:dyDescent="0.25">
      <c r="A1004" s="6" t="s">
        <v>2572</v>
      </c>
      <c r="B1004" t="s">
        <v>2573</v>
      </c>
      <c r="C1004" s="7"/>
      <c r="D1004" s="6" t="str">
        <f t="shared" si="19"/>
        <v>NACE T - 94.9 Activities of other membership organisations</v>
      </c>
    </row>
    <row r="1005" spans="1:4" x14ac:dyDescent="0.25">
      <c r="A1005" s="7" t="s">
        <v>2574</v>
      </c>
      <c r="B1005" t="s">
        <v>2575</v>
      </c>
      <c r="C1005" s="7"/>
      <c r="D1005" s="7" t="str">
        <f t="shared" si="19"/>
        <v>NACE T - 94.91 Activities of religious organisations</v>
      </c>
    </row>
    <row r="1006" spans="1:4" x14ac:dyDescent="0.25">
      <c r="A1006" s="7" t="s">
        <v>2576</v>
      </c>
      <c r="B1006" t="s">
        <v>2577</v>
      </c>
      <c r="C1006" s="7"/>
      <c r="D1006" s="7" t="str">
        <f t="shared" si="19"/>
        <v>NACE T - 94.92 Activities of political organisations</v>
      </c>
    </row>
    <row r="1007" spans="1:4" x14ac:dyDescent="0.25">
      <c r="A1007" s="7" t="s">
        <v>2578</v>
      </c>
      <c r="B1007" t="s">
        <v>2579</v>
      </c>
      <c r="C1007" s="7"/>
      <c r="D1007" s="7" t="str">
        <f t="shared" si="19"/>
        <v>NACE T - 94.99 Activities of other membership organisations n.e.c.</v>
      </c>
    </row>
    <row r="1008" spans="1:4" x14ac:dyDescent="0.25">
      <c r="A1008" s="5" t="s">
        <v>2580</v>
      </c>
      <c r="B1008" t="s">
        <v>2581</v>
      </c>
      <c r="C1008" s="7"/>
      <c r="D1008" s="5" t="str">
        <f t="shared" si="19"/>
        <v>NACE T - 95 Repair and maintenance of computers, personal and household goods, and motor vehicles and motorcycles</v>
      </c>
    </row>
    <row r="1009" spans="1:4" x14ac:dyDescent="0.25">
      <c r="A1009" s="6" t="s">
        <v>2582</v>
      </c>
      <c r="B1009" t="s">
        <v>2583</v>
      </c>
      <c r="C1009" s="7"/>
      <c r="D1009" s="6" t="str">
        <f t="shared" si="19"/>
        <v>NACE T - 95.1 Repair and maintenance of computers and communication equipment</v>
      </c>
    </row>
    <row r="1010" spans="1:4" x14ac:dyDescent="0.25">
      <c r="A1010" s="7" t="s">
        <v>2584</v>
      </c>
      <c r="B1010" t="s">
        <v>2585</v>
      </c>
      <c r="C1010" s="7"/>
      <c r="D1010" s="7" t="str">
        <f t="shared" si="19"/>
        <v>NACE T - 95.10 Repair and maintenance of computers and communication equipment</v>
      </c>
    </row>
    <row r="1011" spans="1:4" x14ac:dyDescent="0.25">
      <c r="A1011" s="6" t="s">
        <v>2586</v>
      </c>
      <c r="B1011" t="s">
        <v>2587</v>
      </c>
      <c r="C1011" s="7"/>
      <c r="D1011" s="6" t="str">
        <f t="shared" si="19"/>
        <v>NACE T - 95.2 Repair and maintenance of personal and household goods</v>
      </c>
    </row>
    <row r="1012" spans="1:4" x14ac:dyDescent="0.25">
      <c r="A1012" s="7" t="s">
        <v>2588</v>
      </c>
      <c r="B1012" t="s">
        <v>2589</v>
      </c>
      <c r="C1012" s="7"/>
      <c r="D1012" s="7" t="str">
        <f t="shared" si="19"/>
        <v>NACE T - 95.21 Repair and maintenance of consumer electronics</v>
      </c>
    </row>
    <row r="1013" spans="1:4" x14ac:dyDescent="0.25">
      <c r="A1013" s="7" t="s">
        <v>2590</v>
      </c>
      <c r="B1013" t="s">
        <v>2591</v>
      </c>
      <c r="C1013" s="7"/>
      <c r="D1013" s="7" t="str">
        <f t="shared" si="19"/>
        <v>NACE T - 95.22 Repair and maintenance of household appliances and home and garden equipment</v>
      </c>
    </row>
    <row r="1014" spans="1:4" x14ac:dyDescent="0.25">
      <c r="A1014" s="7" t="s">
        <v>2592</v>
      </c>
      <c r="B1014" t="s">
        <v>2593</v>
      </c>
      <c r="C1014" s="7"/>
      <c r="D1014" s="7" t="str">
        <f t="shared" si="19"/>
        <v>NACE T - 95.23 Repair and maintenance of footwear and leather goods</v>
      </c>
    </row>
    <row r="1015" spans="1:4" x14ac:dyDescent="0.25">
      <c r="A1015" s="7" t="s">
        <v>2594</v>
      </c>
      <c r="B1015" t="s">
        <v>2595</v>
      </c>
      <c r="C1015" s="7"/>
      <c r="D1015" s="7" t="str">
        <f t="shared" si="19"/>
        <v>NACE T - 95.24 Repair and maintenance of furniture and home furnishings</v>
      </c>
    </row>
    <row r="1016" spans="1:4" x14ac:dyDescent="0.25">
      <c r="A1016" s="7" t="s">
        <v>2596</v>
      </c>
      <c r="B1016" t="s">
        <v>2597</v>
      </c>
      <c r="C1016" s="7"/>
      <c r="D1016" s="7" t="str">
        <f t="shared" si="19"/>
        <v>NACE T - 95.25 Repair and maintenance of watches, clocks and jewellery</v>
      </c>
    </row>
    <row r="1017" spans="1:4" x14ac:dyDescent="0.25">
      <c r="A1017" s="7" t="s">
        <v>2598</v>
      </c>
      <c r="B1017" t="s">
        <v>2599</v>
      </c>
      <c r="C1017" s="7"/>
      <c r="D1017" s="7" t="str">
        <f t="shared" si="19"/>
        <v>NACE T - 95.29 Repair and maintenance of personal and household goods n.e.c.</v>
      </c>
    </row>
    <row r="1018" spans="1:4" x14ac:dyDescent="0.25">
      <c r="A1018" s="6" t="s">
        <v>2600</v>
      </c>
      <c r="B1018" t="s">
        <v>2601</v>
      </c>
      <c r="C1018" s="7"/>
      <c r="D1018" s="6" t="str">
        <f t="shared" si="19"/>
        <v>NACE T - 95.3 Repair and maintenance of motor vehicles and motorcycles</v>
      </c>
    </row>
    <row r="1019" spans="1:4" x14ac:dyDescent="0.25">
      <c r="A1019" s="7" t="s">
        <v>2602</v>
      </c>
      <c r="B1019" t="s">
        <v>2603</v>
      </c>
      <c r="C1019" s="7"/>
      <c r="D1019" s="7" t="str">
        <f t="shared" si="19"/>
        <v>NACE T - 95.31 Repair and maintenance of motor vehicles</v>
      </c>
    </row>
    <row r="1020" spans="1:4" x14ac:dyDescent="0.25">
      <c r="A1020" s="7" t="s">
        <v>2604</v>
      </c>
      <c r="B1020" t="s">
        <v>2605</v>
      </c>
      <c r="C1020" s="7"/>
      <c r="D1020" s="7" t="str">
        <f t="shared" si="19"/>
        <v>NACE T - 95.32 Repair and maintenance of motorcycles</v>
      </c>
    </row>
    <row r="1021" spans="1:4" x14ac:dyDescent="0.25">
      <c r="A1021" s="6" t="s">
        <v>2606</v>
      </c>
      <c r="B1021" t="s">
        <v>2607</v>
      </c>
      <c r="C1021" s="7"/>
      <c r="D1021" s="6" t="str">
        <f t="shared" si="19"/>
        <v>NACE T - 95.4 Intermediation service activities for repair and maintenance of computers, personal and household goods, and motor vehicles and motorcycles</v>
      </c>
    </row>
    <row r="1022" spans="1:4" x14ac:dyDescent="0.25">
      <c r="A1022" s="7" t="s">
        <v>2608</v>
      </c>
      <c r="B1022" t="s">
        <v>2609</v>
      </c>
      <c r="C1022" s="7"/>
      <c r="D1022" s="7" t="str">
        <f t="shared" si="19"/>
        <v>NACE T - 95.40 Intermediation service activities for repair and maintenance of computers, personal and household goods, and motor vehicles and motorcycles</v>
      </c>
    </row>
    <row r="1023" spans="1:4" x14ac:dyDescent="0.25">
      <c r="A1023" s="5" t="s">
        <v>2610</v>
      </c>
      <c r="B1023" t="s">
        <v>2611</v>
      </c>
      <c r="C1023" s="7"/>
      <c r="D1023" s="5" t="str">
        <f t="shared" si="19"/>
        <v>NACE T - 96 Personal service activities</v>
      </c>
    </row>
    <row r="1024" spans="1:4" x14ac:dyDescent="0.25">
      <c r="A1024" s="6" t="s">
        <v>2612</v>
      </c>
      <c r="B1024" t="s">
        <v>2613</v>
      </c>
      <c r="C1024" s="7"/>
      <c r="D1024" s="6" t="str">
        <f t="shared" si="19"/>
        <v>NACE T - 96.1 Washing and cleaning of textile and fur products</v>
      </c>
    </row>
    <row r="1025" spans="1:4" x14ac:dyDescent="0.25">
      <c r="A1025" s="7" t="s">
        <v>2614</v>
      </c>
      <c r="B1025" t="s">
        <v>2615</v>
      </c>
      <c r="C1025" s="7"/>
      <c r="D1025" s="7" t="str">
        <f t="shared" si="19"/>
        <v>NACE T - 96.10 Washing and cleaning of textile and fur products</v>
      </c>
    </row>
    <row r="1026" spans="1:4" x14ac:dyDescent="0.25">
      <c r="A1026" s="6" t="s">
        <v>2616</v>
      </c>
      <c r="B1026" t="s">
        <v>2617</v>
      </c>
      <c r="C1026" s="7"/>
      <c r="D1026" s="6" t="str">
        <f t="shared" ref="D1026:D1049" si="20">_xlfn.CONCAT("NACE ", A1026)</f>
        <v>NACE T - 96.2 Hairdressing, beauty treatment, day spa and similar activities</v>
      </c>
    </row>
    <row r="1027" spans="1:4" x14ac:dyDescent="0.25">
      <c r="A1027" s="7" t="s">
        <v>2618</v>
      </c>
      <c r="B1027" t="s">
        <v>2619</v>
      </c>
      <c r="C1027" s="7"/>
      <c r="D1027" s="7" t="str">
        <f t="shared" si="20"/>
        <v>NACE T - 96.21 Hairdressing and barber activities</v>
      </c>
    </row>
    <row r="1028" spans="1:4" x14ac:dyDescent="0.25">
      <c r="A1028" s="7" t="s">
        <v>2620</v>
      </c>
      <c r="B1028" t="s">
        <v>2621</v>
      </c>
      <c r="C1028" s="7"/>
      <c r="D1028" s="7" t="str">
        <f t="shared" si="20"/>
        <v>NACE T - 96.22 Beauty care and other beauty treatment activities</v>
      </c>
    </row>
    <row r="1029" spans="1:4" x14ac:dyDescent="0.25">
      <c r="A1029" s="7" t="s">
        <v>2622</v>
      </c>
      <c r="B1029" t="s">
        <v>2623</v>
      </c>
      <c r="C1029" s="7"/>
      <c r="D1029" s="7" t="str">
        <f t="shared" si="20"/>
        <v>NACE T - 96.23 Day spa, sauna and steam bath activities</v>
      </c>
    </row>
    <row r="1030" spans="1:4" x14ac:dyDescent="0.25">
      <c r="A1030" s="6" t="s">
        <v>2624</v>
      </c>
      <c r="B1030" t="s">
        <v>2625</v>
      </c>
      <c r="C1030" s="7"/>
      <c r="D1030" s="6" t="str">
        <f t="shared" si="20"/>
        <v>NACE T - 96.3 Funeral and related activities</v>
      </c>
    </row>
    <row r="1031" spans="1:4" x14ac:dyDescent="0.25">
      <c r="A1031" s="7" t="s">
        <v>2626</v>
      </c>
      <c r="B1031" t="s">
        <v>2627</v>
      </c>
      <c r="C1031" s="7"/>
      <c r="D1031" s="7" t="str">
        <f t="shared" si="20"/>
        <v>NACE T - 96.30 Funeral and related activities</v>
      </c>
    </row>
    <row r="1032" spans="1:4" x14ac:dyDescent="0.25">
      <c r="A1032" s="6" t="s">
        <v>2628</v>
      </c>
      <c r="B1032" t="s">
        <v>2629</v>
      </c>
      <c r="C1032" s="7"/>
      <c r="D1032" s="6" t="str">
        <f t="shared" si="20"/>
        <v>NACE T - 96.4 Intermediation service activities for personal services</v>
      </c>
    </row>
    <row r="1033" spans="1:4" x14ac:dyDescent="0.25">
      <c r="A1033" s="7" t="s">
        <v>2630</v>
      </c>
      <c r="B1033" t="s">
        <v>2631</v>
      </c>
      <c r="C1033" s="7"/>
      <c r="D1033" s="7" t="str">
        <f t="shared" si="20"/>
        <v>NACE T - 96.40 Intermediation service activities for personal services</v>
      </c>
    </row>
    <row r="1034" spans="1:4" x14ac:dyDescent="0.25">
      <c r="A1034" s="6" t="s">
        <v>2632</v>
      </c>
      <c r="B1034" t="s">
        <v>2633</v>
      </c>
      <c r="C1034" s="7"/>
      <c r="D1034" s="6" t="str">
        <f t="shared" si="20"/>
        <v>NACE T - 96.9 Other personal service activities</v>
      </c>
    </row>
    <row r="1035" spans="1:4" x14ac:dyDescent="0.25">
      <c r="A1035" s="7" t="s">
        <v>2634</v>
      </c>
      <c r="B1035" t="s">
        <v>2635</v>
      </c>
      <c r="C1035" s="7"/>
      <c r="D1035" s="7" t="str">
        <f t="shared" si="20"/>
        <v>NACE T - 96.91 Provision of domestic personal service activities</v>
      </c>
    </row>
    <row r="1036" spans="1:4" x14ac:dyDescent="0.25">
      <c r="A1036" s="7" t="s">
        <v>2636</v>
      </c>
      <c r="B1036" t="s">
        <v>2637</v>
      </c>
      <c r="C1036" s="7"/>
      <c r="D1036" s="7" t="str">
        <f t="shared" si="20"/>
        <v>NACE T - 96.99 Other personal service activities n.e.c.</v>
      </c>
    </row>
    <row r="1037" spans="1:4" x14ac:dyDescent="0.25">
      <c r="A1037" s="4" t="s">
        <v>2638</v>
      </c>
      <c r="B1037" t="s">
        <v>2639</v>
      </c>
      <c r="C1037" s="7"/>
      <c r="D1037" s="4" t="str">
        <f t="shared" si="20"/>
        <v>NACE U - ACTIVITIES OF HOUSEHOLDS AS EMPLOYERS AND UNDIFFERENTIATED GOODS – AND SERVICE-PRODUCING ACTIVITIES OF HOUSEHOLDS FOR OWN USE</v>
      </c>
    </row>
    <row r="1038" spans="1:4" x14ac:dyDescent="0.25">
      <c r="A1038" s="5" t="s">
        <v>2640</v>
      </c>
      <c r="B1038" t="s">
        <v>2641</v>
      </c>
      <c r="C1038" s="7"/>
      <c r="D1038" s="5" t="str">
        <f t="shared" si="20"/>
        <v>NACE U - 97 Activities of households as employers of domestic personnel</v>
      </c>
    </row>
    <row r="1039" spans="1:4" x14ac:dyDescent="0.25">
      <c r="A1039" s="6" t="s">
        <v>2642</v>
      </c>
      <c r="B1039" t="s">
        <v>2643</v>
      </c>
      <c r="C1039" s="7"/>
      <c r="D1039" s="6" t="str">
        <f t="shared" si="20"/>
        <v>NACE U - 97.0 Activities of households as employers of domestic personnel</v>
      </c>
    </row>
    <row r="1040" spans="1:4" x14ac:dyDescent="0.25">
      <c r="A1040" s="7" t="s">
        <v>2644</v>
      </c>
      <c r="B1040" t="s">
        <v>2645</v>
      </c>
      <c r="C1040" s="7"/>
      <c r="D1040" s="7" t="str">
        <f t="shared" si="20"/>
        <v>NACE U - 97.00 Activities of households as employers of domestic personnel</v>
      </c>
    </row>
    <row r="1041" spans="1:4" x14ac:dyDescent="0.25">
      <c r="A1041" s="5" t="s">
        <v>2646</v>
      </c>
      <c r="B1041" t="s">
        <v>2647</v>
      </c>
      <c r="C1041" s="7"/>
      <c r="D1041" s="5" t="str">
        <f t="shared" si="20"/>
        <v>NACE U - 98 Undifferentiated goods- and service-producing activities of private households for own use</v>
      </c>
    </row>
    <row r="1042" spans="1:4" x14ac:dyDescent="0.25">
      <c r="A1042" s="6" t="s">
        <v>2648</v>
      </c>
      <c r="B1042" t="s">
        <v>2649</v>
      </c>
      <c r="C1042" s="7"/>
      <c r="D1042" s="6" t="str">
        <f t="shared" si="20"/>
        <v>NACE U - 98.1 Undifferentiated goods-producing activities of private households for own use</v>
      </c>
    </row>
    <row r="1043" spans="1:4" x14ac:dyDescent="0.25">
      <c r="A1043" s="7" t="s">
        <v>2650</v>
      </c>
      <c r="B1043" t="s">
        <v>2651</v>
      </c>
      <c r="C1043" s="7"/>
      <c r="D1043" s="7" t="str">
        <f t="shared" si="20"/>
        <v>NACE U - 98.10 Undifferentiated goods-producing activities of private households for own use</v>
      </c>
    </row>
    <row r="1044" spans="1:4" x14ac:dyDescent="0.25">
      <c r="A1044" s="6" t="s">
        <v>2652</v>
      </c>
      <c r="B1044" t="s">
        <v>2653</v>
      </c>
      <c r="C1044" s="7"/>
      <c r="D1044" s="6" t="str">
        <f t="shared" si="20"/>
        <v>NACE U - 98.2 Undifferentiated service-producing activities of private households for own use</v>
      </c>
    </row>
    <row r="1045" spans="1:4" x14ac:dyDescent="0.25">
      <c r="A1045" s="7" t="s">
        <v>2654</v>
      </c>
      <c r="B1045" t="s">
        <v>2655</v>
      </c>
      <c r="C1045" s="7"/>
      <c r="D1045" s="7" t="str">
        <f t="shared" si="20"/>
        <v>NACE U - 98.20 Undifferentiated service-producing activities of private households for own use</v>
      </c>
    </row>
    <row r="1046" spans="1:4" x14ac:dyDescent="0.25">
      <c r="A1046" s="4" t="s">
        <v>2656</v>
      </c>
      <c r="B1046" t="s">
        <v>2657</v>
      </c>
      <c r="C1046" s="7"/>
      <c r="D1046" s="4" t="str">
        <f t="shared" si="20"/>
        <v>NACE V - ACTIVITIES OF EXTRATERRITORIAL ORGANISATIONS AND BODIES</v>
      </c>
    </row>
    <row r="1047" spans="1:4" x14ac:dyDescent="0.25">
      <c r="A1047" s="5" t="s">
        <v>2658</v>
      </c>
      <c r="B1047" t="s">
        <v>2659</v>
      </c>
      <c r="C1047" s="7"/>
      <c r="D1047" s="5" t="str">
        <f t="shared" si="20"/>
        <v>NACE V - 99 Activities of extraterritorial organisations and bodies</v>
      </c>
    </row>
    <row r="1048" spans="1:4" x14ac:dyDescent="0.25">
      <c r="A1048" s="6" t="s">
        <v>2660</v>
      </c>
      <c r="B1048" t="s">
        <v>2661</v>
      </c>
      <c r="C1048" s="7"/>
      <c r="D1048" s="6" t="str">
        <f t="shared" si="20"/>
        <v>NACE V - 99.0 Activities of extraterritorial organisations and bodies</v>
      </c>
    </row>
    <row r="1049" spans="1:4" x14ac:dyDescent="0.25">
      <c r="A1049" s="7" t="s">
        <v>2662</v>
      </c>
      <c r="B1049" t="s">
        <v>2663</v>
      </c>
      <c r="C1049" s="7"/>
      <c r="D1049" s="7" t="str">
        <f t="shared" si="20"/>
        <v>NACE V - 99.00 Activities of extraterritorial organisations and bodies</v>
      </c>
    </row>
  </sheetData>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election activeCell="A3" sqref="A3:B3"/>
    </sheetView>
  </sheetViews>
  <sheetFormatPr defaultRowHeight="15" x14ac:dyDescent="0.25"/>
  <cols>
    <col min="1" max="1" width="19.5703125" bestFit="1" customWidth="1"/>
    <col min="2" max="2" width="59.7109375" bestFit="1" customWidth="1"/>
    <col min="3" max="3" width="27.28515625" customWidth="1"/>
    <col min="4" max="4" width="89" customWidth="1"/>
    <col min="5" max="5" width="35.85546875" customWidth="1"/>
    <col min="6" max="6" width="26.7109375" customWidth="1"/>
    <col min="7" max="7" width="44.28515625" bestFit="1" customWidth="1"/>
  </cols>
  <sheetData>
    <row r="1" spans="1:7" x14ac:dyDescent="0.25">
      <c r="A1" t="s">
        <v>3794</v>
      </c>
      <c r="B1" t="str">
        <f>"from " &amp; template_reporting_period_startdate &amp; " to " &amp; template_reporting_period_enddate</f>
        <v>from 01/01/2024 to 31/12/2024</v>
      </c>
      <c r="D1" t="s">
        <v>4513</v>
      </c>
      <c r="E1" t="s">
        <v>4514</v>
      </c>
      <c r="F1" t="s">
        <v>4515</v>
      </c>
      <c r="G1" t="s">
        <v>4516</v>
      </c>
    </row>
    <row r="2" spans="1:7" ht="13.9" customHeight="1" x14ac:dyDescent="0.25">
      <c r="A2" t="s">
        <v>3795</v>
      </c>
      <c r="B2" t="str">
        <f xml:space="preserve"> "at "  &amp; template_reporting_period_enddate</f>
        <v>at 31/12/2024</v>
      </c>
      <c r="D2" s="131" t="e">
        <f>IF(AND('General Information'!$H$107=TRUE, 'General Information'!D108&lt;&gt;"", 'General Information'!E108&lt;&gt;"", 'General Information'!F108&lt;&gt;"", 'General Information'!G108&lt;&gt;""), _xlfn.WEBSERVICE("https://nominatim.openstreetmap.org/search?q=" &amp; 'General Information'!K108 &amp; "&amp;format=json&amp;polygon=1&amp;addressdetails=1"), "")</f>
        <v>#VALUE!</v>
      </c>
      <c r="E2" s="132" t="e">
        <f t="shared" ref="E2:E26" si="0">MID(D2,SEARCH("""lat"":""",D2)+7,SEARCH("""lon"":""",D2)-SEARCH("""lat"":""",D2)-9)</f>
        <v>#VALUE!</v>
      </c>
      <c r="F2" s="132" t="e">
        <f t="shared" ref="F2:F26" si="1">MID(D2, SEARCH("""lon"":""", D2) + 7, SEARCH("""class""", D2) - SEARCH("""lon"":""", D2) - 9)</f>
        <v>#VALUE!</v>
      </c>
      <c r="G2" t="e">
        <f t="shared" ref="G2:G26" si="2">E2 &amp; "," &amp; F2</f>
        <v>#VALUE!</v>
      </c>
    </row>
    <row r="3" spans="1:7" ht="15.6" customHeight="1" x14ac:dyDescent="0.25">
      <c r="D3" s="131"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132" t="e">
        <f t="shared" si="0"/>
        <v>#VALUE!</v>
      </c>
      <c r="F3" s="132" t="e">
        <f t="shared" si="1"/>
        <v>#VALUE!</v>
      </c>
      <c r="G3" t="e">
        <f t="shared" si="2"/>
        <v>#VALUE!</v>
      </c>
    </row>
    <row r="4" spans="1:7" x14ac:dyDescent="0.25">
      <c r="D4" s="131"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132" t="e">
        <f t="shared" si="0"/>
        <v>#VALUE!</v>
      </c>
      <c r="F4" s="132" t="e">
        <f t="shared" si="1"/>
        <v>#VALUE!</v>
      </c>
      <c r="G4" t="e">
        <f t="shared" si="2"/>
        <v>#VALUE!</v>
      </c>
    </row>
    <row r="5" spans="1:7" x14ac:dyDescent="0.25">
      <c r="D5" s="131"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132" t="e">
        <f t="shared" si="0"/>
        <v>#VALUE!</v>
      </c>
      <c r="F5" s="132" t="e">
        <f t="shared" si="1"/>
        <v>#VALUE!</v>
      </c>
      <c r="G5" t="e">
        <f t="shared" si="2"/>
        <v>#VALUE!</v>
      </c>
    </row>
    <row r="6" spans="1:7" x14ac:dyDescent="0.25">
      <c r="D6" s="131"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132" t="e">
        <f t="shared" si="0"/>
        <v>#VALUE!</v>
      </c>
      <c r="F6" s="132" t="e">
        <f t="shared" si="1"/>
        <v>#VALUE!</v>
      </c>
      <c r="G6" t="e">
        <f t="shared" si="2"/>
        <v>#VALUE!</v>
      </c>
    </row>
    <row r="7" spans="1:7" x14ac:dyDescent="0.25">
      <c r="D7" s="131"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132" t="e">
        <f t="shared" si="0"/>
        <v>#VALUE!</v>
      </c>
      <c r="F7" s="132" t="e">
        <f t="shared" si="1"/>
        <v>#VALUE!</v>
      </c>
      <c r="G7" t="e">
        <f t="shared" si="2"/>
        <v>#VALUE!</v>
      </c>
    </row>
    <row r="8" spans="1:7" x14ac:dyDescent="0.25">
      <c r="D8" s="131"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132" t="e">
        <f t="shared" si="0"/>
        <v>#VALUE!</v>
      </c>
      <c r="F8" s="132" t="e">
        <f t="shared" si="1"/>
        <v>#VALUE!</v>
      </c>
      <c r="G8" t="e">
        <f t="shared" si="2"/>
        <v>#VALUE!</v>
      </c>
    </row>
    <row r="9" spans="1:7" x14ac:dyDescent="0.25">
      <c r="D9" s="131"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132" t="e">
        <f t="shared" si="0"/>
        <v>#VALUE!</v>
      </c>
      <c r="F9" s="132" t="e">
        <f t="shared" si="1"/>
        <v>#VALUE!</v>
      </c>
      <c r="G9" t="e">
        <f t="shared" si="2"/>
        <v>#VALUE!</v>
      </c>
    </row>
    <row r="10" spans="1:7" x14ac:dyDescent="0.25">
      <c r="D10" s="131"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132" t="e">
        <f t="shared" si="0"/>
        <v>#VALUE!</v>
      </c>
      <c r="F10" s="132" t="e">
        <f t="shared" si="1"/>
        <v>#VALUE!</v>
      </c>
      <c r="G10" t="e">
        <f t="shared" si="2"/>
        <v>#VALUE!</v>
      </c>
    </row>
    <row r="11" spans="1:7" x14ac:dyDescent="0.25">
      <c r="D11" s="131"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132" t="e">
        <f t="shared" si="0"/>
        <v>#VALUE!</v>
      </c>
      <c r="F11" s="132" t="e">
        <f t="shared" si="1"/>
        <v>#VALUE!</v>
      </c>
      <c r="G11" t="e">
        <f t="shared" si="2"/>
        <v>#VALUE!</v>
      </c>
    </row>
    <row r="12" spans="1:7" x14ac:dyDescent="0.25">
      <c r="D12" s="131"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132" t="e">
        <f t="shared" si="0"/>
        <v>#VALUE!</v>
      </c>
      <c r="F12" s="132" t="e">
        <f t="shared" si="1"/>
        <v>#VALUE!</v>
      </c>
      <c r="G12" t="e">
        <f t="shared" si="2"/>
        <v>#VALUE!</v>
      </c>
    </row>
    <row r="13" spans="1:7" x14ac:dyDescent="0.25">
      <c r="D13" s="131"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132" t="e">
        <f t="shared" si="0"/>
        <v>#VALUE!</v>
      </c>
      <c r="F13" s="132" t="e">
        <f t="shared" si="1"/>
        <v>#VALUE!</v>
      </c>
      <c r="G13" t="e">
        <f t="shared" si="2"/>
        <v>#VALUE!</v>
      </c>
    </row>
    <row r="14" spans="1:7" x14ac:dyDescent="0.25">
      <c r="D14" s="131"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132" t="e">
        <f t="shared" si="0"/>
        <v>#VALUE!</v>
      </c>
      <c r="F14" s="132" t="e">
        <f t="shared" si="1"/>
        <v>#VALUE!</v>
      </c>
      <c r="G14" t="e">
        <f t="shared" si="2"/>
        <v>#VALUE!</v>
      </c>
    </row>
    <row r="15" spans="1:7" x14ac:dyDescent="0.25">
      <c r="D15" s="131"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132" t="e">
        <f t="shared" si="0"/>
        <v>#VALUE!</v>
      </c>
      <c r="F15" s="132" t="e">
        <f t="shared" si="1"/>
        <v>#VALUE!</v>
      </c>
      <c r="G15" t="e">
        <f t="shared" si="2"/>
        <v>#VALUE!</v>
      </c>
    </row>
    <row r="16" spans="1:7" x14ac:dyDescent="0.25">
      <c r="D16" s="131"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132" t="e">
        <f t="shared" si="0"/>
        <v>#VALUE!</v>
      </c>
      <c r="F16" s="132" t="e">
        <f t="shared" si="1"/>
        <v>#VALUE!</v>
      </c>
      <c r="G16" t="e">
        <f t="shared" si="2"/>
        <v>#VALUE!</v>
      </c>
    </row>
    <row r="17" spans="4:7" x14ac:dyDescent="0.25">
      <c r="D17" s="131"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132" t="e">
        <f t="shared" si="0"/>
        <v>#VALUE!</v>
      </c>
      <c r="F17" s="132" t="e">
        <f t="shared" si="1"/>
        <v>#VALUE!</v>
      </c>
      <c r="G17" t="e">
        <f t="shared" si="2"/>
        <v>#VALUE!</v>
      </c>
    </row>
    <row r="18" spans="4:7" x14ac:dyDescent="0.25">
      <c r="D18" s="131"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132" t="e">
        <f t="shared" si="0"/>
        <v>#VALUE!</v>
      </c>
      <c r="F18" s="132" t="e">
        <f t="shared" si="1"/>
        <v>#VALUE!</v>
      </c>
      <c r="G18" t="e">
        <f t="shared" si="2"/>
        <v>#VALUE!</v>
      </c>
    </row>
    <row r="19" spans="4:7" x14ac:dyDescent="0.25">
      <c r="D19" s="131"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132" t="e">
        <f t="shared" si="0"/>
        <v>#VALUE!</v>
      </c>
      <c r="F19" s="132" t="e">
        <f t="shared" si="1"/>
        <v>#VALUE!</v>
      </c>
      <c r="G19" t="e">
        <f t="shared" si="2"/>
        <v>#VALUE!</v>
      </c>
    </row>
    <row r="20" spans="4:7" x14ac:dyDescent="0.25">
      <c r="D20" s="131"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132" t="e">
        <f t="shared" si="0"/>
        <v>#VALUE!</v>
      </c>
      <c r="F20" s="132" t="e">
        <f t="shared" si="1"/>
        <v>#VALUE!</v>
      </c>
      <c r="G20" t="e">
        <f t="shared" si="2"/>
        <v>#VALUE!</v>
      </c>
    </row>
    <row r="21" spans="4:7" x14ac:dyDescent="0.25">
      <c r="D21" s="131"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132" t="e">
        <f t="shared" si="0"/>
        <v>#VALUE!</v>
      </c>
      <c r="F21" s="132" t="e">
        <f t="shared" si="1"/>
        <v>#VALUE!</v>
      </c>
      <c r="G21" t="e">
        <f t="shared" si="2"/>
        <v>#VALUE!</v>
      </c>
    </row>
    <row r="22" spans="4:7" x14ac:dyDescent="0.25">
      <c r="D22" s="131"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132" t="e">
        <f t="shared" si="0"/>
        <v>#VALUE!</v>
      </c>
      <c r="F22" s="132" t="e">
        <f t="shared" si="1"/>
        <v>#VALUE!</v>
      </c>
      <c r="G22" t="e">
        <f t="shared" si="2"/>
        <v>#VALUE!</v>
      </c>
    </row>
    <row r="23" spans="4:7" x14ac:dyDescent="0.25">
      <c r="D23" s="131"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132" t="e">
        <f t="shared" si="0"/>
        <v>#VALUE!</v>
      </c>
      <c r="F23" s="132" t="e">
        <f t="shared" si="1"/>
        <v>#VALUE!</v>
      </c>
      <c r="G23" t="e">
        <f t="shared" si="2"/>
        <v>#VALUE!</v>
      </c>
    </row>
    <row r="24" spans="4:7" x14ac:dyDescent="0.25">
      <c r="D24" s="131"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132" t="e">
        <f t="shared" si="0"/>
        <v>#VALUE!</v>
      </c>
      <c r="F24" s="132" t="e">
        <f t="shared" si="1"/>
        <v>#VALUE!</v>
      </c>
      <c r="G24" t="e">
        <f t="shared" si="2"/>
        <v>#VALUE!</v>
      </c>
    </row>
    <row r="25" spans="4:7" x14ac:dyDescent="0.25">
      <c r="D25" s="131"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132" t="e">
        <f t="shared" si="0"/>
        <v>#VALUE!</v>
      </c>
      <c r="F25" s="132" t="e">
        <f t="shared" si="1"/>
        <v>#VALUE!</v>
      </c>
      <c r="G25" t="e">
        <f t="shared" si="2"/>
        <v>#VALUE!</v>
      </c>
    </row>
    <row r="26" spans="4:7" x14ac:dyDescent="0.25">
      <c r="D26" s="131"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132" t="e">
        <f t="shared" si="0"/>
        <v>#VALUE!</v>
      </c>
      <c r="F26" s="132" t="e">
        <f t="shared" si="1"/>
        <v>#VALUE!</v>
      </c>
      <c r="G26" t="e">
        <f t="shared" si="2"/>
        <v>#VALUE!</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election activeCell="D12" sqref="D12"/>
    </sheetView>
  </sheetViews>
  <sheetFormatPr defaultColWidth="8.85546875" defaultRowHeight="15" x14ac:dyDescent="0.25"/>
  <cols>
    <col min="1" max="1" width="78.28515625" style="16" customWidth="1"/>
    <col min="2" max="16384" width="8.85546875" style="16"/>
  </cols>
  <sheetData>
    <row r="1" spans="1:1" x14ac:dyDescent="0.25">
      <c r="A1" s="378" t="s">
        <v>4708</v>
      </c>
    </row>
    <row r="2" spans="1:1" x14ac:dyDescent="0.25">
      <c r="A2" s="379"/>
    </row>
    <row r="3" spans="1:1" x14ac:dyDescent="0.25">
      <c r="A3" s="379" t="s">
        <v>4709</v>
      </c>
    </row>
    <row r="4" spans="1:1" x14ac:dyDescent="0.25">
      <c r="A4" s="379"/>
    </row>
    <row r="5" spans="1:1" x14ac:dyDescent="0.25">
      <c r="A5" s="379" t="s">
        <v>4710</v>
      </c>
    </row>
    <row r="6" spans="1:1" x14ac:dyDescent="0.25">
      <c r="A6" s="379" t="s">
        <v>4711</v>
      </c>
    </row>
    <row r="7" spans="1:1" x14ac:dyDescent="0.25">
      <c r="A7" s="379" t="s">
        <v>4712</v>
      </c>
    </row>
    <row r="8" spans="1:1" x14ac:dyDescent="0.25">
      <c r="A8" s="379" t="s">
        <v>4713</v>
      </c>
    </row>
    <row r="9" spans="1:1" x14ac:dyDescent="0.25">
      <c r="A9" s="379" t="s">
        <v>4714</v>
      </c>
    </row>
    <row r="10" spans="1:1" x14ac:dyDescent="0.25">
      <c r="A10" s="379" t="s">
        <v>4715</v>
      </c>
    </row>
    <row r="11" spans="1:1" x14ac:dyDescent="0.25">
      <c r="A11" s="379"/>
    </row>
    <row r="12" spans="1:1" x14ac:dyDescent="0.25">
      <c r="A12" s="379" t="s">
        <v>4716</v>
      </c>
    </row>
    <row r="13" spans="1:1" x14ac:dyDescent="0.25">
      <c r="A13" s="379" t="s">
        <v>4717</v>
      </c>
    </row>
    <row r="14" spans="1:1" x14ac:dyDescent="0.25">
      <c r="A14" s="379"/>
    </row>
    <row r="15" spans="1:1" x14ac:dyDescent="0.25">
      <c r="A15" s="379" t="s">
        <v>4718</v>
      </c>
    </row>
    <row r="16" spans="1:1" x14ac:dyDescent="0.25">
      <c r="A16" s="379" t="s">
        <v>4719</v>
      </c>
    </row>
    <row r="17" spans="1:1" x14ac:dyDescent="0.25">
      <c r="A17" s="379" t="s">
        <v>4720</v>
      </c>
    </row>
    <row r="18" spans="1:1" x14ac:dyDescent="0.25">
      <c r="A18" s="379" t="s">
        <v>4721</v>
      </c>
    </row>
    <row r="19" spans="1:1" x14ac:dyDescent="0.25">
      <c r="A19" s="379" t="s">
        <v>4722</v>
      </c>
    </row>
    <row r="20" spans="1:1" x14ac:dyDescent="0.25">
      <c r="A20" s="379" t="s">
        <v>4723</v>
      </c>
    </row>
    <row r="21" spans="1:1" ht="15.75" thickBot="1" x14ac:dyDescent="0.3">
      <c r="A21" s="380" t="s">
        <v>4724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2.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customXml/itemProps2.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AEBA6F-9411-4923-AA77-FC83D4C0025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12</vt:i4>
      </vt:variant>
      <vt:variant>
        <vt:lpstr>Named Ranges</vt:lpstr>
      </vt:variant>
      <vt:variant>
        <vt:i4>299</vt:i4>
      </vt:variant>
    </vt:vector>
  </HeadingPairs>
  <TitlesOfParts>
    <vt:vector size="311" baseType="lpstr">
      <vt:lpstr>Introduction &amp; Validation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Enumeration Lists</vt:lpstr>
      <vt:lpstr>Technical Sheet</vt:lpstr>
      <vt:lpstr>Licence</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Richard Boessen</cp:lastModifiedBy>
  <cp:revision/>
  <dcterms:created xsi:type="dcterms:W3CDTF">2025-01-13T10:12:12Z</dcterms:created>
  <dcterms:modified xsi:type="dcterms:W3CDTF">2025-05-26T14:12:21Z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