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pul singh\OneDrive\Desktop\"/>
    </mc:Choice>
  </mc:AlternateContent>
  <xr:revisionPtr revIDLastSave="0" documentId="8_{B9669680-86BF-4C57-8157-C72F39BF981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ruti 2-STAGE FCFE" sheetId="4" r:id="rId1"/>
    <sheet name="Maruti 2-stage DDM" sheetId="3" r:id="rId2"/>
    <sheet name="Maruti 3-stage FCFE" sheetId="13" r:id="rId3"/>
    <sheet name="Maruti 3-Stage DDM" sheetId="11" r:id="rId4"/>
    <sheet name="Maruti FCFF" sheetId="8" r:id="rId5"/>
    <sheet name="Mahindra FCFE stage 2" sheetId="5" r:id="rId6"/>
    <sheet name="Mahindra 2-stage DDM" sheetId="6" r:id="rId7"/>
    <sheet name="Mahindra FCFE stage 3" sheetId="14" r:id="rId8"/>
    <sheet name="Mahindra 3-stage DDM" sheetId="12" r:id="rId9"/>
    <sheet name="Mahindra FCFF" sheetId="9" r:id="rId10"/>
    <sheet name="TATA MOTORS FCFE stage 2" sheetId="7" r:id="rId11"/>
    <sheet name="TATA MOTORS FCFE stage 3" sheetId="16" r:id="rId12"/>
    <sheet name="TATA MOTORS FCFF" sheetId="10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7" i="16" l="1"/>
  <c r="F15" i="16"/>
  <c r="G17" i="16" s="1"/>
  <c r="K13" i="16"/>
  <c r="F26" i="16" s="1"/>
  <c r="G26" i="16" s="1"/>
  <c r="H26" i="16" s="1"/>
  <c r="J13" i="16"/>
  <c r="I13" i="16"/>
  <c r="H13" i="16"/>
  <c r="G13" i="16"/>
  <c r="F13" i="16"/>
  <c r="G10" i="16"/>
  <c r="H10" i="16" s="1"/>
  <c r="I10" i="16" s="1"/>
  <c r="G9" i="16"/>
  <c r="H9" i="16" s="1"/>
  <c r="I9" i="16" s="1"/>
  <c r="J9" i="16" s="1"/>
  <c r="K9" i="16" s="1"/>
  <c r="G8" i="16"/>
  <c r="H8" i="16" s="1"/>
  <c r="I8" i="16" s="1"/>
  <c r="G7" i="16"/>
  <c r="H7" i="16" s="1"/>
  <c r="I28" i="14"/>
  <c r="F27" i="14"/>
  <c r="G27" i="14" s="1"/>
  <c r="H27" i="14" s="1"/>
  <c r="F26" i="14"/>
  <c r="G26" i="14" s="1"/>
  <c r="G28" i="14" s="1"/>
  <c r="F15" i="14"/>
  <c r="G17" i="14" s="1"/>
  <c r="K13" i="14"/>
  <c r="J13" i="14"/>
  <c r="I13" i="14"/>
  <c r="H13" i="14"/>
  <c r="G13" i="14"/>
  <c r="G9" i="14" s="1"/>
  <c r="H9" i="14" s="1"/>
  <c r="I9" i="14" s="1"/>
  <c r="J9" i="14" s="1"/>
  <c r="F13" i="14"/>
  <c r="G10" i="14"/>
  <c r="H10" i="14" s="1"/>
  <c r="I10" i="14" s="1"/>
  <c r="J10" i="14" s="1"/>
  <c r="G8" i="14"/>
  <c r="H8" i="14" s="1"/>
  <c r="I8" i="14" s="1"/>
  <c r="J8" i="14" s="1"/>
  <c r="F26" i="13"/>
  <c r="G26" i="13" s="1"/>
  <c r="H26" i="13" s="1"/>
  <c r="F27" i="13"/>
  <c r="G27" i="13" s="1"/>
  <c r="H27" i="13" s="1"/>
  <c r="F15" i="13"/>
  <c r="G17" i="13" s="1"/>
  <c r="K13" i="13"/>
  <c r="J13" i="13"/>
  <c r="I13" i="13"/>
  <c r="H13" i="13"/>
  <c r="G13" i="13"/>
  <c r="G9" i="13" s="1"/>
  <c r="F13" i="13"/>
  <c r="G10" i="13"/>
  <c r="G8" i="13"/>
  <c r="H8" i="13" s="1"/>
  <c r="K8" i="14" l="1"/>
  <c r="J8" i="16"/>
  <c r="K8" i="16" s="1"/>
  <c r="K10" i="14"/>
  <c r="F25" i="14" s="1"/>
  <c r="G25" i="14" s="1"/>
  <c r="J10" i="16"/>
  <c r="K10" i="16" s="1"/>
  <c r="K9" i="14"/>
  <c r="F28" i="14"/>
  <c r="F28" i="16"/>
  <c r="F24" i="16"/>
  <c r="I7" i="16"/>
  <c r="H15" i="16"/>
  <c r="I17" i="16" s="1"/>
  <c r="G15" i="16"/>
  <c r="H17" i="16" s="1"/>
  <c r="H26" i="14"/>
  <c r="H28" i="14" s="1"/>
  <c r="F23" i="14"/>
  <c r="G23" i="14" s="1"/>
  <c r="F24" i="14"/>
  <c r="G24" i="14" s="1"/>
  <c r="G7" i="14"/>
  <c r="I8" i="13"/>
  <c r="J8" i="13" s="1"/>
  <c r="K8" i="13" s="1"/>
  <c r="F23" i="13" s="1"/>
  <c r="H10" i="13"/>
  <c r="I10" i="13" s="1"/>
  <c r="J10" i="13" s="1"/>
  <c r="K10" i="13" s="1"/>
  <c r="F25" i="13" s="1"/>
  <c r="H9" i="13"/>
  <c r="I9" i="13" s="1"/>
  <c r="J9" i="13" s="1"/>
  <c r="K9" i="13" s="1"/>
  <c r="F24" i="13" s="1"/>
  <c r="H28" i="13"/>
  <c r="G28" i="13"/>
  <c r="G7" i="13"/>
  <c r="F29" i="12"/>
  <c r="G29" i="12" s="1"/>
  <c r="H29" i="12" s="1"/>
  <c r="I23" i="12"/>
  <c r="F23" i="12"/>
  <c r="G27" i="12"/>
  <c r="H27" i="12" s="1"/>
  <c r="F27" i="12"/>
  <c r="G26" i="12"/>
  <c r="H26" i="12" s="1"/>
  <c r="H23" i="12" s="1"/>
  <c r="F26" i="12"/>
  <c r="F12" i="3"/>
  <c r="F25" i="12"/>
  <c r="G25" i="12" s="1"/>
  <c r="H25" i="12" s="1"/>
  <c r="K14" i="12"/>
  <c r="J14" i="12"/>
  <c r="I14" i="12"/>
  <c r="H14" i="12"/>
  <c r="G14" i="12"/>
  <c r="K12" i="12"/>
  <c r="J12" i="12"/>
  <c r="I12" i="12"/>
  <c r="H12" i="12"/>
  <c r="G12" i="12"/>
  <c r="F12" i="12"/>
  <c r="K8" i="12"/>
  <c r="J8" i="12"/>
  <c r="I8" i="12"/>
  <c r="H8" i="12"/>
  <c r="G8" i="12"/>
  <c r="F8" i="12"/>
  <c r="F9" i="12" s="1"/>
  <c r="G7" i="12"/>
  <c r="G27" i="11"/>
  <c r="H27" i="11" s="1"/>
  <c r="F27" i="11"/>
  <c r="F26" i="11"/>
  <c r="F23" i="11" s="1"/>
  <c r="F25" i="11"/>
  <c r="G25" i="11" s="1"/>
  <c r="H25" i="11" s="1"/>
  <c r="G14" i="11"/>
  <c r="H14" i="11" s="1"/>
  <c r="I14" i="11" s="1"/>
  <c r="K12" i="11"/>
  <c r="J12" i="11"/>
  <c r="I12" i="11"/>
  <c r="H12" i="11"/>
  <c r="G12" i="11"/>
  <c r="F12" i="11"/>
  <c r="F9" i="11"/>
  <c r="G7" i="11"/>
  <c r="H7" i="11" s="1"/>
  <c r="G7" i="10"/>
  <c r="H7" i="10" s="1"/>
  <c r="I7" i="10" s="1"/>
  <c r="J7" i="10" s="1"/>
  <c r="K7" i="10" s="1"/>
  <c r="L7" i="10" s="1"/>
  <c r="L13" i="10"/>
  <c r="K13" i="10"/>
  <c r="J13" i="10"/>
  <c r="I13" i="10"/>
  <c r="H13" i="10"/>
  <c r="G13" i="10"/>
  <c r="F13" i="10"/>
  <c r="G10" i="10"/>
  <c r="H10" i="10" s="1"/>
  <c r="I10" i="10" s="1"/>
  <c r="J10" i="10" s="1"/>
  <c r="K10" i="10" s="1"/>
  <c r="L10" i="10" s="1"/>
  <c r="F9" i="10"/>
  <c r="G8" i="10"/>
  <c r="H8" i="10" s="1"/>
  <c r="I8" i="10" s="1"/>
  <c r="J8" i="10" s="1"/>
  <c r="K8" i="10" s="1"/>
  <c r="L8" i="10" s="1"/>
  <c r="G10" i="9"/>
  <c r="H10" i="9" s="1"/>
  <c r="I10" i="9" s="1"/>
  <c r="J10" i="9" s="1"/>
  <c r="K10" i="9" s="1"/>
  <c r="L10" i="9" s="1"/>
  <c r="G8" i="9"/>
  <c r="H8" i="9" s="1"/>
  <c r="I8" i="9" s="1"/>
  <c r="J8" i="9" s="1"/>
  <c r="K8" i="9" s="1"/>
  <c r="L8" i="9" s="1"/>
  <c r="G7" i="9"/>
  <c r="G9" i="9" s="1"/>
  <c r="H10" i="8"/>
  <c r="I10" i="8" s="1"/>
  <c r="J10" i="8" s="1"/>
  <c r="K10" i="8" s="1"/>
  <c r="L10" i="8" s="1"/>
  <c r="G10" i="8"/>
  <c r="H8" i="8"/>
  <c r="I8" i="8" s="1"/>
  <c r="J8" i="8" s="1"/>
  <c r="K8" i="8" s="1"/>
  <c r="L8" i="8" s="1"/>
  <c r="G8" i="8"/>
  <c r="G7" i="8"/>
  <c r="H7" i="8" s="1"/>
  <c r="I7" i="8" s="1"/>
  <c r="J7" i="8" s="1"/>
  <c r="K7" i="8" s="1"/>
  <c r="L7" i="8" s="1"/>
  <c r="L13" i="9"/>
  <c r="K13" i="9"/>
  <c r="J13" i="9"/>
  <c r="I13" i="9"/>
  <c r="H13" i="9"/>
  <c r="G13" i="9"/>
  <c r="F13" i="9"/>
  <c r="F9" i="9"/>
  <c r="F9" i="3"/>
  <c r="G13" i="8"/>
  <c r="H13" i="8"/>
  <c r="I13" i="8"/>
  <c r="J13" i="8"/>
  <c r="K13" i="8"/>
  <c r="L13" i="8"/>
  <c r="F9" i="8"/>
  <c r="F13" i="8"/>
  <c r="G23" i="12" l="1"/>
  <c r="F27" i="16"/>
  <c r="G28" i="16"/>
  <c r="H7" i="9"/>
  <c r="I7" i="9" s="1"/>
  <c r="J7" i="9" s="1"/>
  <c r="K7" i="9" s="1"/>
  <c r="L7" i="9" s="1"/>
  <c r="F25" i="16"/>
  <c r="F23" i="16"/>
  <c r="G23" i="16" s="1"/>
  <c r="G9" i="12"/>
  <c r="G15" i="12" s="1"/>
  <c r="J7" i="16"/>
  <c r="I15" i="16"/>
  <c r="J17" i="16" s="1"/>
  <c r="G24" i="16"/>
  <c r="H23" i="14"/>
  <c r="I23" i="14" s="1"/>
  <c r="H7" i="14"/>
  <c r="G15" i="14"/>
  <c r="H17" i="14" s="1"/>
  <c r="H25" i="14"/>
  <c r="I25" i="14" s="1"/>
  <c r="H24" i="14"/>
  <c r="I24" i="14" s="1"/>
  <c r="G25" i="13"/>
  <c r="H25" i="13" s="1"/>
  <c r="I25" i="13" s="1"/>
  <c r="G23" i="13"/>
  <c r="H23" i="13" s="1"/>
  <c r="I23" i="13" s="1"/>
  <c r="G24" i="13"/>
  <c r="H24" i="13" s="1"/>
  <c r="I24" i="13" s="1"/>
  <c r="H7" i="13"/>
  <c r="G15" i="13"/>
  <c r="H17" i="13" s="1"/>
  <c r="J14" i="11"/>
  <c r="K14" i="11" s="1"/>
  <c r="F29" i="11" s="1"/>
  <c r="G29" i="11" s="1"/>
  <c r="H29" i="11" s="1"/>
  <c r="H7" i="12"/>
  <c r="H9" i="11"/>
  <c r="H15" i="11" s="1"/>
  <c r="I7" i="11"/>
  <c r="G26" i="11"/>
  <c r="G9" i="11"/>
  <c r="G15" i="11" s="1"/>
  <c r="G9" i="8"/>
  <c r="F14" i="10"/>
  <c r="G9" i="10"/>
  <c r="G14" i="10" s="1"/>
  <c r="G16" i="10" s="1"/>
  <c r="H18" i="10" s="1"/>
  <c r="F16" i="10"/>
  <c r="G18" i="10" s="1"/>
  <c r="H9" i="9"/>
  <c r="H14" i="9" s="1"/>
  <c r="H16" i="9" s="1"/>
  <c r="I18" i="9" s="1"/>
  <c r="G14" i="9"/>
  <c r="G16" i="9" s="1"/>
  <c r="H18" i="9" s="1"/>
  <c r="F14" i="9"/>
  <c r="F16" i="9" s="1"/>
  <c r="G18" i="9" s="1"/>
  <c r="G14" i="8"/>
  <c r="G16" i="8" s="1"/>
  <c r="L9" i="8"/>
  <c r="L14" i="8" s="1"/>
  <c r="F14" i="8"/>
  <c r="F16" i="8" s="1"/>
  <c r="G18" i="8" s="1"/>
  <c r="L11" i="6"/>
  <c r="L12" i="7"/>
  <c r="L12" i="5"/>
  <c r="G14" i="3"/>
  <c r="L11" i="3"/>
  <c r="G12" i="3"/>
  <c r="G7" i="3" s="1"/>
  <c r="H12" i="3"/>
  <c r="I12" i="3"/>
  <c r="J12" i="3"/>
  <c r="K12" i="3"/>
  <c r="L12" i="4"/>
  <c r="G13" i="4"/>
  <c r="H13" i="4"/>
  <c r="I13" i="4"/>
  <c r="J13" i="4"/>
  <c r="K13" i="4"/>
  <c r="F13" i="4"/>
  <c r="G12" i="6"/>
  <c r="G7" i="6" s="1"/>
  <c r="H12" i="6"/>
  <c r="I12" i="6"/>
  <c r="J12" i="6"/>
  <c r="K12" i="6"/>
  <c r="F12" i="6"/>
  <c r="F15" i="7"/>
  <c r="G17" i="7" s="1"/>
  <c r="K13" i="7"/>
  <c r="J13" i="7"/>
  <c r="I13" i="7"/>
  <c r="H13" i="7"/>
  <c r="G13" i="7"/>
  <c r="F13" i="7"/>
  <c r="K14" i="6"/>
  <c r="J14" i="6"/>
  <c r="I14" i="6"/>
  <c r="H14" i="6"/>
  <c r="G14" i="6"/>
  <c r="G8" i="6"/>
  <c r="H8" i="6"/>
  <c r="I8" i="6"/>
  <c r="J8" i="6"/>
  <c r="K8" i="6"/>
  <c r="F8" i="6"/>
  <c r="F9" i="6" s="1"/>
  <c r="F15" i="5"/>
  <c r="G17" i="5" s="1"/>
  <c r="G13" i="5"/>
  <c r="H13" i="5"/>
  <c r="I13" i="5"/>
  <c r="J13" i="5"/>
  <c r="K13" i="5"/>
  <c r="F13" i="5"/>
  <c r="H28" i="16" l="1"/>
  <c r="H27" i="16" s="1"/>
  <c r="G27" i="16"/>
  <c r="G25" i="16"/>
  <c r="H25" i="16" s="1"/>
  <c r="I25" i="16" s="1"/>
  <c r="H23" i="16"/>
  <c r="I23" i="16" s="1"/>
  <c r="H24" i="16"/>
  <c r="I24" i="16" s="1"/>
  <c r="J15" i="16"/>
  <c r="K17" i="16" s="1"/>
  <c r="G34" i="16" s="1"/>
  <c r="K7" i="16"/>
  <c r="H15" i="14"/>
  <c r="I17" i="14" s="1"/>
  <c r="I7" i="14"/>
  <c r="H15" i="13"/>
  <c r="I17" i="13" s="1"/>
  <c r="I7" i="13"/>
  <c r="H9" i="12"/>
  <c r="H15" i="12" s="1"/>
  <c r="I7" i="12"/>
  <c r="I9" i="11"/>
  <c r="I15" i="11" s="1"/>
  <c r="J7" i="11"/>
  <c r="G23" i="11"/>
  <c r="H26" i="11"/>
  <c r="H23" i="11" s="1"/>
  <c r="G8" i="5"/>
  <c r="H8" i="5" s="1"/>
  <c r="I8" i="5" s="1"/>
  <c r="J8" i="5" s="1"/>
  <c r="K8" i="5" s="1"/>
  <c r="L8" i="5" s="1"/>
  <c r="G10" i="5"/>
  <c r="H10" i="5" s="1"/>
  <c r="I10" i="5" s="1"/>
  <c r="J10" i="5" s="1"/>
  <c r="K10" i="5" s="1"/>
  <c r="L10" i="5" s="1"/>
  <c r="G7" i="5"/>
  <c r="G9" i="5"/>
  <c r="H9" i="5" s="1"/>
  <c r="I9" i="5" s="1"/>
  <c r="J9" i="5" s="1"/>
  <c r="K9" i="5" s="1"/>
  <c r="L9" i="5" s="1"/>
  <c r="G10" i="7"/>
  <c r="H10" i="7" s="1"/>
  <c r="I10" i="7" s="1"/>
  <c r="J10" i="7" s="1"/>
  <c r="K10" i="7" s="1"/>
  <c r="L10" i="7" s="1"/>
  <c r="G7" i="7"/>
  <c r="H7" i="7" s="1"/>
  <c r="I7" i="7" s="1"/>
  <c r="J7" i="7" s="1"/>
  <c r="K7" i="7" s="1"/>
  <c r="L7" i="7" s="1"/>
  <c r="G8" i="7"/>
  <c r="H8" i="7" s="1"/>
  <c r="I8" i="7" s="1"/>
  <c r="J8" i="7" s="1"/>
  <c r="K8" i="7" s="1"/>
  <c r="L8" i="7" s="1"/>
  <c r="G9" i="3"/>
  <c r="H7" i="3"/>
  <c r="G10" i="4"/>
  <c r="H10" i="4" s="1"/>
  <c r="I10" i="4" s="1"/>
  <c r="J10" i="4" s="1"/>
  <c r="K10" i="4" s="1"/>
  <c r="L10" i="4" s="1"/>
  <c r="G9" i="4"/>
  <c r="H9" i="4" s="1"/>
  <c r="I9" i="4" s="1"/>
  <c r="J9" i="4" s="1"/>
  <c r="K9" i="4" s="1"/>
  <c r="L9" i="4" s="1"/>
  <c r="G8" i="4"/>
  <c r="H8" i="4" s="1"/>
  <c r="I8" i="4" s="1"/>
  <c r="J8" i="4" s="1"/>
  <c r="K8" i="4" s="1"/>
  <c r="L8" i="4" s="1"/>
  <c r="G7" i="4"/>
  <c r="H7" i="4" s="1"/>
  <c r="I7" i="4" s="1"/>
  <c r="J7" i="4" s="1"/>
  <c r="K7" i="4" s="1"/>
  <c r="L7" i="4" s="1"/>
  <c r="H14" i="3"/>
  <c r="I14" i="3" s="1"/>
  <c r="J14" i="3" s="1"/>
  <c r="K14" i="3" s="1"/>
  <c r="H7" i="6"/>
  <c r="G9" i="6"/>
  <c r="H9" i="10"/>
  <c r="H14" i="10" s="1"/>
  <c r="H16" i="10" s="1"/>
  <c r="I18" i="10" s="1"/>
  <c r="I9" i="8"/>
  <c r="I14" i="8" s="1"/>
  <c r="I16" i="8" s="1"/>
  <c r="J18" i="8" s="1"/>
  <c r="I9" i="9"/>
  <c r="I14" i="9" s="1"/>
  <c r="I16" i="9" s="1"/>
  <c r="J18" i="9" s="1"/>
  <c r="K9" i="8"/>
  <c r="K14" i="8" s="1"/>
  <c r="K16" i="8" s="1"/>
  <c r="J9" i="8"/>
  <c r="J14" i="8" s="1"/>
  <c r="J16" i="8" s="1"/>
  <c r="H9" i="8"/>
  <c r="H14" i="8" s="1"/>
  <c r="H16" i="8" s="1"/>
  <c r="I18" i="8" s="1"/>
  <c r="H18" i="8"/>
  <c r="G9" i="7"/>
  <c r="H9" i="7" s="1"/>
  <c r="I9" i="7" s="1"/>
  <c r="J9" i="7" s="1"/>
  <c r="K9" i="7" s="1"/>
  <c r="L9" i="7" s="1"/>
  <c r="G15" i="6"/>
  <c r="G20" i="7" l="1"/>
  <c r="G21" i="7" s="1"/>
  <c r="K15" i="16"/>
  <c r="F32" i="16" s="1"/>
  <c r="F22" i="16"/>
  <c r="G22" i="16" s="1"/>
  <c r="J7" i="14"/>
  <c r="I15" i="14"/>
  <c r="J17" i="14" s="1"/>
  <c r="J7" i="13"/>
  <c r="I15" i="13"/>
  <c r="J17" i="13" s="1"/>
  <c r="I9" i="12"/>
  <c r="I15" i="12" s="1"/>
  <c r="J7" i="12"/>
  <c r="J9" i="11"/>
  <c r="J15" i="11" s="1"/>
  <c r="K7" i="11"/>
  <c r="H7" i="5"/>
  <c r="G15" i="5"/>
  <c r="H17" i="5" s="1"/>
  <c r="I7" i="3"/>
  <c r="H9" i="3"/>
  <c r="G15" i="7"/>
  <c r="H17" i="7" s="1"/>
  <c r="I7" i="6"/>
  <c r="H9" i="6"/>
  <c r="I9" i="10"/>
  <c r="I14" i="10" s="1"/>
  <c r="I16" i="10" s="1"/>
  <c r="J18" i="10" s="1"/>
  <c r="J9" i="9"/>
  <c r="J14" i="9" s="1"/>
  <c r="J16" i="9" s="1"/>
  <c r="K18" i="9" s="1"/>
  <c r="G20" i="9" s="1"/>
  <c r="K18" i="8"/>
  <c r="G20" i="8" s="1"/>
  <c r="H15" i="7"/>
  <c r="I17" i="7" s="1"/>
  <c r="I15" i="7"/>
  <c r="J17" i="7" s="1"/>
  <c r="H15" i="6"/>
  <c r="F30" i="16" l="1"/>
  <c r="G32" i="16" s="1"/>
  <c r="G35" i="16" s="1"/>
  <c r="H22" i="16"/>
  <c r="G30" i="16"/>
  <c r="H32" i="16" s="1"/>
  <c r="J15" i="14"/>
  <c r="K17" i="14" s="1"/>
  <c r="G34" i="14" s="1"/>
  <c r="K7" i="14"/>
  <c r="K7" i="13"/>
  <c r="F22" i="13" s="1"/>
  <c r="J15" i="13"/>
  <c r="K17" i="13" s="1"/>
  <c r="G34" i="13" s="1"/>
  <c r="K7" i="12"/>
  <c r="J9" i="12"/>
  <c r="J15" i="12" s="1"/>
  <c r="K9" i="11"/>
  <c r="K15" i="11" s="1"/>
  <c r="H17" i="11" s="1"/>
  <c r="F22" i="11"/>
  <c r="J7" i="6"/>
  <c r="I9" i="6"/>
  <c r="J7" i="3"/>
  <c r="I9" i="3"/>
  <c r="I7" i="5"/>
  <c r="H15" i="5"/>
  <c r="I17" i="5" s="1"/>
  <c r="J9" i="10"/>
  <c r="J14" i="10" s="1"/>
  <c r="J16" i="10" s="1"/>
  <c r="K18" i="10" s="1"/>
  <c r="G20" i="10" s="1"/>
  <c r="K9" i="9"/>
  <c r="K14" i="9" s="1"/>
  <c r="K16" i="9" s="1"/>
  <c r="L9" i="9"/>
  <c r="L14" i="9" s="1"/>
  <c r="G21" i="9" s="1"/>
  <c r="G22" i="9" s="1"/>
  <c r="G23" i="9" s="1"/>
  <c r="J15" i="7"/>
  <c r="K17" i="7" s="1"/>
  <c r="I15" i="6"/>
  <c r="G22" i="13" l="1"/>
  <c r="F30" i="13"/>
  <c r="G32" i="13" s="1"/>
  <c r="K9" i="12"/>
  <c r="K15" i="12" s="1"/>
  <c r="H17" i="12" s="1"/>
  <c r="F22" i="12"/>
  <c r="H30" i="16"/>
  <c r="I32" i="16" s="1"/>
  <c r="I22" i="16"/>
  <c r="I30" i="16" s="1"/>
  <c r="G36" i="16" s="1"/>
  <c r="G37" i="16" s="1"/>
  <c r="G38" i="16" s="1"/>
  <c r="K15" i="14"/>
  <c r="F32" i="14" s="1"/>
  <c r="F22" i="14"/>
  <c r="H22" i="13"/>
  <c r="G30" i="13"/>
  <c r="H32" i="13" s="1"/>
  <c r="K15" i="13"/>
  <c r="F32" i="13" s="1"/>
  <c r="G22" i="11"/>
  <c r="F24" i="11"/>
  <c r="F30" i="11" s="1"/>
  <c r="J7" i="5"/>
  <c r="I15" i="5"/>
  <c r="J17" i="5" s="1"/>
  <c r="K7" i="3"/>
  <c r="J9" i="3"/>
  <c r="K7" i="6"/>
  <c r="J9" i="6"/>
  <c r="K9" i="10"/>
  <c r="K14" i="10" s="1"/>
  <c r="K16" i="10" s="1"/>
  <c r="L9" i="10"/>
  <c r="L14" i="10" s="1"/>
  <c r="G21" i="10" s="1"/>
  <c r="G22" i="10" s="1"/>
  <c r="G23" i="10" s="1"/>
  <c r="K15" i="7"/>
  <c r="G19" i="7" s="1"/>
  <c r="J15" i="6"/>
  <c r="G22" i="12" l="1"/>
  <c r="F24" i="12"/>
  <c r="F30" i="12" s="1"/>
  <c r="G35" i="13"/>
  <c r="G22" i="14"/>
  <c r="F30" i="14"/>
  <c r="G32" i="14" s="1"/>
  <c r="I22" i="13"/>
  <c r="I30" i="13" s="1"/>
  <c r="G36" i="13" s="1"/>
  <c r="G37" i="13" s="1"/>
  <c r="G38" i="13" s="1"/>
  <c r="H30" i="13"/>
  <c r="I32" i="13" s="1"/>
  <c r="H22" i="11"/>
  <c r="G24" i="11"/>
  <c r="G30" i="11" s="1"/>
  <c r="L7" i="6"/>
  <c r="L9" i="6" s="1"/>
  <c r="K9" i="6"/>
  <c r="K15" i="6" s="1"/>
  <c r="H17" i="6" s="1"/>
  <c r="L7" i="3"/>
  <c r="L9" i="3" s="1"/>
  <c r="H19" i="3" s="1"/>
  <c r="K9" i="3"/>
  <c r="K7" i="5"/>
  <c r="J15" i="5"/>
  <c r="K17" i="5" s="1"/>
  <c r="G19" i="5" s="1"/>
  <c r="G22" i="7"/>
  <c r="H19" i="6"/>
  <c r="H20" i="6" s="1"/>
  <c r="H22" i="12" l="1"/>
  <c r="G24" i="12"/>
  <c r="G30" i="12" s="1"/>
  <c r="G30" i="14"/>
  <c r="H32" i="14" s="1"/>
  <c r="G35" i="14" s="1"/>
  <c r="H22" i="14"/>
  <c r="I22" i="11"/>
  <c r="I24" i="11" s="1"/>
  <c r="G34" i="11" s="1"/>
  <c r="G35" i="11" s="1"/>
  <c r="H24" i="11"/>
  <c r="H30" i="11" s="1"/>
  <c r="G32" i="11" s="1"/>
  <c r="L7" i="5"/>
  <c r="G20" i="5" s="1"/>
  <c r="G21" i="5" s="1"/>
  <c r="G22" i="5" s="1"/>
  <c r="K15" i="5"/>
  <c r="H21" i="6"/>
  <c r="H24" i="12" l="1"/>
  <c r="H30" i="12" s="1"/>
  <c r="G32" i="12" s="1"/>
  <c r="I22" i="12"/>
  <c r="I24" i="12" s="1"/>
  <c r="G33" i="12" s="1"/>
  <c r="G34" i="12" s="1"/>
  <c r="G36" i="12" s="1"/>
  <c r="I22" i="14"/>
  <c r="I30" i="14" s="1"/>
  <c r="G36" i="14" s="1"/>
  <c r="G37" i="14" s="1"/>
  <c r="G38" i="14" s="1"/>
  <c r="H30" i="14"/>
  <c r="I32" i="14" s="1"/>
  <c r="G37" i="11"/>
  <c r="F15" i="4"/>
  <c r="G17" i="4" s="1"/>
  <c r="G15" i="4" l="1"/>
  <c r="H17" i="4" s="1"/>
  <c r="G15" i="3"/>
  <c r="I15" i="3"/>
  <c r="H15" i="3"/>
  <c r="I15" i="4" l="1"/>
  <c r="J17" i="4" s="1"/>
  <c r="J15" i="3"/>
  <c r="H15" i="4" l="1"/>
  <c r="I17" i="4" s="1"/>
  <c r="K15" i="3" l="1"/>
  <c r="H17" i="3" s="1"/>
  <c r="H20" i="3"/>
  <c r="J15" i="4"/>
  <c r="K17" i="4" s="1"/>
  <c r="G19" i="4" s="1"/>
  <c r="K15" i="4"/>
  <c r="G20" i="4" l="1"/>
  <c r="G21" i="4" s="1"/>
  <c r="G22" i="4" s="1"/>
  <c r="H21" i="3"/>
  <c r="G21" i="8" l="1"/>
  <c r="G22" i="8" s="1"/>
  <c r="G23" i="8" s="1"/>
</calcChain>
</file>

<file path=xl/sharedStrings.xml><?xml version="1.0" encoding="utf-8"?>
<sst xmlns="http://schemas.openxmlformats.org/spreadsheetml/2006/main" count="344" uniqueCount="83">
  <si>
    <t>Net Income</t>
  </si>
  <si>
    <t>Change in WC</t>
  </si>
  <si>
    <t>CAPEX</t>
  </si>
  <si>
    <t>Debt Ratio</t>
  </si>
  <si>
    <t>EPS</t>
  </si>
  <si>
    <t>Payout Ratio</t>
  </si>
  <si>
    <t>DPS</t>
  </si>
  <si>
    <t>ROE</t>
  </si>
  <si>
    <t>Retention ratio</t>
  </si>
  <si>
    <t>Growth rate</t>
  </si>
  <si>
    <t>Cost of Equity</t>
  </si>
  <si>
    <t>1. Based on past data, Maruti-Suzuki is expected to grow by 4.55% each year for the next 5 years</t>
  </si>
  <si>
    <t>2. It is also expected to maintain the current retention ratio and ROE for the next 5 years</t>
  </si>
  <si>
    <t>3. After 5 years the company will attain stable growth of 3% till perpetuity</t>
  </si>
  <si>
    <t>PV of Dividends</t>
  </si>
  <si>
    <t>Cummalative Cost of Equity</t>
  </si>
  <si>
    <t>Sum of Dividends</t>
  </si>
  <si>
    <t>Terminal Value</t>
  </si>
  <si>
    <t>4. After 5 years, the ROE will drop to 5%</t>
  </si>
  <si>
    <t>PV of TV</t>
  </si>
  <si>
    <t>Maruti Suzuki 2-Stage DDM</t>
  </si>
  <si>
    <t>S.No.</t>
  </si>
  <si>
    <t>S.NO.</t>
  </si>
  <si>
    <t>Depreciation</t>
  </si>
  <si>
    <t>Retention Ratio</t>
  </si>
  <si>
    <t>Growth Rate</t>
  </si>
  <si>
    <t>Maruti Suzuki FCFE</t>
  </si>
  <si>
    <t>FCFE</t>
  </si>
  <si>
    <t>1. Based on historical data, Maruti Suzuki is expected to grow at 4.44% for the next 5 years.</t>
  </si>
  <si>
    <t>2. Capex, depreciation and change in WC will also grow at the same rate.</t>
  </si>
  <si>
    <t>3. The company will maintain its ROE and retention ratio for the high growth period.</t>
  </si>
  <si>
    <t>PV of FCFE</t>
  </si>
  <si>
    <t>4. After the 5 years the growth will slow down to 3% and ROE will become 5%</t>
  </si>
  <si>
    <t>Sum of PV</t>
  </si>
  <si>
    <t>Total Value</t>
  </si>
  <si>
    <t>All values are in Crores</t>
  </si>
  <si>
    <t>Total value per share</t>
  </si>
  <si>
    <t>MAHINDRA FCFE</t>
  </si>
  <si>
    <t>Mahindra 2-Stage DDM</t>
  </si>
  <si>
    <t>TATA MOTORS FCFE</t>
  </si>
  <si>
    <t>4. After 5 years, the ROE will drop to 10%</t>
  </si>
  <si>
    <t>3. After 5 years the company will attain stable growth of 6% till perpetuity</t>
  </si>
  <si>
    <t>1. Based on historical data, Mahindra is expected to grow at 9.118% for the next 5 years.</t>
  </si>
  <si>
    <t>4. After the 5 years the growth will slow down to 6% and ROE will become 10%</t>
  </si>
  <si>
    <t>1. Based on historical data, TATA MOTORS is expected to grow at 6.97% for the next 5 years.</t>
  </si>
  <si>
    <t>4. After the 5 years the growth will slow down to 4% and ROE will become 6%</t>
  </si>
  <si>
    <t>5. As the payout is 0, therefore the company won't be paying any dividends</t>
  </si>
  <si>
    <t>Maruti Suzuki FCFF</t>
  </si>
  <si>
    <t>EBIT</t>
  </si>
  <si>
    <t>Tax Rate</t>
  </si>
  <si>
    <t>EBIT(1-T)</t>
  </si>
  <si>
    <t>Reinvestment rate</t>
  </si>
  <si>
    <t>FCFF</t>
  </si>
  <si>
    <t>Growth</t>
  </si>
  <si>
    <t>PV of FCFF</t>
  </si>
  <si>
    <t>Net CAPEX</t>
  </si>
  <si>
    <t xml:space="preserve">2. After the 5 years the growth will slow down to 3% </t>
  </si>
  <si>
    <t>1. Capex, and change in WC will also grow at the same rate.</t>
  </si>
  <si>
    <t xml:space="preserve">2. After the 5 years the growth will slow down to 6% </t>
  </si>
  <si>
    <t xml:space="preserve">2. After the 5 years the growth will slow down to 4% </t>
  </si>
  <si>
    <t>Maruti Suzuki 3-Stage DDM</t>
  </si>
  <si>
    <t>High Growth Phase</t>
  </si>
  <si>
    <t>1. After high growth of 5 years, growth rate will decrease to 3% in 3 years.</t>
  </si>
  <si>
    <t>2. ROE will decrease linearly to 5% in 3 years.</t>
  </si>
  <si>
    <t>3. The retention ratio will also decrease to 60% in 3 years</t>
  </si>
  <si>
    <t>Transition phase</t>
  </si>
  <si>
    <t>Terminal value</t>
  </si>
  <si>
    <t>Total Value per share</t>
  </si>
  <si>
    <t>High growth Phase</t>
  </si>
  <si>
    <t>Mahindra 3-Stage DDM</t>
  </si>
  <si>
    <t>TATA Motors FCFF</t>
  </si>
  <si>
    <t>Transition Phase</t>
  </si>
  <si>
    <t>1. Based on past data, Mahindra is expected to grow by 9.118% each year for the next 5 years</t>
  </si>
  <si>
    <t>1. After 5 years of high growth, the growth rate will decrease to 6% over 3 years.</t>
  </si>
  <si>
    <t>2. The ROE will decrease to 10% over 3 years.</t>
  </si>
  <si>
    <t>3. The retention ratio will decrease to 60% in 3 years time.</t>
  </si>
  <si>
    <t>High Growth phase</t>
  </si>
  <si>
    <t>Sum of High Growth PV</t>
  </si>
  <si>
    <t>Sum of Transition Growth PV</t>
  </si>
  <si>
    <t>Mahindra FCFE stage 3</t>
  </si>
  <si>
    <t>5. There will be stable growth from 2031 onwards</t>
  </si>
  <si>
    <t>TATA MOTORS FCFE stage 3</t>
  </si>
  <si>
    <t>MAHINDRA FCFF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</si>
</sst>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000"/>
    <numFmt numFmtId="165" formatCode="0.0%"/>
    <numFmt numFmtId="166" formatCode="0.000%"/>
    <numFmt numFmtId="167" formatCode="#,##0.0"/>
    <numFmt numFmtId="168" formatCode="0.000"/>
    <numFmt numFmtId="169" formatCode="0.0000000%"/>
    <numFmt numFmtId="170" formatCode="0.0000%"/>
    <numFmt numFmtId="171" formatCode="0.000000%"/>
    <numFmt numFmtId="172" formatCode="0.00000000%"/>
    <numFmt numFmtId="173" formatCode="0.00000%"/>
    <numFmt numFmtId="17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9">
    <xf numFmtId="0" fontId="0" fillId="0" borderId="0" xfId="0"/>
    <xf numFmtId="4" fontId="0" fillId="0" borderId="0" xfId="0" applyNumberFormat="1"/>
    <xf numFmtId="0" fontId="1" fillId="0" borderId="0" xfId="0" applyFont="1"/>
    <xf numFmtId="10" fontId="0" fillId="0" borderId="0" xfId="0" applyNumberFormat="1"/>
    <xf numFmtId="10" fontId="2" fillId="0" borderId="0" xfId="0" applyNumberFormat="1" applyFont="1"/>
    <xf numFmtId="164" fontId="0" fillId="0" borderId="0" xfId="0" applyNumberFormat="1"/>
    <xf numFmtId="0" fontId="0" fillId="2" borderId="0" xfId="0" applyFill="1"/>
    <xf numFmtId="9" fontId="0" fillId="0" borderId="0" xfId="1" applyFont="1"/>
    <xf numFmtId="10" fontId="0" fillId="0" borderId="0" xfId="1" applyNumberFormat="1" applyFont="1"/>
    <xf numFmtId="166" fontId="0" fillId="0" borderId="0" xfId="1" applyNumberFormat="1" applyFont="1"/>
    <xf numFmtId="167" fontId="0" fillId="0" borderId="0" xfId="0" applyNumberFormat="1"/>
    <xf numFmtId="9" fontId="0" fillId="0" borderId="0" xfId="0" applyNumberFormat="1"/>
    <xf numFmtId="2" fontId="0" fillId="0" borderId="0" xfId="0" applyNumberFormat="1"/>
    <xf numFmtId="165" fontId="0" fillId="0" borderId="0" xfId="0" applyNumberFormat="1"/>
    <xf numFmtId="168" fontId="0" fillId="0" borderId="0" xfId="0" applyNumberFormat="1"/>
    <xf numFmtId="1" fontId="0" fillId="0" borderId="0" xfId="0" applyNumberFormat="1"/>
    <xf numFmtId="169" fontId="0" fillId="0" borderId="0" xfId="0" applyNumberFormat="1"/>
    <xf numFmtId="170" fontId="0" fillId="0" borderId="0" xfId="0" applyNumberFormat="1"/>
    <xf numFmtId="166" fontId="0" fillId="0" borderId="0" xfId="0" applyNumberFormat="1"/>
    <xf numFmtId="171" fontId="0" fillId="0" borderId="0" xfId="0" applyNumberFormat="1"/>
    <xf numFmtId="172" fontId="0" fillId="0" borderId="0" xfId="0" applyNumberFormat="1"/>
    <xf numFmtId="173" fontId="0" fillId="0" borderId="0" xfId="0" applyNumberFormat="1"/>
    <xf numFmtId="2" fontId="0" fillId="2" borderId="0" xfId="0" applyNumberFormat="1" applyFill="1"/>
    <xf numFmtId="174" fontId="0" fillId="0" borderId="0" xfId="0" applyNumberFormat="1"/>
    <xf numFmtId="174" fontId="0" fillId="2" borderId="0" xfId="0" applyNumberFormat="1" applyFill="1"/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457200</xdr:colOff>
      <xdr:row>12</xdr:row>
      <xdr:rowOff>9525</xdr:rowOff>
    </xdr:from>
    <xdr:to>
      <xdr:col>16</xdr:col>
      <xdr:colOff>314038</xdr:colOff>
      <xdr:row>14</xdr:row>
      <xdr:rowOff>123763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2295525"/>
          <a:ext cx="2295238" cy="495238"/>
        </a:xfrm>
        <a:prstGeom prst="rect">
          <a:avLst/>
        </a:prstGeom>
      </xdr:spPr>
    </xdr:pic>
    <xdr:clientData/>
  </xdr:twoCellAnchor>
  <xdr:twoCellAnchor editAs="oneCell">
    <xdr:from>
      <xdr:col>12</xdr:col>
      <xdr:colOff>409575</xdr:colOff>
      <xdr:row>10</xdr:row>
      <xdr:rowOff>85725</xdr:rowOff>
    </xdr:from>
    <xdr:to>
      <xdr:col>21</xdr:col>
      <xdr:colOff>285080</xdr:colOff>
      <xdr:row>11</xdr:row>
      <xdr:rowOff>114273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24925" y="1990725"/>
          <a:ext cx="5361905" cy="2190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400050</xdr:colOff>
      <xdr:row>12</xdr:row>
      <xdr:rowOff>28575</xdr:rowOff>
    </xdr:from>
    <xdr:to>
      <xdr:col>21</xdr:col>
      <xdr:colOff>275555</xdr:colOff>
      <xdr:row>13</xdr:row>
      <xdr:rowOff>57123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81975" y="2314575"/>
          <a:ext cx="5361905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457200</xdr:colOff>
      <xdr:row>13</xdr:row>
      <xdr:rowOff>57150</xdr:rowOff>
    </xdr:from>
    <xdr:to>
      <xdr:col>16</xdr:col>
      <xdr:colOff>314038</xdr:colOff>
      <xdr:row>15</xdr:row>
      <xdr:rowOff>171388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39125" y="2533650"/>
          <a:ext cx="2295238" cy="4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314325</xdr:colOff>
      <xdr:row>11</xdr:row>
      <xdr:rowOff>47625</xdr:rowOff>
    </xdr:from>
    <xdr:to>
      <xdr:col>21</xdr:col>
      <xdr:colOff>189830</xdr:colOff>
      <xdr:row>12</xdr:row>
      <xdr:rowOff>76173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2143125"/>
          <a:ext cx="5361905" cy="2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457200</xdr:colOff>
      <xdr:row>12</xdr:row>
      <xdr:rowOff>85725</xdr:rowOff>
    </xdr:from>
    <xdr:to>
      <xdr:col>16</xdr:col>
      <xdr:colOff>314038</xdr:colOff>
      <xdr:row>15</xdr:row>
      <xdr:rowOff>9463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601075" y="2371725"/>
          <a:ext cx="2295238" cy="4952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2:V22"/>
  <sheetViews>
    <sheetView tabSelected="1" workbookViewId="0">
      <selection activeCell="C25" sqref="C25"/>
    </sheetView>
  </sheetViews>
  <sheetFormatPr defaultRowHeight="14.4" x14ac:dyDescent="0.3"/>
  <cols>
    <col min="5" max="5" width="13.88671875" customWidth="1"/>
    <col min="6" max="6" width="10.44140625" customWidth="1"/>
    <col min="7" max="7" width="10.6640625" customWidth="1"/>
    <col min="8" max="9" width="11" bestFit="1" customWidth="1"/>
    <col min="10" max="11" width="12" bestFit="1" customWidth="1"/>
    <col min="12" max="12" width="10.109375" bestFit="1" customWidth="1"/>
  </cols>
  <sheetData>
    <row r="2" spans="4:22" x14ac:dyDescent="0.3">
      <c r="G2" s="26" t="s">
        <v>26</v>
      </c>
      <c r="H2" s="26"/>
      <c r="I2" s="26"/>
      <c r="J2" s="26"/>
      <c r="K2" s="26"/>
      <c r="L2" s="26"/>
      <c r="M2" s="26"/>
    </row>
    <row r="3" spans="4:22" x14ac:dyDescent="0.3">
      <c r="G3" s="26"/>
      <c r="H3" s="26"/>
      <c r="I3" s="26"/>
      <c r="J3" s="26"/>
      <c r="K3" s="26"/>
      <c r="L3" s="26"/>
      <c r="M3" s="26"/>
    </row>
    <row r="6" spans="4:22" x14ac:dyDescent="0.3">
      <c r="D6" s="2" t="s">
        <v>21</v>
      </c>
      <c r="E6" s="2"/>
      <c r="F6" s="2">
        <v>2022</v>
      </c>
      <c r="G6" s="2">
        <v>2023</v>
      </c>
      <c r="H6" s="2">
        <v>2024</v>
      </c>
      <c r="I6" s="2">
        <v>2025</v>
      </c>
      <c r="J6" s="2">
        <v>2026</v>
      </c>
      <c r="K6" s="2">
        <v>2027</v>
      </c>
      <c r="L6" s="2">
        <v>2028</v>
      </c>
    </row>
    <row r="7" spans="4:22" x14ac:dyDescent="0.3">
      <c r="D7" s="2">
        <v>1</v>
      </c>
      <c r="E7" s="2" t="s">
        <v>0</v>
      </c>
      <c r="F7" s="1">
        <v>3766.3</v>
      </c>
      <c r="G7">
        <f>F7*(1+G13)</f>
        <v>3933.8301461680003</v>
      </c>
      <c r="H7">
        <f t="shared" ref="H7:L7" si="0">G7*(1+H13)</f>
        <v>4108.8122610785522</v>
      </c>
      <c r="I7">
        <f t="shared" si="0"/>
        <v>4291.5778184360015</v>
      </c>
      <c r="J7">
        <f t="shared" si="0"/>
        <v>4482.4730363458684</v>
      </c>
      <c r="K7">
        <f t="shared" si="0"/>
        <v>4681.8595331658626</v>
      </c>
      <c r="L7">
        <f t="shared" si="0"/>
        <v>4822.315319160839</v>
      </c>
      <c r="N7" s="27" t="s">
        <v>28</v>
      </c>
      <c r="O7" s="27"/>
      <c r="P7" s="27"/>
      <c r="Q7" s="27"/>
      <c r="R7" s="27"/>
      <c r="S7" s="27"/>
      <c r="T7" s="27"/>
      <c r="U7" s="27"/>
      <c r="V7" s="27"/>
    </row>
    <row r="8" spans="4:22" x14ac:dyDescent="0.3">
      <c r="D8" s="2">
        <v>2</v>
      </c>
      <c r="E8" s="2" t="s">
        <v>2</v>
      </c>
      <c r="F8" s="1">
        <v>82686.3</v>
      </c>
      <c r="G8">
        <f>F8*(1+G13)</f>
        <v>86364.299077368007</v>
      </c>
      <c r="H8">
        <f t="shared" ref="H8:L8" si="1">G8*(1+H13)</f>
        <v>90205.900555776083</v>
      </c>
      <c r="I8">
        <f t="shared" si="1"/>
        <v>94218.381692521754</v>
      </c>
      <c r="J8">
        <f t="shared" si="1"/>
        <v>98409.343447204228</v>
      </c>
      <c r="K8">
        <f t="shared" si="1"/>
        <v>102786.72488044297</v>
      </c>
      <c r="L8">
        <f t="shared" si="1"/>
        <v>105870.32662685626</v>
      </c>
      <c r="N8" s="27" t="s">
        <v>29</v>
      </c>
      <c r="O8" s="27"/>
      <c r="P8" s="27"/>
      <c r="Q8" s="27"/>
      <c r="R8" s="27"/>
      <c r="S8" s="27"/>
      <c r="T8" s="27"/>
      <c r="U8" s="27"/>
      <c r="V8" s="27"/>
    </row>
    <row r="9" spans="4:22" x14ac:dyDescent="0.3">
      <c r="D9" s="2">
        <v>3</v>
      </c>
      <c r="E9" s="2" t="s">
        <v>23</v>
      </c>
      <c r="F9" s="1">
        <v>2786.5</v>
      </c>
      <c r="G9">
        <f>F9*(1+G13)</f>
        <v>2910.4473096400002</v>
      </c>
      <c r="H9">
        <f t="shared" ref="H9:L9" si="2">G9*(1+H13)</f>
        <v>3039.9079641811286</v>
      </c>
      <c r="I9">
        <f t="shared" si="2"/>
        <v>3175.1272047027364</v>
      </c>
      <c r="J9">
        <f t="shared" si="2"/>
        <v>3316.3611809409126</v>
      </c>
      <c r="K9">
        <f t="shared" si="2"/>
        <v>3463.8774365203708</v>
      </c>
      <c r="L9">
        <f t="shared" si="2"/>
        <v>3567.7937596159818</v>
      </c>
      <c r="N9" s="27" t="s">
        <v>30</v>
      </c>
      <c r="O9" s="27"/>
      <c r="P9" s="27"/>
      <c r="Q9" s="27"/>
      <c r="R9" s="27"/>
      <c r="S9" s="27"/>
      <c r="T9" s="27"/>
      <c r="U9" s="27"/>
      <c r="V9" s="27"/>
    </row>
    <row r="10" spans="4:22" x14ac:dyDescent="0.3">
      <c r="D10" s="2">
        <v>4</v>
      </c>
      <c r="E10" s="2" t="s">
        <v>1</v>
      </c>
      <c r="F10">
        <v>680.4</v>
      </c>
      <c r="G10">
        <f>F10*(1+G13)</f>
        <v>710.66511734400001</v>
      </c>
      <c r="H10">
        <f t="shared" ref="H10:L10" si="3">G10*(1+H13)</f>
        <v>742.27646826802072</v>
      </c>
      <c r="I10">
        <f t="shared" si="3"/>
        <v>775.29393507257919</v>
      </c>
      <c r="J10">
        <f t="shared" si="3"/>
        <v>809.78006370435924</v>
      </c>
      <c r="K10">
        <f t="shared" si="3"/>
        <v>845.80018223881575</v>
      </c>
      <c r="L10">
        <f t="shared" si="3"/>
        <v>871.17418770598022</v>
      </c>
      <c r="N10" s="27" t="s">
        <v>32</v>
      </c>
      <c r="O10" s="27"/>
      <c r="P10" s="27"/>
      <c r="Q10" s="27"/>
      <c r="R10" s="27"/>
      <c r="S10" s="27"/>
      <c r="T10" s="27"/>
      <c r="U10" s="27"/>
      <c r="V10" s="27"/>
    </row>
    <row r="11" spans="4:22" x14ac:dyDescent="0.3">
      <c r="D11" s="2">
        <v>5</v>
      </c>
      <c r="E11" s="2" t="s">
        <v>7</v>
      </c>
      <c r="F11" s="3">
        <v>6.9599999999999995E-2</v>
      </c>
      <c r="G11" s="3">
        <v>6.9599999999999995E-2</v>
      </c>
      <c r="H11" s="3">
        <v>6.9599999999999995E-2</v>
      </c>
      <c r="I11" s="3">
        <v>6.9599999999999995E-2</v>
      </c>
      <c r="J11" s="3">
        <v>6.9599999999999995E-2</v>
      </c>
      <c r="K11" s="3">
        <v>6.9599999999999995E-2</v>
      </c>
      <c r="L11" s="11">
        <v>0.05</v>
      </c>
    </row>
    <row r="12" spans="4:22" x14ac:dyDescent="0.3">
      <c r="D12" s="2">
        <v>6</v>
      </c>
      <c r="E12" s="2" t="s">
        <v>24</v>
      </c>
      <c r="F12" s="3">
        <v>0.6391</v>
      </c>
      <c r="G12" s="3">
        <v>0.6391</v>
      </c>
      <c r="H12" s="3">
        <v>0.6391</v>
      </c>
      <c r="I12" s="3">
        <v>0.6391</v>
      </c>
      <c r="J12" s="3">
        <v>0.6391</v>
      </c>
      <c r="K12" s="3">
        <v>0.6391</v>
      </c>
      <c r="L12" s="3">
        <f>L13/L11</f>
        <v>0.6</v>
      </c>
    </row>
    <row r="13" spans="4:22" x14ac:dyDescent="0.3">
      <c r="D13" s="2">
        <v>7</v>
      </c>
      <c r="E13" s="2" t="s">
        <v>25</v>
      </c>
      <c r="F13" s="3">
        <f>F11*F12</f>
        <v>4.4481359999999998E-2</v>
      </c>
      <c r="G13" s="3">
        <f t="shared" ref="G13:K13" si="4">G11*G12</f>
        <v>4.4481359999999998E-2</v>
      </c>
      <c r="H13" s="3">
        <f t="shared" si="4"/>
        <v>4.4481359999999998E-2</v>
      </c>
      <c r="I13" s="3">
        <f t="shared" si="4"/>
        <v>4.4481359999999998E-2</v>
      </c>
      <c r="J13" s="3">
        <f t="shared" si="4"/>
        <v>4.4481359999999998E-2</v>
      </c>
      <c r="K13" s="3">
        <f t="shared" si="4"/>
        <v>4.4481359999999998E-2</v>
      </c>
      <c r="L13" s="11">
        <v>0.03</v>
      </c>
    </row>
    <row r="14" spans="4:22" x14ac:dyDescent="0.3">
      <c r="D14" s="2">
        <v>8</v>
      </c>
      <c r="E14" s="2" t="s">
        <v>3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  <c r="L14">
        <v>0.01</v>
      </c>
    </row>
    <row r="15" spans="4:22" x14ac:dyDescent="0.3">
      <c r="D15" s="2">
        <v>9</v>
      </c>
      <c r="E15" s="2" t="s">
        <v>27</v>
      </c>
      <c r="F15">
        <f t="shared" ref="F15:K15" si="5">F7-(F8-F9)*(1-F14)-F10*(1-F14)</f>
        <v>-76008.097999999998</v>
      </c>
      <c r="G15">
        <f t="shared" si="5"/>
        <v>-79389.04157005329</v>
      </c>
      <c r="H15">
        <f t="shared" si="5"/>
        <v>-82920.374108185788</v>
      </c>
      <c r="I15">
        <f t="shared" si="5"/>
        <v>-86608.78512022669</v>
      </c>
      <c r="J15">
        <f t="shared" si="5"/>
        <v>-90461.261670322128</v>
      </c>
      <c r="K15">
        <f t="shared" si="5"/>
        <v>-94485.10161673394</v>
      </c>
    </row>
    <row r="16" spans="4:22" x14ac:dyDescent="0.3">
      <c r="D16" s="2">
        <v>10</v>
      </c>
      <c r="E16" s="2" t="s">
        <v>10</v>
      </c>
      <c r="G16" s="4">
        <v>0.1328</v>
      </c>
      <c r="H16" s="4">
        <v>0.1328</v>
      </c>
      <c r="I16" s="4">
        <v>0.1328</v>
      </c>
      <c r="J16" s="4">
        <v>0.1328</v>
      </c>
      <c r="K16" s="4">
        <v>0.1328</v>
      </c>
      <c r="L16" s="4">
        <v>0.1328</v>
      </c>
    </row>
    <row r="17" spans="4:11" x14ac:dyDescent="0.3">
      <c r="D17" s="2">
        <v>11</v>
      </c>
      <c r="E17" s="2" t="s">
        <v>31</v>
      </c>
      <c r="G17">
        <f>ABS(F15/1+G16)^1</f>
        <v>76007.965199999991</v>
      </c>
      <c r="H17">
        <f>ABS(G15/(1+H16)^2)</f>
        <v>61866.290743604295</v>
      </c>
      <c r="I17">
        <f>ABS(H15/(1+I16)^3)</f>
        <v>57042.89150250284</v>
      </c>
      <c r="J17">
        <f>ABS(I15/(1+J16)^4)</f>
        <v>52595.548106344111</v>
      </c>
      <c r="K17">
        <f>ABS(J15/(1+K16)^5)</f>
        <v>48494.941398357805</v>
      </c>
    </row>
    <row r="19" spans="4:11" x14ac:dyDescent="0.3">
      <c r="E19" s="2" t="s">
        <v>33</v>
      </c>
      <c r="G19">
        <f>SUM(G17:K17)</f>
        <v>296007.63695080904</v>
      </c>
    </row>
    <row r="20" spans="4:11" x14ac:dyDescent="0.3">
      <c r="E20" s="2" t="s">
        <v>17</v>
      </c>
      <c r="G20">
        <f>(ABS(L7-(1-L14)*(L8-L9)-(1-L14)*L10))/(L16-L13)</f>
        <v>946689.24771630298</v>
      </c>
      <c r="I20" s="25" t="s">
        <v>35</v>
      </c>
      <c r="J20" s="25"/>
      <c r="K20" s="25"/>
    </row>
    <row r="21" spans="4:11" x14ac:dyDescent="0.3">
      <c r="E21" s="2" t="s">
        <v>19</v>
      </c>
      <c r="G21" s="12">
        <f>G20/(1+G16)^5</f>
        <v>507506.07213252306</v>
      </c>
    </row>
    <row r="22" spans="4:11" x14ac:dyDescent="0.3">
      <c r="E22" s="2" t="s">
        <v>34</v>
      </c>
      <c r="G22" s="6">
        <f>G21+G19</f>
        <v>803513.7090833321</v>
      </c>
    </row>
  </sheetData>
  <mergeCells count="6">
    <mergeCell ref="I20:K20"/>
    <mergeCell ref="G2:M3"/>
    <mergeCell ref="N7:V7"/>
    <mergeCell ref="N8:V8"/>
    <mergeCell ref="N9:V9"/>
    <mergeCell ref="N10:V10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D2:V23"/>
  <sheetViews>
    <sheetView workbookViewId="0">
      <selection activeCell="G2" sqref="G2:M3"/>
    </sheetView>
  </sheetViews>
  <sheetFormatPr defaultRowHeight="14.4" x14ac:dyDescent="0.3"/>
  <cols>
    <col min="5" max="5" width="13.44140625" customWidth="1"/>
    <col min="6" max="6" width="10.88671875" customWidth="1"/>
    <col min="7" max="7" width="9.5546875" bestFit="1" customWidth="1"/>
    <col min="12" max="12" width="9.6640625" bestFit="1" customWidth="1"/>
  </cols>
  <sheetData>
    <row r="2" spans="4:22" x14ac:dyDescent="0.3">
      <c r="G2" s="26" t="s">
        <v>82</v>
      </c>
      <c r="H2" s="26"/>
      <c r="I2" s="26"/>
      <c r="J2" s="26"/>
      <c r="K2" s="26"/>
      <c r="L2" s="26"/>
      <c r="M2" s="26"/>
    </row>
    <row r="3" spans="4:22" x14ac:dyDescent="0.3">
      <c r="G3" s="26"/>
      <c r="H3" s="26"/>
      <c r="I3" s="26"/>
      <c r="J3" s="26"/>
      <c r="K3" s="26"/>
      <c r="L3" s="26"/>
      <c r="M3" s="26"/>
    </row>
    <row r="6" spans="4:22" x14ac:dyDescent="0.3">
      <c r="D6" s="2" t="s">
        <v>21</v>
      </c>
      <c r="E6" s="2"/>
      <c r="F6" s="2">
        <v>2022</v>
      </c>
      <c r="G6" s="2">
        <v>2023</v>
      </c>
      <c r="H6" s="2">
        <v>2024</v>
      </c>
      <c r="I6" s="2">
        <v>2025</v>
      </c>
      <c r="J6" s="2">
        <v>2026</v>
      </c>
      <c r="K6" s="2">
        <v>2027</v>
      </c>
      <c r="L6" s="2">
        <v>2028</v>
      </c>
    </row>
    <row r="7" spans="4:22" x14ac:dyDescent="0.3">
      <c r="D7" s="2">
        <v>1</v>
      </c>
      <c r="E7" s="2" t="s">
        <v>2</v>
      </c>
      <c r="F7" s="1">
        <v>60398</v>
      </c>
      <c r="G7" s="1">
        <f>F7*(1+G15)</f>
        <v>65905.089640000006</v>
      </c>
      <c r="H7" s="1">
        <f t="shared" ref="H7:L7" si="0">G7*(1+H15)</f>
        <v>71914.31571337521</v>
      </c>
      <c r="I7" s="1">
        <f t="shared" si="0"/>
        <v>78471.463020120762</v>
      </c>
      <c r="J7" s="1">
        <f t="shared" si="0"/>
        <v>85626.491018295375</v>
      </c>
      <c r="K7" s="1">
        <f t="shared" si="0"/>
        <v>93433.914469343552</v>
      </c>
      <c r="L7" s="1">
        <f t="shared" si="0"/>
        <v>99039.949337504164</v>
      </c>
      <c r="N7" s="27" t="s">
        <v>57</v>
      </c>
      <c r="O7" s="27"/>
      <c r="P7" s="27"/>
      <c r="Q7" s="27"/>
      <c r="R7" s="27"/>
      <c r="S7" s="27"/>
      <c r="T7" s="27"/>
      <c r="U7" s="27"/>
      <c r="V7" s="27"/>
    </row>
    <row r="8" spans="4:22" x14ac:dyDescent="0.3">
      <c r="D8" s="2">
        <v>2</v>
      </c>
      <c r="E8" s="2" t="s">
        <v>23</v>
      </c>
      <c r="F8" s="1">
        <v>3502.6</v>
      </c>
      <c r="G8">
        <f>F8*(1+G15)</f>
        <v>3821.9670679999999</v>
      </c>
      <c r="H8">
        <f t="shared" ref="H8:L8" si="1">G8*(1+H15)</f>
        <v>4170.4540252602401</v>
      </c>
      <c r="I8">
        <f t="shared" si="1"/>
        <v>4550.7160232834685</v>
      </c>
      <c r="J8">
        <f t="shared" si="1"/>
        <v>4965.6503102864554</v>
      </c>
      <c r="K8">
        <f t="shared" si="1"/>
        <v>5418.4183055783742</v>
      </c>
      <c r="L8">
        <f t="shared" si="1"/>
        <v>5743.5234039130773</v>
      </c>
      <c r="N8" s="27" t="s">
        <v>58</v>
      </c>
      <c r="O8" s="27"/>
      <c r="P8" s="27"/>
      <c r="Q8" s="27"/>
      <c r="R8" s="27"/>
      <c r="S8" s="27"/>
      <c r="T8" s="27"/>
      <c r="U8" s="27"/>
      <c r="V8" s="27"/>
    </row>
    <row r="9" spans="4:22" x14ac:dyDescent="0.3">
      <c r="D9" s="2">
        <v>3</v>
      </c>
      <c r="E9" s="2" t="s">
        <v>55</v>
      </c>
      <c r="F9" s="1">
        <f t="shared" ref="F9:L9" si="2">F7-F8</f>
        <v>56895.4</v>
      </c>
      <c r="G9" s="1">
        <f t="shared" si="2"/>
        <v>62083.122572000007</v>
      </c>
      <c r="H9" s="1">
        <f t="shared" si="2"/>
        <v>67743.861688114965</v>
      </c>
      <c r="I9" s="1">
        <f t="shared" si="2"/>
        <v>73920.74699683729</v>
      </c>
      <c r="J9" s="1">
        <f t="shared" si="2"/>
        <v>80660.840708008924</v>
      </c>
      <c r="K9" s="1">
        <f t="shared" si="2"/>
        <v>88015.496163765172</v>
      </c>
      <c r="L9" s="1">
        <f t="shared" si="2"/>
        <v>93296.42593359109</v>
      </c>
    </row>
    <row r="10" spans="4:22" x14ac:dyDescent="0.3">
      <c r="D10" s="2">
        <v>4</v>
      </c>
      <c r="E10" s="2" t="s">
        <v>1</v>
      </c>
      <c r="F10" s="10">
        <v>188.5</v>
      </c>
      <c r="G10" s="1">
        <f>F10*(1+G15)</f>
        <v>205.68743000000001</v>
      </c>
      <c r="H10" s="1">
        <f t="shared" ref="H10:L10" si="3">G10*(1+H15)</f>
        <v>224.4420098674</v>
      </c>
      <c r="I10" s="1">
        <f t="shared" si="3"/>
        <v>244.90663232710955</v>
      </c>
      <c r="J10" s="1">
        <f t="shared" si="3"/>
        <v>267.23721906269543</v>
      </c>
      <c r="K10" s="1">
        <f t="shared" si="3"/>
        <v>291.60390869683204</v>
      </c>
      <c r="L10" s="1">
        <f t="shared" si="3"/>
        <v>309.10014321864196</v>
      </c>
    </row>
    <row r="11" spans="4:22" x14ac:dyDescent="0.3">
      <c r="D11" s="2">
        <v>5</v>
      </c>
      <c r="E11" s="2" t="s">
        <v>48</v>
      </c>
      <c r="F11">
        <v>6671.3</v>
      </c>
      <c r="G11">
        <v>6671.3</v>
      </c>
      <c r="H11">
        <v>6671.3</v>
      </c>
      <c r="I11">
        <v>6671.3</v>
      </c>
      <c r="J11">
        <v>6671.3</v>
      </c>
      <c r="K11">
        <v>6671.3</v>
      </c>
      <c r="L11">
        <v>6671.3</v>
      </c>
    </row>
    <row r="12" spans="4:22" x14ac:dyDescent="0.3">
      <c r="D12" s="2">
        <v>6</v>
      </c>
      <c r="E12" s="2" t="s">
        <v>49</v>
      </c>
      <c r="F12" s="3">
        <v>0.20169999999999999</v>
      </c>
      <c r="G12" s="3">
        <v>0.20169999999999999</v>
      </c>
      <c r="H12" s="3">
        <v>0.20169999999999999</v>
      </c>
      <c r="I12" s="3">
        <v>0.20169999999999999</v>
      </c>
      <c r="J12" s="3">
        <v>0.20169999999999999</v>
      </c>
      <c r="K12" s="3">
        <v>0.20169999999999999</v>
      </c>
      <c r="L12" s="3">
        <v>0.20169999999999999</v>
      </c>
    </row>
    <row r="13" spans="4:22" x14ac:dyDescent="0.3">
      <c r="D13" s="2">
        <v>7</v>
      </c>
      <c r="E13" s="2" t="s">
        <v>50</v>
      </c>
      <c r="F13" s="12">
        <f>F11*(1-F12)</f>
        <v>5325.6987900000004</v>
      </c>
      <c r="G13" s="12">
        <f t="shared" ref="G13:L13" si="4">G11*(1-G12)</f>
        <v>5325.6987900000004</v>
      </c>
      <c r="H13" s="12">
        <f t="shared" si="4"/>
        <v>5325.6987900000004</v>
      </c>
      <c r="I13" s="12">
        <f t="shared" si="4"/>
        <v>5325.6987900000004</v>
      </c>
      <c r="J13" s="12">
        <f t="shared" si="4"/>
        <v>5325.6987900000004</v>
      </c>
      <c r="K13" s="12">
        <f t="shared" si="4"/>
        <v>5325.6987900000004</v>
      </c>
      <c r="L13" s="12">
        <f t="shared" si="4"/>
        <v>5325.6987900000004</v>
      </c>
    </row>
    <row r="14" spans="4:22" x14ac:dyDescent="0.3">
      <c r="D14" s="2">
        <v>8</v>
      </c>
      <c r="E14" s="2" t="s">
        <v>51</v>
      </c>
      <c r="F14" s="10">
        <f>(F9+F10)/F13</f>
        <v>10.718574641732602</v>
      </c>
      <c r="G14" s="10">
        <f t="shared" ref="G14:L14" si="5">(G9+G10)/G13</f>
        <v>11.695894277565781</v>
      </c>
      <c r="H14" s="10">
        <f t="shared" si="5"/>
        <v>12.762325917794229</v>
      </c>
      <c r="I14" s="10">
        <f t="shared" si="5"/>
        <v>13.925994794978706</v>
      </c>
      <c r="J14" s="10">
        <f t="shared" si="5"/>
        <v>15.195767000384865</v>
      </c>
      <c r="K14" s="10">
        <f t="shared" si="5"/>
        <v>16.581317035479959</v>
      </c>
      <c r="L14" s="10">
        <f t="shared" si="5"/>
        <v>17.576196057608758</v>
      </c>
    </row>
    <row r="15" spans="4:22" x14ac:dyDescent="0.3">
      <c r="D15" s="2">
        <v>9</v>
      </c>
      <c r="E15" s="2" t="s">
        <v>53</v>
      </c>
      <c r="F15" s="3">
        <v>9.1179999999999997E-2</v>
      </c>
      <c r="G15" s="3">
        <v>9.1179999999999997E-2</v>
      </c>
      <c r="H15" s="3">
        <v>9.1179999999999997E-2</v>
      </c>
      <c r="I15" s="3">
        <v>9.1179999999999997E-2</v>
      </c>
      <c r="J15" s="3">
        <v>9.1179999999999997E-2</v>
      </c>
      <c r="K15" s="3">
        <v>9.1179999999999997E-2</v>
      </c>
      <c r="L15" s="7">
        <v>0.06</v>
      </c>
    </row>
    <row r="16" spans="4:22" x14ac:dyDescent="0.3">
      <c r="D16" s="2">
        <v>10</v>
      </c>
      <c r="E16" s="2" t="s">
        <v>52</v>
      </c>
      <c r="F16">
        <f>F13*(100-F14)</f>
        <v>475485.97900000005</v>
      </c>
      <c r="G16">
        <f t="shared" ref="G16:K16" si="6">G13*(100-G14)</f>
        <v>470281.068998</v>
      </c>
      <c r="H16">
        <f t="shared" si="6"/>
        <v>464601.57530201768</v>
      </c>
      <c r="I16">
        <f t="shared" si="6"/>
        <v>458404.22537083563</v>
      </c>
      <c r="J16">
        <f t="shared" si="6"/>
        <v>451641.80107292841</v>
      </c>
      <c r="K16">
        <f t="shared" si="6"/>
        <v>444262.77892753802</v>
      </c>
    </row>
    <row r="17" spans="4:12" x14ac:dyDescent="0.3">
      <c r="D17" s="2">
        <v>11</v>
      </c>
      <c r="E17" s="2" t="s">
        <v>10</v>
      </c>
      <c r="G17" s="4">
        <v>7.4700000000000003E-2</v>
      </c>
      <c r="H17" s="4">
        <v>7.4700000000000003E-2</v>
      </c>
      <c r="I17" s="4">
        <v>7.4700000000000003E-2</v>
      </c>
      <c r="J17" s="4">
        <v>7.4700000000000003E-2</v>
      </c>
      <c r="K17" s="4">
        <v>7.4700000000000003E-2</v>
      </c>
      <c r="L17" s="4">
        <v>7.4700000000000003E-2</v>
      </c>
    </row>
    <row r="18" spans="4:12" x14ac:dyDescent="0.3">
      <c r="D18" s="2">
        <v>12</v>
      </c>
      <c r="E18" s="2" t="s">
        <v>54</v>
      </c>
      <c r="G18">
        <f>ABS(F16/1+G17)^1</f>
        <v>475486.05370000005</v>
      </c>
      <c r="H18">
        <f>ABS(G16/(1+H17)^2)</f>
        <v>407176.77566026268</v>
      </c>
      <c r="I18">
        <f>ABS(H16/(1+I17)^3)</f>
        <v>374299.2280026442</v>
      </c>
      <c r="J18">
        <f>ABS(I16/(1+J17)^4)</f>
        <v>343636.76078850182</v>
      </c>
      <c r="K18">
        <f>ABS(J16/(1+K17)^5)</f>
        <v>315034.33277735004</v>
      </c>
    </row>
    <row r="20" spans="4:12" x14ac:dyDescent="0.3">
      <c r="E20" s="2" t="s">
        <v>33</v>
      </c>
      <c r="G20">
        <f>SUM(G18:K18)</f>
        <v>1915633.1509287588</v>
      </c>
    </row>
    <row r="21" spans="4:12" x14ac:dyDescent="0.3">
      <c r="E21" s="2" t="s">
        <v>17</v>
      </c>
      <c r="G21">
        <f>(L13*(100-L14))/(L17-L15)</f>
        <v>29861520.607019741</v>
      </c>
      <c r="I21" s="25" t="s">
        <v>35</v>
      </c>
      <c r="J21" s="25"/>
      <c r="K21" s="25"/>
    </row>
    <row r="22" spans="4:12" x14ac:dyDescent="0.3">
      <c r="E22" s="2" t="s">
        <v>19</v>
      </c>
      <c r="G22" s="15">
        <f>G21/(1+G17)^5</f>
        <v>20829347.942996316</v>
      </c>
    </row>
    <row r="23" spans="4:12" x14ac:dyDescent="0.3">
      <c r="E23" s="2" t="s">
        <v>34</v>
      </c>
      <c r="G23" s="6">
        <f>G22+G20</f>
        <v>22744981.093925074</v>
      </c>
    </row>
  </sheetData>
  <mergeCells count="4">
    <mergeCell ref="G2:M3"/>
    <mergeCell ref="N7:V7"/>
    <mergeCell ref="N8:V8"/>
    <mergeCell ref="I21:K2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D2:V22"/>
  <sheetViews>
    <sheetView workbookViewId="0">
      <selection activeCell="G16" sqref="G16"/>
    </sheetView>
  </sheetViews>
  <sheetFormatPr defaultRowHeight="14.4" x14ac:dyDescent="0.3"/>
  <cols>
    <col min="5" max="5" width="14.109375" customWidth="1"/>
    <col min="6" max="6" width="10.6640625" bestFit="1" customWidth="1"/>
    <col min="7" max="7" width="9.109375" customWidth="1"/>
  </cols>
  <sheetData>
    <row r="2" spans="4:22" x14ac:dyDescent="0.3">
      <c r="H2" s="26" t="s">
        <v>39</v>
      </c>
      <c r="I2" s="25"/>
      <c r="J2" s="25"/>
      <c r="K2" s="25"/>
      <c r="L2" s="25"/>
      <c r="M2" s="25"/>
    </row>
    <row r="3" spans="4:22" x14ac:dyDescent="0.3">
      <c r="H3" s="25"/>
      <c r="I3" s="25"/>
      <c r="J3" s="25"/>
      <c r="K3" s="25"/>
      <c r="L3" s="25"/>
      <c r="M3" s="25"/>
    </row>
    <row r="6" spans="4:22" x14ac:dyDescent="0.3">
      <c r="D6" s="2" t="s">
        <v>21</v>
      </c>
      <c r="E6" s="2"/>
      <c r="F6" s="2">
        <v>2022</v>
      </c>
      <c r="G6" s="2">
        <v>2023</v>
      </c>
      <c r="H6" s="2">
        <v>2024</v>
      </c>
      <c r="I6" s="2">
        <v>2025</v>
      </c>
      <c r="J6" s="2">
        <v>2026</v>
      </c>
      <c r="K6" s="2">
        <v>2027</v>
      </c>
      <c r="L6" s="2">
        <v>2028</v>
      </c>
    </row>
    <row r="7" spans="4:22" x14ac:dyDescent="0.3">
      <c r="D7" s="2">
        <v>1</v>
      </c>
      <c r="E7" s="2" t="s">
        <v>0</v>
      </c>
      <c r="F7" s="1">
        <v>-84286.5</v>
      </c>
      <c r="G7">
        <f>F7*(1+G13)</f>
        <v>-90161.269050000003</v>
      </c>
      <c r="H7">
        <f t="shared" ref="H7:K7" si="0">G7*(1+H13)</f>
        <v>-96445.509502785018</v>
      </c>
      <c r="I7">
        <f t="shared" si="0"/>
        <v>-103167.76151512914</v>
      </c>
      <c r="J7">
        <f t="shared" si="0"/>
        <v>-110358.55449273365</v>
      </c>
      <c r="K7">
        <f t="shared" si="0"/>
        <v>-118050.54574087719</v>
      </c>
      <c r="L7">
        <f>K7*(1+L13)</f>
        <v>-122772.56757051228</v>
      </c>
    </row>
    <row r="8" spans="4:22" x14ac:dyDescent="0.3">
      <c r="D8" s="2">
        <v>2</v>
      </c>
      <c r="E8" s="2" t="s">
        <v>2</v>
      </c>
      <c r="F8" s="1">
        <v>142220</v>
      </c>
      <c r="G8">
        <f>F8*(1+G13)</f>
        <v>152132.73400000003</v>
      </c>
      <c r="H8">
        <f t="shared" ref="H8:K8" si="1">G8*(1+H13)</f>
        <v>162736.38555980005</v>
      </c>
      <c r="I8">
        <f t="shared" si="1"/>
        <v>174079.11163331813</v>
      </c>
      <c r="J8">
        <f t="shared" si="1"/>
        <v>186212.4257141604</v>
      </c>
      <c r="K8">
        <f t="shared" si="1"/>
        <v>199191.4317864374</v>
      </c>
      <c r="L8">
        <f>K8*(1+L13)</f>
        <v>207159.08905789492</v>
      </c>
      <c r="N8" s="27" t="s">
        <v>44</v>
      </c>
      <c r="O8" s="27"/>
      <c r="P8" s="27"/>
      <c r="Q8" s="27"/>
      <c r="R8" s="27"/>
      <c r="S8" s="27"/>
      <c r="T8" s="27"/>
      <c r="U8" s="27"/>
      <c r="V8" s="27"/>
    </row>
    <row r="9" spans="4:22" x14ac:dyDescent="0.3">
      <c r="D9" s="2">
        <v>3</v>
      </c>
      <c r="E9" s="2" t="s">
        <v>23</v>
      </c>
      <c r="F9" s="1">
        <v>2334.46</v>
      </c>
      <c r="G9">
        <f t="shared" ref="G9:L9" si="2">F9*(1+$F$13)</f>
        <v>2497.1718620000001</v>
      </c>
      <c r="H9">
        <f t="shared" si="2"/>
        <v>2671.2247407814002</v>
      </c>
      <c r="I9">
        <f t="shared" si="2"/>
        <v>2857.4091052138642</v>
      </c>
      <c r="J9">
        <f t="shared" si="2"/>
        <v>3056.570519847271</v>
      </c>
      <c r="K9">
        <f t="shared" si="2"/>
        <v>3269.6134850806261</v>
      </c>
      <c r="L9">
        <f t="shared" si="2"/>
        <v>3497.5055449907459</v>
      </c>
      <c r="N9" s="27" t="s">
        <v>29</v>
      </c>
      <c r="O9" s="27"/>
      <c r="P9" s="27"/>
      <c r="Q9" s="27"/>
      <c r="R9" s="27"/>
      <c r="S9" s="27"/>
      <c r="T9" s="27"/>
      <c r="U9" s="27"/>
      <c r="V9" s="27"/>
    </row>
    <row r="10" spans="4:22" x14ac:dyDescent="0.3">
      <c r="D10" s="2">
        <v>4</v>
      </c>
      <c r="E10" s="2" t="s">
        <v>1</v>
      </c>
      <c r="F10" s="10">
        <v>-273.89999999999998</v>
      </c>
      <c r="G10">
        <f>F10*(1+G13)</f>
        <v>-292.99083000000002</v>
      </c>
      <c r="H10">
        <f t="shared" ref="H10:L10" si="3">G10*(1+H13)</f>
        <v>-313.41229085100002</v>
      </c>
      <c r="I10">
        <f t="shared" si="3"/>
        <v>-335.25712752331475</v>
      </c>
      <c r="J10">
        <f t="shared" si="3"/>
        <v>-358.6245493116898</v>
      </c>
      <c r="K10">
        <f t="shared" si="3"/>
        <v>-383.62068039871463</v>
      </c>
      <c r="L10">
        <f t="shared" si="3"/>
        <v>-398.96550761466324</v>
      </c>
      <c r="N10" s="27" t="s">
        <v>30</v>
      </c>
      <c r="O10" s="27"/>
      <c r="P10" s="27"/>
      <c r="Q10" s="27"/>
      <c r="R10" s="27"/>
      <c r="S10" s="27"/>
      <c r="T10" s="27"/>
      <c r="U10" s="27"/>
      <c r="V10" s="27"/>
    </row>
    <row r="11" spans="4:22" x14ac:dyDescent="0.3">
      <c r="D11" s="2">
        <v>5</v>
      </c>
      <c r="E11" s="2" t="s">
        <v>7</v>
      </c>
      <c r="F11" s="8">
        <v>6.9699999999999998E-2</v>
      </c>
      <c r="G11" s="8">
        <v>6.9699999999999998E-2</v>
      </c>
      <c r="H11" s="8">
        <v>6.9699999999999998E-2</v>
      </c>
      <c r="I11" s="8">
        <v>6.9699999999999998E-2</v>
      </c>
      <c r="J11" s="8">
        <v>6.9699999999999998E-2</v>
      </c>
      <c r="K11" s="8">
        <v>6.9699999999999998E-2</v>
      </c>
      <c r="L11" s="8">
        <v>0.06</v>
      </c>
      <c r="N11" s="27" t="s">
        <v>45</v>
      </c>
      <c r="O11" s="27"/>
      <c r="P11" s="27"/>
      <c r="Q11" s="27"/>
      <c r="R11" s="27"/>
      <c r="S11" s="27"/>
      <c r="T11" s="27"/>
      <c r="U11" s="27"/>
      <c r="V11" s="27"/>
    </row>
    <row r="12" spans="4:22" x14ac:dyDescent="0.3">
      <c r="D12" s="2">
        <v>6</v>
      </c>
      <c r="E12" s="2" t="s">
        <v>24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f>L13/L11</f>
        <v>0.66666666666666674</v>
      </c>
      <c r="N12" s="27" t="s">
        <v>46</v>
      </c>
      <c r="O12" s="27"/>
      <c r="P12" s="27"/>
      <c r="Q12" s="27"/>
      <c r="R12" s="27"/>
      <c r="S12" s="27"/>
      <c r="T12" s="27"/>
      <c r="U12" s="27"/>
      <c r="V12" s="27"/>
    </row>
    <row r="13" spans="4:22" x14ac:dyDescent="0.3">
      <c r="D13" s="2">
        <v>7</v>
      </c>
      <c r="E13" s="2" t="s">
        <v>25</v>
      </c>
      <c r="F13" s="9">
        <f>F12*F11</f>
        <v>6.9699999999999998E-2</v>
      </c>
      <c r="G13" s="9">
        <f t="shared" ref="G13:K13" si="4">G12*G11</f>
        <v>6.9699999999999998E-2</v>
      </c>
      <c r="H13" s="9">
        <f t="shared" si="4"/>
        <v>6.9699999999999998E-2</v>
      </c>
      <c r="I13" s="9">
        <f t="shared" si="4"/>
        <v>6.9699999999999998E-2</v>
      </c>
      <c r="J13" s="9">
        <f t="shared" si="4"/>
        <v>6.9699999999999998E-2</v>
      </c>
      <c r="K13" s="9">
        <f t="shared" si="4"/>
        <v>6.9699999999999998E-2</v>
      </c>
      <c r="L13" s="9">
        <v>0.04</v>
      </c>
    </row>
    <row r="14" spans="4:22" x14ac:dyDescent="0.3">
      <c r="D14" s="2">
        <v>8</v>
      </c>
      <c r="E14" s="2" t="s">
        <v>3</v>
      </c>
      <c r="F14">
        <v>1.17</v>
      </c>
      <c r="G14">
        <v>1.17</v>
      </c>
      <c r="H14">
        <v>1.17</v>
      </c>
      <c r="I14">
        <v>1.17</v>
      </c>
      <c r="J14">
        <v>1.17</v>
      </c>
      <c r="K14">
        <v>1.17</v>
      </c>
      <c r="L14">
        <v>1.17</v>
      </c>
    </row>
    <row r="15" spans="4:22" x14ac:dyDescent="0.3">
      <c r="D15" s="2">
        <v>9</v>
      </c>
      <c r="E15" s="2" t="s">
        <v>27</v>
      </c>
      <c r="F15">
        <f>F7-(F8-F9)*(1-F14)-F10*(1-F14)</f>
        <v>-60552.52120000001</v>
      </c>
      <c r="G15">
        <f t="shared" ref="G15:K15" si="5">G7-(G8-G9)*(1-G14)-G10*(1-G14)</f>
        <v>-64773.031927640011</v>
      </c>
      <c r="H15">
        <f t="shared" si="5"/>
        <v>-69287.712252996527</v>
      </c>
      <c r="I15">
        <f t="shared" si="5"/>
        <v>-74117.065797030387</v>
      </c>
      <c r="J15">
        <f t="shared" si="5"/>
        <v>-79283.025283083407</v>
      </c>
      <c r="K15">
        <f t="shared" si="5"/>
        <v>-84809.05214531433</v>
      </c>
    </row>
    <row r="16" spans="4:22" x14ac:dyDescent="0.3">
      <c r="D16" s="2">
        <v>10</v>
      </c>
      <c r="E16" s="2" t="s">
        <v>10</v>
      </c>
      <c r="F16" s="9"/>
      <c r="G16" s="9">
        <v>0.1164</v>
      </c>
      <c r="H16" s="9">
        <v>0.1164</v>
      </c>
      <c r="I16" s="9">
        <v>0.1164</v>
      </c>
      <c r="J16" s="9">
        <v>0.1164</v>
      </c>
      <c r="K16" s="9">
        <v>0.1164</v>
      </c>
      <c r="L16" s="9">
        <v>0.1164</v>
      </c>
    </row>
    <row r="17" spans="4:11" x14ac:dyDescent="0.3">
      <c r="D17" s="2">
        <v>11</v>
      </c>
      <c r="E17" s="2" t="s">
        <v>31</v>
      </c>
      <c r="G17">
        <f>ABS(F15/(1+G16))</f>
        <v>54239.091006807605</v>
      </c>
      <c r="H17">
        <f>ABS(G15/(1+H16)^2)</f>
        <v>51970.221829077469</v>
      </c>
      <c r="I17">
        <f>ABS(H15/(1+I16)^3)</f>
        <v>49796.26145697257</v>
      </c>
      <c r="J17">
        <f>ABS(I15/(1+J16)^4)</f>
        <v>47713.239771160472</v>
      </c>
      <c r="K17">
        <f>ABS(J15/(1+K16)^5)</f>
        <v>45717.352725913966</v>
      </c>
    </row>
    <row r="19" spans="4:11" x14ac:dyDescent="0.3">
      <c r="E19" s="2" t="s">
        <v>33</v>
      </c>
      <c r="G19">
        <f>SUM(G17:K17)</f>
        <v>249436.16678993206</v>
      </c>
    </row>
    <row r="20" spans="4:11" x14ac:dyDescent="0.3">
      <c r="E20" s="2" t="s">
        <v>17</v>
      </c>
      <c r="G20">
        <f>(ABS(L7-(1-L14)*(L8-L9)-(1-L14)*L10))/(L16-L13)</f>
        <v>1154684.8496022655</v>
      </c>
      <c r="I20" s="25" t="s">
        <v>35</v>
      </c>
      <c r="J20" s="25"/>
      <c r="K20" s="25"/>
    </row>
    <row r="21" spans="4:11" x14ac:dyDescent="0.3">
      <c r="E21" s="2" t="s">
        <v>19</v>
      </c>
      <c r="G21">
        <f>G20/(1+G16)^5</f>
        <v>665831.48622356239</v>
      </c>
    </row>
    <row r="22" spans="4:11" x14ac:dyDescent="0.3">
      <c r="E22" s="2" t="s">
        <v>34</v>
      </c>
      <c r="G22" s="6">
        <f>G21+G19</f>
        <v>915267.65301349445</v>
      </c>
    </row>
  </sheetData>
  <mergeCells count="7">
    <mergeCell ref="I20:K20"/>
    <mergeCell ref="N12:V12"/>
    <mergeCell ref="H2:M3"/>
    <mergeCell ref="N8:V8"/>
    <mergeCell ref="N9:V9"/>
    <mergeCell ref="N10:V10"/>
    <mergeCell ref="N11:V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D2:V38"/>
  <sheetViews>
    <sheetView zoomScaleNormal="100" workbookViewId="0">
      <selection activeCell="G4" sqref="G4"/>
    </sheetView>
  </sheetViews>
  <sheetFormatPr defaultRowHeight="14.4" x14ac:dyDescent="0.3"/>
  <cols>
    <col min="5" max="5" width="16.44140625" customWidth="1"/>
    <col min="6" max="6" width="11.33203125" customWidth="1"/>
  </cols>
  <sheetData>
    <row r="2" spans="4:22" x14ac:dyDescent="0.3">
      <c r="G2" s="26" t="s">
        <v>81</v>
      </c>
      <c r="H2" s="26"/>
      <c r="I2" s="26"/>
      <c r="J2" s="26"/>
      <c r="K2" s="26"/>
      <c r="L2" s="26"/>
      <c r="M2" s="26"/>
    </row>
    <row r="3" spans="4:22" x14ac:dyDescent="0.3">
      <c r="G3" s="26"/>
      <c r="H3" s="26"/>
      <c r="I3" s="26"/>
      <c r="J3" s="26"/>
      <c r="K3" s="26"/>
      <c r="L3" s="26"/>
      <c r="M3" s="26"/>
    </row>
    <row r="5" spans="4:22" x14ac:dyDescent="0.3">
      <c r="E5" s="2" t="s">
        <v>76</v>
      </c>
    </row>
    <row r="6" spans="4:22" x14ac:dyDescent="0.3">
      <c r="D6" s="2" t="s">
        <v>21</v>
      </c>
      <c r="E6" s="2"/>
      <c r="F6" s="2">
        <v>2022</v>
      </c>
      <c r="G6" s="2">
        <v>2023</v>
      </c>
      <c r="H6" s="2">
        <v>2024</v>
      </c>
      <c r="I6" s="2">
        <v>2025</v>
      </c>
      <c r="J6" s="2">
        <v>2026</v>
      </c>
      <c r="K6" s="2">
        <v>2027</v>
      </c>
      <c r="L6" s="2"/>
    </row>
    <row r="7" spans="4:22" x14ac:dyDescent="0.3">
      <c r="D7" s="2">
        <v>1</v>
      </c>
      <c r="E7" s="2" t="s">
        <v>0</v>
      </c>
      <c r="F7" s="10">
        <v>-84286.5</v>
      </c>
      <c r="G7">
        <f>F7*(1+G13)</f>
        <v>-90161.269050000003</v>
      </c>
      <c r="H7">
        <f t="shared" ref="H7:K7" si="0">G7*(1+H13)</f>
        <v>-96445.509502785018</v>
      </c>
      <c r="I7">
        <f t="shared" si="0"/>
        <v>-103167.76151512914</v>
      </c>
      <c r="J7">
        <f t="shared" si="0"/>
        <v>-110358.55449273365</v>
      </c>
      <c r="K7">
        <f t="shared" si="0"/>
        <v>-118050.54574087719</v>
      </c>
      <c r="N7" s="27" t="s">
        <v>28</v>
      </c>
      <c r="O7" s="27"/>
      <c r="P7" s="27"/>
      <c r="Q7" s="27"/>
      <c r="R7" s="27"/>
      <c r="S7" s="27"/>
      <c r="T7" s="27"/>
      <c r="U7" s="27"/>
      <c r="V7" s="27"/>
    </row>
    <row r="8" spans="4:22" x14ac:dyDescent="0.3">
      <c r="D8" s="2">
        <v>2</v>
      </c>
      <c r="E8" s="2" t="s">
        <v>2</v>
      </c>
      <c r="F8" s="10">
        <v>142220</v>
      </c>
      <c r="G8">
        <f>F8*(1+G13)</f>
        <v>152132.73400000003</v>
      </c>
      <c r="H8">
        <f t="shared" ref="H8:K8" si="1">G8*(1+H13)</f>
        <v>162736.38555980005</v>
      </c>
      <c r="I8">
        <f t="shared" si="1"/>
        <v>174079.11163331813</v>
      </c>
      <c r="J8">
        <f t="shared" si="1"/>
        <v>186212.4257141604</v>
      </c>
      <c r="K8">
        <f t="shared" si="1"/>
        <v>199191.4317864374</v>
      </c>
      <c r="N8" s="27" t="s">
        <v>29</v>
      </c>
      <c r="O8" s="27"/>
      <c r="P8" s="27"/>
      <c r="Q8" s="27"/>
      <c r="R8" s="27"/>
      <c r="S8" s="27"/>
      <c r="T8" s="27"/>
      <c r="U8" s="27"/>
      <c r="V8" s="27"/>
    </row>
    <row r="9" spans="4:22" x14ac:dyDescent="0.3">
      <c r="D9" s="2">
        <v>3</v>
      </c>
      <c r="E9" s="2" t="s">
        <v>23</v>
      </c>
      <c r="F9" s="1">
        <v>2334.46</v>
      </c>
      <c r="G9">
        <f t="shared" ref="G9:K9" si="2">F9*(1+$F$13)</f>
        <v>2497.1718620000001</v>
      </c>
      <c r="H9">
        <f t="shared" si="2"/>
        <v>2671.2247407814002</v>
      </c>
      <c r="I9">
        <f t="shared" si="2"/>
        <v>2857.4091052138642</v>
      </c>
      <c r="J9">
        <f t="shared" si="2"/>
        <v>3056.570519847271</v>
      </c>
      <c r="K9">
        <f t="shared" si="2"/>
        <v>3269.6134850806261</v>
      </c>
      <c r="N9" s="27" t="s">
        <v>30</v>
      </c>
      <c r="O9" s="27"/>
      <c r="P9" s="27"/>
      <c r="Q9" s="27"/>
      <c r="R9" s="27"/>
      <c r="S9" s="27"/>
      <c r="T9" s="27"/>
      <c r="U9" s="27"/>
      <c r="V9" s="27"/>
    </row>
    <row r="10" spans="4:22" x14ac:dyDescent="0.3">
      <c r="D10" s="2">
        <v>4</v>
      </c>
      <c r="E10" s="2" t="s">
        <v>1</v>
      </c>
      <c r="F10" s="10">
        <v>-273.89999999999998</v>
      </c>
      <c r="G10">
        <f>F10*(1+G13)</f>
        <v>-292.99083000000002</v>
      </c>
      <c r="H10">
        <f t="shared" ref="H10:K10" si="3">G10*(1+H13)</f>
        <v>-313.41229085100002</v>
      </c>
      <c r="I10">
        <f t="shared" si="3"/>
        <v>-335.25712752331475</v>
      </c>
      <c r="J10">
        <f t="shared" si="3"/>
        <v>-358.6245493116898</v>
      </c>
      <c r="K10">
        <f t="shared" si="3"/>
        <v>-383.62068039871463</v>
      </c>
      <c r="N10" s="27" t="s">
        <v>45</v>
      </c>
      <c r="O10" s="27"/>
      <c r="P10" s="27"/>
      <c r="Q10" s="27"/>
      <c r="R10" s="27"/>
      <c r="S10" s="27"/>
      <c r="T10" s="27"/>
      <c r="U10" s="27"/>
      <c r="V10" s="27"/>
    </row>
    <row r="11" spans="4:22" x14ac:dyDescent="0.3">
      <c r="D11" s="2">
        <v>5</v>
      </c>
      <c r="E11" s="2" t="s">
        <v>7</v>
      </c>
      <c r="F11" s="8">
        <v>6.9699999999999998E-2</v>
      </c>
      <c r="G11" s="8">
        <v>6.9699999999999998E-2</v>
      </c>
      <c r="H11" s="8">
        <v>6.9699999999999998E-2</v>
      </c>
      <c r="I11" s="8">
        <v>6.9699999999999998E-2</v>
      </c>
      <c r="J11" s="8">
        <v>6.9699999999999998E-2</v>
      </c>
      <c r="K11" s="8">
        <v>6.9699999999999998E-2</v>
      </c>
      <c r="L11" s="8"/>
      <c r="N11" s="27" t="s">
        <v>80</v>
      </c>
      <c r="O11" s="27"/>
      <c r="P11" s="27"/>
      <c r="Q11" s="27"/>
      <c r="R11" s="27"/>
      <c r="S11" s="27"/>
      <c r="T11" s="27"/>
      <c r="U11" s="27"/>
      <c r="V11" s="27"/>
    </row>
    <row r="12" spans="4:22" x14ac:dyDescent="0.3">
      <c r="D12" s="2">
        <v>6</v>
      </c>
      <c r="E12" s="2" t="s">
        <v>24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/>
    </row>
    <row r="13" spans="4:22" x14ac:dyDescent="0.3">
      <c r="D13" s="2">
        <v>7</v>
      </c>
      <c r="E13" s="2" t="s">
        <v>25</v>
      </c>
      <c r="F13" s="9">
        <f>F12*F11</f>
        <v>6.9699999999999998E-2</v>
      </c>
      <c r="G13" s="9">
        <f t="shared" ref="G13:K13" si="4">G12*G11</f>
        <v>6.9699999999999998E-2</v>
      </c>
      <c r="H13" s="9">
        <f t="shared" si="4"/>
        <v>6.9699999999999998E-2</v>
      </c>
      <c r="I13" s="9">
        <f t="shared" si="4"/>
        <v>6.9699999999999998E-2</v>
      </c>
      <c r="J13" s="9">
        <f t="shared" si="4"/>
        <v>6.9699999999999998E-2</v>
      </c>
      <c r="K13" s="9">
        <f t="shared" si="4"/>
        <v>6.9699999999999998E-2</v>
      </c>
      <c r="L13" s="9"/>
    </row>
    <row r="14" spans="4:22" x14ac:dyDescent="0.3">
      <c r="D14" s="2">
        <v>8</v>
      </c>
      <c r="E14" s="2" t="s">
        <v>3</v>
      </c>
      <c r="F14">
        <v>1.17</v>
      </c>
      <c r="G14">
        <v>1.17</v>
      </c>
      <c r="H14">
        <v>1.17</v>
      </c>
      <c r="I14">
        <v>1.17</v>
      </c>
      <c r="J14">
        <v>1.17</v>
      </c>
      <c r="K14">
        <v>1.17</v>
      </c>
    </row>
    <row r="15" spans="4:22" x14ac:dyDescent="0.3">
      <c r="D15" s="2">
        <v>9</v>
      </c>
      <c r="E15" s="2" t="s">
        <v>27</v>
      </c>
      <c r="F15">
        <f>F7-(F8-F9)*(1-F14)-F10*(1-F14)</f>
        <v>-60552.52120000001</v>
      </c>
      <c r="G15">
        <f t="shared" ref="G15:K15" si="5">G7-(G8-G9)*(1-G14)-G10*(1-G14)</f>
        <v>-64773.031927640011</v>
      </c>
      <c r="H15">
        <f t="shared" si="5"/>
        <v>-69287.712252996527</v>
      </c>
      <c r="I15">
        <f t="shared" si="5"/>
        <v>-74117.065797030387</v>
      </c>
      <c r="J15">
        <f t="shared" si="5"/>
        <v>-79283.025283083407</v>
      </c>
      <c r="K15">
        <f t="shared" si="5"/>
        <v>-84809.05214531433</v>
      </c>
    </row>
    <row r="16" spans="4:22" x14ac:dyDescent="0.3">
      <c r="D16" s="2">
        <v>10</v>
      </c>
      <c r="E16" s="2" t="s">
        <v>10</v>
      </c>
      <c r="F16" s="9"/>
      <c r="G16" s="9">
        <v>0.1164</v>
      </c>
      <c r="H16" s="9">
        <v>0.1164</v>
      </c>
      <c r="I16" s="9">
        <v>0.1164</v>
      </c>
      <c r="J16" s="9">
        <v>0.1164</v>
      </c>
      <c r="K16" s="9">
        <v>0.1164</v>
      </c>
      <c r="L16" s="9"/>
    </row>
    <row r="17" spans="4:12" x14ac:dyDescent="0.3">
      <c r="D17" s="2">
        <v>11</v>
      </c>
      <c r="E17" s="2" t="s">
        <v>31</v>
      </c>
      <c r="G17">
        <f>ABS(F15/(1+G16))</f>
        <v>54239.091006807605</v>
      </c>
      <c r="H17">
        <f>ABS(G15/(1+H16)^2)</f>
        <v>51970.221829077469</v>
      </c>
      <c r="I17">
        <f>ABS(H15/(1+I16)^3)</f>
        <v>49796.26145697257</v>
      </c>
      <c r="J17">
        <f>ABS(I15/(1+J16)^4)</f>
        <v>47713.239771160472</v>
      </c>
      <c r="K17">
        <f>ABS(J15/(1+K16)^5)</f>
        <v>45717.352725913966</v>
      </c>
    </row>
    <row r="20" spans="4:12" x14ac:dyDescent="0.3">
      <c r="E20" s="2" t="s">
        <v>65</v>
      </c>
    </row>
    <row r="21" spans="4:12" x14ac:dyDescent="0.3">
      <c r="D21" s="2" t="s">
        <v>21</v>
      </c>
      <c r="E21" s="2"/>
      <c r="F21" s="2">
        <v>2028</v>
      </c>
      <c r="G21" s="2">
        <v>2029</v>
      </c>
      <c r="H21" s="2">
        <v>2030</v>
      </c>
      <c r="I21" s="2">
        <v>2031</v>
      </c>
      <c r="J21" s="2"/>
      <c r="K21" s="2"/>
      <c r="L21" s="2"/>
    </row>
    <row r="22" spans="4:12" x14ac:dyDescent="0.3">
      <c r="D22" s="2">
        <v>1</v>
      </c>
      <c r="E22" s="2" t="s">
        <v>0</v>
      </c>
      <c r="F22">
        <f>K7*(1+$F$28)</f>
        <v>-125109.96837618166</v>
      </c>
      <c r="G22">
        <f>F22*(1+G28)</f>
        <v>-131352.95579815313</v>
      </c>
      <c r="H22">
        <f t="shared" ref="H22:I22" si="6">G22*(1+H28)</f>
        <v>-136607.07403007927</v>
      </c>
      <c r="I22">
        <f t="shared" si="6"/>
        <v>-142071.35699128243</v>
      </c>
    </row>
    <row r="23" spans="4:12" x14ac:dyDescent="0.3">
      <c r="D23" s="2">
        <v>2</v>
      </c>
      <c r="E23" s="2" t="s">
        <v>2</v>
      </c>
      <c r="F23">
        <f>K8*(1+$F$28)</f>
        <v>211103.07940726637</v>
      </c>
      <c r="G23">
        <f>F23*(1+G28)</f>
        <v>221637.12306968897</v>
      </c>
      <c r="H23">
        <f t="shared" ref="H23:I23" si="7">G23*(1+H28)</f>
        <v>230502.60799247652</v>
      </c>
      <c r="I23">
        <f t="shared" si="7"/>
        <v>239722.7123121756</v>
      </c>
    </row>
    <row r="24" spans="4:12" x14ac:dyDescent="0.3">
      <c r="D24" s="2">
        <v>3</v>
      </c>
      <c r="E24" s="2" t="s">
        <v>23</v>
      </c>
      <c r="F24">
        <f>K9*(1+$F$28)</f>
        <v>3465.1363714884478</v>
      </c>
      <c r="G24">
        <f>F24*(1+G28)</f>
        <v>3638.0466764257217</v>
      </c>
      <c r="H24">
        <f t="shared" ref="H24:I24" si="8">G24*(1+H28)</f>
        <v>3783.5685434827506</v>
      </c>
      <c r="I24">
        <f t="shared" si="8"/>
        <v>3934.9112852220605</v>
      </c>
    </row>
    <row r="25" spans="4:12" x14ac:dyDescent="0.3">
      <c r="D25" s="2">
        <v>4</v>
      </c>
      <c r="E25" s="2" t="s">
        <v>1</v>
      </c>
      <c r="F25">
        <f>K10*(1+$F$28)</f>
        <v>-406.5611970865578</v>
      </c>
      <c r="G25">
        <f>F25*(1+G28)</f>
        <v>-426.84860082117706</v>
      </c>
      <c r="H25">
        <f t="shared" ref="H25:I25" si="9">G25*(1+H28)</f>
        <v>-443.92254485402418</v>
      </c>
      <c r="I25">
        <f t="shared" si="9"/>
        <v>-461.67944664818515</v>
      </c>
    </row>
    <row r="26" spans="4:12" x14ac:dyDescent="0.3">
      <c r="D26" s="2">
        <v>5</v>
      </c>
      <c r="E26" s="2" t="s">
        <v>7</v>
      </c>
      <c r="F26" s="21">
        <f>K13-0.3233%</f>
        <v>6.6466999999999998E-2</v>
      </c>
      <c r="G26" s="17">
        <f>F26-0.3233%</f>
        <v>6.3233999999999999E-2</v>
      </c>
      <c r="H26" s="3">
        <f t="shared" ref="H26" si="10">G26-0.3233%</f>
        <v>6.0000999999999999E-2</v>
      </c>
      <c r="I26" s="18">
        <v>0.06</v>
      </c>
      <c r="J26" s="3"/>
      <c r="K26" s="3"/>
      <c r="L26" s="11"/>
    </row>
    <row r="27" spans="4:12" x14ac:dyDescent="0.3">
      <c r="D27" s="2">
        <v>6</v>
      </c>
      <c r="E27" s="2" t="s">
        <v>24</v>
      </c>
      <c r="F27" s="17">
        <f>F28/F26</f>
        <v>0.89969458528292234</v>
      </c>
      <c r="G27" s="17">
        <f t="shared" ref="G27:I27" si="11">G28/G26</f>
        <v>0.78913242875668155</v>
      </c>
      <c r="H27" s="18">
        <f t="shared" si="11"/>
        <v>0.66665555574073765</v>
      </c>
      <c r="I27" s="18">
        <f t="shared" si="11"/>
        <v>0.66666666666666674</v>
      </c>
      <c r="J27" s="3"/>
      <c r="K27" s="3"/>
      <c r="L27" s="3"/>
    </row>
    <row r="28" spans="4:12" x14ac:dyDescent="0.3">
      <c r="D28" s="2">
        <v>7</v>
      </c>
      <c r="E28" s="2" t="s">
        <v>25</v>
      </c>
      <c r="F28" s="17">
        <f>K13-0.99%</f>
        <v>5.9799999999999999E-2</v>
      </c>
      <c r="G28" s="17">
        <f>F28-0.99%</f>
        <v>4.99E-2</v>
      </c>
      <c r="H28" s="17">
        <f t="shared" ref="H28" si="12">G28-0.99%</f>
        <v>0.04</v>
      </c>
      <c r="I28" s="17">
        <v>0.04</v>
      </c>
      <c r="J28" s="3"/>
      <c r="K28" s="3"/>
      <c r="L28" s="11"/>
    </row>
    <row r="29" spans="4:12" x14ac:dyDescent="0.3">
      <c r="D29" s="2">
        <v>8</v>
      </c>
      <c r="E29" s="2" t="s">
        <v>3</v>
      </c>
      <c r="F29">
        <v>1.17</v>
      </c>
      <c r="G29">
        <v>1.17</v>
      </c>
      <c r="H29">
        <v>1.17</v>
      </c>
      <c r="I29">
        <v>1.17</v>
      </c>
    </row>
    <row r="30" spans="4:12" x14ac:dyDescent="0.3">
      <c r="D30" s="2">
        <v>9</v>
      </c>
      <c r="E30" s="2" t="s">
        <v>27</v>
      </c>
      <c r="F30">
        <f t="shared" ref="F30:I30" si="13">F22-(F23-F24)*(1-F29)-F25*(1-F29)</f>
        <v>-89880.633463604143</v>
      </c>
      <c r="G30">
        <f t="shared" si="13"/>
        <v>-94365.677073437997</v>
      </c>
      <c r="H30">
        <f t="shared" si="13"/>
        <v>-98140.304156375525</v>
      </c>
      <c r="I30">
        <f t="shared" si="13"/>
        <v>-102065.91632263054</v>
      </c>
    </row>
    <row r="31" spans="4:12" x14ac:dyDescent="0.3">
      <c r="D31" s="2">
        <v>10</v>
      </c>
      <c r="E31" s="2" t="s">
        <v>10</v>
      </c>
      <c r="F31" s="9">
        <v>0.1164</v>
      </c>
      <c r="G31" s="9">
        <v>0.1164</v>
      </c>
      <c r="H31" s="9">
        <v>0.1164</v>
      </c>
      <c r="I31" s="9">
        <v>0.1164</v>
      </c>
      <c r="J31" s="4"/>
      <c r="K31" s="4"/>
      <c r="L31" s="4"/>
    </row>
    <row r="32" spans="4:12" x14ac:dyDescent="0.3">
      <c r="D32" s="2">
        <v>11</v>
      </c>
      <c r="E32" s="2" t="s">
        <v>31</v>
      </c>
      <c r="F32">
        <f>ABS(K15/1+F31)^1</f>
        <v>84808.935745314331</v>
      </c>
      <c r="G32">
        <f>ABS(F30/1+G31)^1</f>
        <v>89880.517063604144</v>
      </c>
      <c r="H32">
        <f>ABS(G30/(1+H31)^2)</f>
        <v>75713.688623319409</v>
      </c>
      <c r="I32">
        <f>ABS(H30/(1+I31)^3)</f>
        <v>70532.278903844679</v>
      </c>
    </row>
    <row r="34" spans="5:11" x14ac:dyDescent="0.3">
      <c r="E34" s="2" t="s">
        <v>77</v>
      </c>
      <c r="G34">
        <f>SUM(G17:K17)</f>
        <v>249436.16678993206</v>
      </c>
    </row>
    <row r="35" spans="5:11" x14ac:dyDescent="0.3">
      <c r="E35" s="2" t="s">
        <v>78</v>
      </c>
      <c r="G35">
        <f>SUM(F32:H32)</f>
        <v>250403.1414322379</v>
      </c>
    </row>
    <row r="36" spans="5:11" x14ac:dyDescent="0.3">
      <c r="E36" s="2" t="s">
        <v>17</v>
      </c>
      <c r="G36">
        <f>I30</f>
        <v>-102065.91632263054</v>
      </c>
      <c r="I36" s="25" t="s">
        <v>35</v>
      </c>
      <c r="J36" s="25"/>
      <c r="K36" s="25"/>
    </row>
    <row r="37" spans="5:11" x14ac:dyDescent="0.3">
      <c r="E37" s="2" t="s">
        <v>19</v>
      </c>
      <c r="G37" s="23">
        <f>G36/((1+G16)^8)</f>
        <v>-42298.222402135478</v>
      </c>
    </row>
    <row r="38" spans="5:11" x14ac:dyDescent="0.3">
      <c r="E38" s="2" t="s">
        <v>34</v>
      </c>
      <c r="G38" s="24">
        <f>G37+G35+G34</f>
        <v>457541.0858200345</v>
      </c>
    </row>
  </sheetData>
  <mergeCells count="7">
    <mergeCell ref="I36:K36"/>
    <mergeCell ref="N11:V11"/>
    <mergeCell ref="G2:M3"/>
    <mergeCell ref="N7:V7"/>
    <mergeCell ref="N8:V8"/>
    <mergeCell ref="N9:V9"/>
    <mergeCell ref="N10:V1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D2:V23"/>
  <sheetViews>
    <sheetView topLeftCell="B1" workbookViewId="0">
      <selection activeCell="K30" sqref="K30"/>
    </sheetView>
  </sheetViews>
  <sheetFormatPr defaultRowHeight="14.4" x14ac:dyDescent="0.3"/>
  <cols>
    <col min="5" max="5" width="17.5546875" customWidth="1"/>
    <col min="6" max="12" width="9.6640625" bestFit="1" customWidth="1"/>
  </cols>
  <sheetData>
    <row r="2" spans="4:22" x14ac:dyDescent="0.3">
      <c r="G2" s="26" t="s">
        <v>70</v>
      </c>
      <c r="H2" s="26"/>
      <c r="I2" s="26"/>
      <c r="J2" s="26"/>
      <c r="K2" s="26"/>
      <c r="L2" s="26"/>
      <c r="M2" s="26"/>
    </row>
    <row r="3" spans="4:22" x14ac:dyDescent="0.3">
      <c r="G3" s="26"/>
      <c r="H3" s="26"/>
      <c r="I3" s="26"/>
      <c r="J3" s="26"/>
      <c r="K3" s="26"/>
      <c r="L3" s="26"/>
      <c r="M3" s="26"/>
    </row>
    <row r="6" spans="4:22" x14ac:dyDescent="0.3">
      <c r="D6" s="2" t="s">
        <v>21</v>
      </c>
      <c r="E6" s="2"/>
      <c r="F6" s="2">
        <v>2022</v>
      </c>
      <c r="G6" s="2">
        <v>2023</v>
      </c>
      <c r="H6" s="2">
        <v>2024</v>
      </c>
      <c r="I6" s="2">
        <v>2025</v>
      </c>
      <c r="J6" s="2">
        <v>2026</v>
      </c>
      <c r="K6" s="2">
        <v>2027</v>
      </c>
      <c r="L6" s="2">
        <v>2028</v>
      </c>
    </row>
    <row r="7" spans="4:22" x14ac:dyDescent="0.3">
      <c r="D7" s="2">
        <v>1</v>
      </c>
      <c r="E7" s="2" t="s">
        <v>2</v>
      </c>
      <c r="F7" s="10">
        <v>142220</v>
      </c>
      <c r="G7" s="10">
        <f>F7*(1+G15)</f>
        <v>152132.73400000003</v>
      </c>
      <c r="H7" s="10">
        <f t="shared" ref="H7:L7" si="0">G7*(1+H15)</f>
        <v>162736.38555980005</v>
      </c>
      <c r="I7" s="10">
        <f t="shared" si="0"/>
        <v>174079.11163331813</v>
      </c>
      <c r="J7" s="10">
        <f t="shared" si="0"/>
        <v>186212.4257141604</v>
      </c>
      <c r="K7" s="10">
        <f t="shared" si="0"/>
        <v>199191.4317864374</v>
      </c>
      <c r="L7" s="10">
        <f t="shared" si="0"/>
        <v>207159.08905789492</v>
      </c>
      <c r="N7" s="27" t="s">
        <v>57</v>
      </c>
      <c r="O7" s="27"/>
      <c r="P7" s="27"/>
      <c r="Q7" s="27"/>
      <c r="R7" s="27"/>
      <c r="S7" s="27"/>
      <c r="T7" s="27"/>
      <c r="U7" s="27"/>
      <c r="V7" s="27"/>
    </row>
    <row r="8" spans="4:22" x14ac:dyDescent="0.3">
      <c r="D8" s="2">
        <v>2</v>
      </c>
      <c r="E8" s="2" t="s">
        <v>23</v>
      </c>
      <c r="F8" s="1">
        <v>2334.46</v>
      </c>
      <c r="G8">
        <f>F8*(1+G15)</f>
        <v>2497.1718620000001</v>
      </c>
      <c r="H8">
        <f t="shared" ref="H8:L8" si="1">G8*(1+H15)</f>
        <v>2671.2247407814002</v>
      </c>
      <c r="I8">
        <f t="shared" si="1"/>
        <v>2857.4091052138642</v>
      </c>
      <c r="J8">
        <f t="shared" si="1"/>
        <v>3056.570519847271</v>
      </c>
      <c r="K8">
        <f t="shared" si="1"/>
        <v>3269.6134850806261</v>
      </c>
      <c r="L8">
        <f t="shared" si="1"/>
        <v>3400.3980244838513</v>
      </c>
      <c r="N8" s="27" t="s">
        <v>59</v>
      </c>
      <c r="O8" s="27"/>
      <c r="P8" s="27"/>
      <c r="Q8" s="27"/>
      <c r="R8" s="27"/>
      <c r="S8" s="27"/>
      <c r="T8" s="27"/>
      <c r="U8" s="27"/>
      <c r="V8" s="27"/>
    </row>
    <row r="9" spans="4:22" x14ac:dyDescent="0.3">
      <c r="D9" s="2">
        <v>3</v>
      </c>
      <c r="E9" s="2" t="s">
        <v>55</v>
      </c>
      <c r="F9" s="10">
        <f t="shared" ref="F9:L9" si="2">F7-F8</f>
        <v>139885.54</v>
      </c>
      <c r="G9" s="10">
        <f t="shared" si="2"/>
        <v>149635.56213800004</v>
      </c>
      <c r="H9" s="10">
        <f t="shared" si="2"/>
        <v>160065.16081901864</v>
      </c>
      <c r="I9" s="10">
        <f t="shared" si="2"/>
        <v>171221.70252810427</v>
      </c>
      <c r="J9" s="10">
        <f t="shared" si="2"/>
        <v>183155.85519431313</v>
      </c>
      <c r="K9" s="10">
        <f t="shared" si="2"/>
        <v>195921.81830135678</v>
      </c>
      <c r="L9" s="10">
        <f t="shared" si="2"/>
        <v>203758.69103341107</v>
      </c>
    </row>
    <row r="10" spans="4:22" x14ac:dyDescent="0.3">
      <c r="D10" s="2">
        <v>4</v>
      </c>
      <c r="E10" s="2" t="s">
        <v>1</v>
      </c>
      <c r="F10" s="10">
        <v>-273.89999999999998</v>
      </c>
      <c r="G10" s="1">
        <f>F10*(1+G15)</f>
        <v>-292.99083000000002</v>
      </c>
      <c r="H10" s="1">
        <f t="shared" ref="H10:L10" si="3">G10*(1+H15)</f>
        <v>-313.41229085100002</v>
      </c>
      <c r="I10" s="1">
        <f t="shared" si="3"/>
        <v>-335.25712752331475</v>
      </c>
      <c r="J10" s="1">
        <f t="shared" si="3"/>
        <v>-358.6245493116898</v>
      </c>
      <c r="K10" s="1">
        <f t="shared" si="3"/>
        <v>-383.62068039871463</v>
      </c>
      <c r="L10" s="1">
        <f t="shared" si="3"/>
        <v>-398.96550761466324</v>
      </c>
    </row>
    <row r="11" spans="4:22" x14ac:dyDescent="0.3">
      <c r="D11" s="2">
        <v>5</v>
      </c>
      <c r="E11" s="2" t="s">
        <v>48</v>
      </c>
      <c r="F11">
        <v>3982.7</v>
      </c>
      <c r="G11">
        <v>3982.7</v>
      </c>
      <c r="H11">
        <v>3982.7</v>
      </c>
      <c r="I11">
        <v>3982.7</v>
      </c>
      <c r="J11">
        <v>3982.7</v>
      </c>
      <c r="K11">
        <v>3982.7</v>
      </c>
      <c r="L11">
        <v>3982.7</v>
      </c>
    </row>
    <row r="12" spans="4:22" x14ac:dyDescent="0.3">
      <c r="D12" s="2">
        <v>6</v>
      </c>
      <c r="E12" s="2" t="s">
        <v>49</v>
      </c>
      <c r="F12" s="3">
        <v>4.5941000000000003E-2</v>
      </c>
      <c r="G12" s="3">
        <v>4.5941000000000003E-2</v>
      </c>
      <c r="H12" s="3">
        <v>4.5941000000000003E-2</v>
      </c>
      <c r="I12" s="3">
        <v>4.5941000000000003E-2</v>
      </c>
      <c r="J12" s="3">
        <v>4.5941000000000003E-2</v>
      </c>
      <c r="K12" s="3">
        <v>4.5941000000000003E-2</v>
      </c>
      <c r="L12" s="3">
        <v>4.5941000000000003E-2</v>
      </c>
    </row>
    <row r="13" spans="4:22" x14ac:dyDescent="0.3">
      <c r="D13" s="2">
        <v>7</v>
      </c>
      <c r="E13" s="2" t="s">
        <v>50</v>
      </c>
      <c r="F13" s="12">
        <f>F11*(1-F12)</f>
        <v>3799.7307793</v>
      </c>
      <c r="G13" s="12">
        <f t="shared" ref="G13:L13" si="4">G11*(1-G12)</f>
        <v>3799.7307793</v>
      </c>
      <c r="H13" s="12">
        <f t="shared" si="4"/>
        <v>3799.7307793</v>
      </c>
      <c r="I13" s="12">
        <f t="shared" si="4"/>
        <v>3799.7307793</v>
      </c>
      <c r="J13" s="12">
        <f t="shared" si="4"/>
        <v>3799.7307793</v>
      </c>
      <c r="K13" s="12">
        <f t="shared" si="4"/>
        <v>3799.7307793</v>
      </c>
      <c r="L13" s="12">
        <f t="shared" si="4"/>
        <v>3799.7307793</v>
      </c>
    </row>
    <row r="14" spans="4:22" x14ac:dyDescent="0.3">
      <c r="D14" s="2">
        <v>8</v>
      </c>
      <c r="E14" s="2" t="s">
        <v>51</v>
      </c>
      <c r="F14" s="10">
        <f>(F9+F10)/F13</f>
        <v>36.742508379954167</v>
      </c>
      <c r="G14" s="10">
        <f t="shared" ref="G14:L14" si="5">(G9+G10)/G13</f>
        <v>39.303461214036979</v>
      </c>
      <c r="H14" s="10">
        <f t="shared" si="5"/>
        <v>42.042912460655351</v>
      </c>
      <c r="I14" s="10">
        <f t="shared" si="5"/>
        <v>44.973303459163041</v>
      </c>
      <c r="J14" s="10">
        <f t="shared" si="5"/>
        <v>48.107942710266698</v>
      </c>
      <c r="K14" s="10">
        <f t="shared" si="5"/>
        <v>51.461066317172296</v>
      </c>
      <c r="L14" s="10">
        <f t="shared" si="5"/>
        <v>53.519508969859196</v>
      </c>
    </row>
    <row r="15" spans="4:22" x14ac:dyDescent="0.3">
      <c r="D15" s="2">
        <v>9</v>
      </c>
      <c r="E15" s="2" t="s">
        <v>53</v>
      </c>
      <c r="F15" s="9">
        <v>6.9699999999999998E-2</v>
      </c>
      <c r="G15" s="9">
        <v>6.9699999999999998E-2</v>
      </c>
      <c r="H15" s="9">
        <v>6.9699999999999998E-2</v>
      </c>
      <c r="I15" s="9">
        <v>6.9699999999999998E-2</v>
      </c>
      <c r="J15" s="9">
        <v>6.9699999999999998E-2</v>
      </c>
      <c r="K15" s="9">
        <v>6.9699999999999998E-2</v>
      </c>
      <c r="L15" s="7">
        <v>0.04</v>
      </c>
    </row>
    <row r="16" spans="4:22" x14ac:dyDescent="0.3">
      <c r="D16" s="2">
        <v>10</v>
      </c>
      <c r="E16" s="2" t="s">
        <v>52</v>
      </c>
      <c r="F16">
        <f>F13*(100-F14)</f>
        <v>240361.43792999999</v>
      </c>
      <c r="G16">
        <f t="shared" ref="G16:K16" si="6">G13*(100-G14)</f>
        <v>230630.50662199996</v>
      </c>
      <c r="H16">
        <f t="shared" si="6"/>
        <v>220221.32940183236</v>
      </c>
      <c r="I16">
        <f t="shared" si="6"/>
        <v>209086.63252941903</v>
      </c>
      <c r="J16">
        <f t="shared" si="6"/>
        <v>197175.84728499857</v>
      </c>
      <c r="K16">
        <f t="shared" si="6"/>
        <v>184434.88030904194</v>
      </c>
    </row>
    <row r="17" spans="4:12" x14ac:dyDescent="0.3">
      <c r="D17" s="2">
        <v>11</v>
      </c>
      <c r="E17" s="2" t="s">
        <v>10</v>
      </c>
      <c r="G17" s="4">
        <v>0.1164</v>
      </c>
      <c r="H17" s="4">
        <v>0.1164</v>
      </c>
      <c r="I17" s="4">
        <v>0.1164</v>
      </c>
      <c r="J17" s="4">
        <v>0.1164</v>
      </c>
      <c r="K17" s="4">
        <v>0.1164</v>
      </c>
      <c r="L17" s="4">
        <v>0.1164</v>
      </c>
    </row>
    <row r="18" spans="4:12" x14ac:dyDescent="0.3">
      <c r="D18" s="2">
        <v>12</v>
      </c>
      <c r="E18" s="2" t="s">
        <v>54</v>
      </c>
      <c r="G18">
        <f>ABS(F16/1+G17)^1</f>
        <v>240361.55432999998</v>
      </c>
      <c r="H18">
        <f>ABS(G16/(1+H17)^2)</f>
        <v>185044.89033472611</v>
      </c>
      <c r="I18">
        <f>ABS(H16/(1+I17)^3)</f>
        <v>158270.47164227106</v>
      </c>
      <c r="J18">
        <f>ABS(I16/(1+J17)^4)</f>
        <v>134600.58791507641</v>
      </c>
      <c r="K18">
        <f>ABS(J16/(1+K17)^5)</f>
        <v>113698.45849313997</v>
      </c>
    </row>
    <row r="20" spans="4:12" x14ac:dyDescent="0.3">
      <c r="E20" s="2" t="s">
        <v>33</v>
      </c>
      <c r="G20">
        <f>SUM(G18:K18)</f>
        <v>831975.96271521354</v>
      </c>
    </row>
    <row r="21" spans="4:12" x14ac:dyDescent="0.3">
      <c r="E21" s="2" t="s">
        <v>17</v>
      </c>
      <c r="G21">
        <f>(L13*(100-L14))/(L17-L15)</f>
        <v>2311693.0942958584</v>
      </c>
      <c r="I21" s="25" t="s">
        <v>35</v>
      </c>
      <c r="J21" s="25"/>
      <c r="K21" s="25"/>
    </row>
    <row r="22" spans="4:12" x14ac:dyDescent="0.3">
      <c r="E22" s="2" t="s">
        <v>19</v>
      </c>
      <c r="G22" s="15">
        <f>G21/(1+G17)^5</f>
        <v>1333002.7229489831</v>
      </c>
    </row>
    <row r="23" spans="4:12" x14ac:dyDescent="0.3">
      <c r="E23" s="2" t="s">
        <v>34</v>
      </c>
      <c r="G23" s="6">
        <f>G22+G20</f>
        <v>2164978.6856641965</v>
      </c>
    </row>
  </sheetData>
  <mergeCells count="4">
    <mergeCell ref="G2:M3"/>
    <mergeCell ref="N7:V7"/>
    <mergeCell ref="N8:V8"/>
    <mergeCell ref="I21:K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2:V21"/>
  <sheetViews>
    <sheetView workbookViewId="0">
      <selection activeCell="L20" sqref="L20"/>
    </sheetView>
  </sheetViews>
  <sheetFormatPr defaultRowHeight="14.4" x14ac:dyDescent="0.3"/>
  <cols>
    <col min="5" max="5" width="24.33203125" customWidth="1"/>
    <col min="6" max="6" width="10.5546875" customWidth="1"/>
    <col min="12" max="12" width="7.33203125" customWidth="1"/>
    <col min="13" max="13" width="4.33203125" hidden="1" customWidth="1"/>
  </cols>
  <sheetData>
    <row r="2" spans="4:22" x14ac:dyDescent="0.3">
      <c r="F2" s="26" t="s">
        <v>20</v>
      </c>
      <c r="G2" s="25"/>
      <c r="H2" s="25"/>
      <c r="I2" s="25"/>
      <c r="J2" s="25"/>
      <c r="K2" s="25"/>
    </row>
    <row r="3" spans="4:22" x14ac:dyDescent="0.3">
      <c r="F3" s="25"/>
      <c r="G3" s="25"/>
      <c r="H3" s="25"/>
      <c r="I3" s="25"/>
      <c r="J3" s="25"/>
      <c r="K3" s="25"/>
    </row>
    <row r="6" spans="4:22" x14ac:dyDescent="0.3">
      <c r="D6" s="2" t="s">
        <v>22</v>
      </c>
      <c r="F6" s="2">
        <v>2022</v>
      </c>
      <c r="G6" s="2">
        <v>2023</v>
      </c>
      <c r="H6" s="2">
        <v>2024</v>
      </c>
      <c r="I6" s="2">
        <v>2025</v>
      </c>
      <c r="J6" s="2">
        <v>2026</v>
      </c>
      <c r="K6" s="2">
        <v>2027</v>
      </c>
      <c r="L6" s="2">
        <v>2028</v>
      </c>
    </row>
    <row r="7" spans="4:22" x14ac:dyDescent="0.3">
      <c r="D7" s="2">
        <v>1</v>
      </c>
      <c r="E7" s="2" t="s">
        <v>4</v>
      </c>
      <c r="F7">
        <v>128.43</v>
      </c>
      <c r="G7">
        <f>F7*(1+G12)</f>
        <v>134.14274106480002</v>
      </c>
      <c r="H7">
        <f t="shared" ref="H7:L7" si="0">G7*(1+H12)</f>
        <v>140.10959262149018</v>
      </c>
      <c r="I7">
        <f t="shared" si="0"/>
        <v>146.34185785034003</v>
      </c>
      <c r="J7">
        <f t="shared" si="0"/>
        <v>152.85134271244985</v>
      </c>
      <c r="K7">
        <f t="shared" si="0"/>
        <v>159.6503783141257</v>
      </c>
      <c r="L7">
        <f t="shared" si="0"/>
        <v>164.43988966354948</v>
      </c>
    </row>
    <row r="8" spans="4:22" x14ac:dyDescent="0.3">
      <c r="D8" s="2">
        <v>2</v>
      </c>
      <c r="E8" s="2" t="s">
        <v>5</v>
      </c>
      <c r="F8" s="8">
        <v>0.3609</v>
      </c>
      <c r="G8" s="8">
        <v>0.3609</v>
      </c>
      <c r="H8" s="8">
        <v>0.3609</v>
      </c>
      <c r="I8" s="8">
        <v>0.3609</v>
      </c>
      <c r="J8" s="8">
        <v>0.3609</v>
      </c>
      <c r="K8" s="8">
        <v>0.3609</v>
      </c>
      <c r="L8" s="11">
        <v>0.4</v>
      </c>
      <c r="N8" s="28" t="s">
        <v>11</v>
      </c>
      <c r="O8" s="28"/>
      <c r="P8" s="28"/>
      <c r="Q8" s="28"/>
      <c r="R8" s="28"/>
      <c r="S8" s="28"/>
      <c r="T8" s="28"/>
      <c r="U8" s="28"/>
      <c r="V8" s="28"/>
    </row>
    <row r="9" spans="4:22" x14ac:dyDescent="0.3">
      <c r="D9" s="2">
        <v>3</v>
      </c>
      <c r="E9" s="2" t="s">
        <v>6</v>
      </c>
      <c r="F9">
        <f>F7*F8</f>
        <v>46.350387000000005</v>
      </c>
      <c r="G9">
        <f t="shared" ref="G9:K9" si="1">G7*G8</f>
        <v>48.412115250286327</v>
      </c>
      <c r="H9">
        <f t="shared" si="1"/>
        <v>50.565551977095808</v>
      </c>
      <c r="I9">
        <f t="shared" si="1"/>
        <v>52.814776498187719</v>
      </c>
      <c r="J9">
        <f t="shared" si="1"/>
        <v>55.164049584923148</v>
      </c>
      <c r="K9">
        <f t="shared" si="1"/>
        <v>57.61782153356797</v>
      </c>
      <c r="L9">
        <f>L7*L8</f>
        <v>65.775955865419789</v>
      </c>
      <c r="N9" s="27" t="s">
        <v>12</v>
      </c>
      <c r="O9" s="27"/>
      <c r="P9" s="27"/>
      <c r="Q9" s="27"/>
      <c r="R9" s="27"/>
      <c r="S9" s="27"/>
      <c r="T9" s="27"/>
      <c r="U9" s="27"/>
      <c r="V9" s="27"/>
    </row>
    <row r="10" spans="4:22" x14ac:dyDescent="0.3">
      <c r="D10" s="2">
        <v>4</v>
      </c>
      <c r="E10" s="2" t="s">
        <v>7</v>
      </c>
      <c r="F10" s="3">
        <v>6.9599999999999995E-2</v>
      </c>
      <c r="G10" s="3">
        <v>6.9599999999999995E-2</v>
      </c>
      <c r="H10" s="3">
        <v>6.9599999999999995E-2</v>
      </c>
      <c r="I10" s="3">
        <v>6.9599999999999995E-2</v>
      </c>
      <c r="J10" s="3">
        <v>6.9599999999999995E-2</v>
      </c>
      <c r="K10" s="3">
        <v>6.9599999999999995E-2</v>
      </c>
      <c r="L10" s="11">
        <v>0.05</v>
      </c>
      <c r="N10" s="27" t="s">
        <v>13</v>
      </c>
      <c r="O10" s="27"/>
      <c r="P10" s="27"/>
      <c r="Q10" s="27"/>
      <c r="R10" s="27"/>
      <c r="S10" s="27"/>
      <c r="T10" s="27"/>
      <c r="U10" s="27"/>
      <c r="V10" s="27"/>
    </row>
    <row r="11" spans="4:22" x14ac:dyDescent="0.3">
      <c r="D11" s="2">
        <v>5</v>
      </c>
      <c r="E11" s="2" t="s">
        <v>8</v>
      </c>
      <c r="F11" s="3">
        <v>0.6391</v>
      </c>
      <c r="G11" s="3">
        <v>0.6391</v>
      </c>
      <c r="H11" s="3">
        <v>0.6391</v>
      </c>
      <c r="I11" s="3">
        <v>0.6391</v>
      </c>
      <c r="J11" s="3">
        <v>0.6391</v>
      </c>
      <c r="K11" s="3">
        <v>0.6391</v>
      </c>
      <c r="L11" s="13">
        <f>L12/L10</f>
        <v>0.6</v>
      </c>
      <c r="N11" s="28" t="s">
        <v>18</v>
      </c>
      <c r="O11" s="28"/>
      <c r="P11" s="28"/>
      <c r="Q11" s="28"/>
      <c r="R11" s="28"/>
      <c r="S11" s="28"/>
      <c r="T11" s="28"/>
      <c r="U11" s="28"/>
      <c r="V11" s="28"/>
    </row>
    <row r="12" spans="4:22" x14ac:dyDescent="0.3">
      <c r="D12" s="2">
        <v>6</v>
      </c>
      <c r="E12" s="2" t="s">
        <v>9</v>
      </c>
      <c r="F12" s="3">
        <f>F11*F10</f>
        <v>4.4481359999999998E-2</v>
      </c>
      <c r="G12" s="3">
        <f t="shared" ref="G12:K12" si="2">G11*G10</f>
        <v>4.4481359999999998E-2</v>
      </c>
      <c r="H12" s="3">
        <f t="shared" si="2"/>
        <v>4.4481359999999998E-2</v>
      </c>
      <c r="I12" s="3">
        <f t="shared" si="2"/>
        <v>4.4481359999999998E-2</v>
      </c>
      <c r="J12" s="3">
        <f t="shared" si="2"/>
        <v>4.4481359999999998E-2</v>
      </c>
      <c r="K12" s="3">
        <f t="shared" si="2"/>
        <v>4.4481359999999998E-2</v>
      </c>
      <c r="L12" s="11">
        <v>0.03</v>
      </c>
    </row>
    <row r="13" spans="4:22" x14ac:dyDescent="0.3">
      <c r="D13" s="2">
        <v>7</v>
      </c>
      <c r="E13" s="2" t="s">
        <v>10</v>
      </c>
      <c r="F13" s="4"/>
      <c r="G13" s="4">
        <v>9.5000000000000001E-2</v>
      </c>
      <c r="H13" s="4">
        <v>9.5000000000000001E-2</v>
      </c>
      <c r="I13" s="4">
        <v>9.5000000000000001E-2</v>
      </c>
      <c r="J13" s="4">
        <v>9.5000000000000001E-2</v>
      </c>
      <c r="K13" s="4">
        <v>9.5000000000000001E-2</v>
      </c>
      <c r="L13" s="4">
        <v>9.5000000000000001E-2</v>
      </c>
    </row>
    <row r="14" spans="4:22" x14ac:dyDescent="0.3">
      <c r="D14" s="2">
        <v>8</v>
      </c>
      <c r="E14" s="2" t="s">
        <v>15</v>
      </c>
      <c r="G14" s="5">
        <f>1+G13</f>
        <v>1.095</v>
      </c>
      <c r="H14">
        <f>$G$14*G14</f>
        <v>1.199025</v>
      </c>
      <c r="I14">
        <f t="shared" ref="I14:K14" si="3">$G$14*H14</f>
        <v>1.3129323749999999</v>
      </c>
      <c r="J14">
        <f t="shared" si="3"/>
        <v>1.437660950625</v>
      </c>
      <c r="K14">
        <f t="shared" si="3"/>
        <v>1.574238740934375</v>
      </c>
    </row>
    <row r="15" spans="4:22" x14ac:dyDescent="0.3">
      <c r="D15" s="2">
        <v>9</v>
      </c>
      <c r="E15" s="2" t="s">
        <v>14</v>
      </c>
      <c r="G15">
        <f>G9/G14</f>
        <v>44.211977397521764</v>
      </c>
      <c r="H15">
        <f t="shared" ref="H15:K15" si="4">H9/H14</f>
        <v>42.172224913655519</v>
      </c>
      <c r="I15">
        <f t="shared" si="4"/>
        <v>40.226577928804382</v>
      </c>
      <c r="J15">
        <f t="shared" si="4"/>
        <v>38.370694815729301</v>
      </c>
      <c r="K15">
        <f t="shared" si="4"/>
        <v>36.600434251395335</v>
      </c>
    </row>
    <row r="17" spans="5:8" x14ac:dyDescent="0.3">
      <c r="E17" s="2" t="s">
        <v>16</v>
      </c>
      <c r="H17">
        <f>SUM(G15:K15)</f>
        <v>201.58190930710632</v>
      </c>
    </row>
    <row r="19" spans="5:8" x14ac:dyDescent="0.3">
      <c r="E19" s="2" t="s">
        <v>17</v>
      </c>
      <c r="H19">
        <f>L9/(L13-L12)</f>
        <v>1011.9377825449197</v>
      </c>
    </row>
    <row r="20" spans="5:8" x14ac:dyDescent="0.3">
      <c r="E20" s="2" t="s">
        <v>19</v>
      </c>
      <c r="H20">
        <f>H19/(G14)^5</f>
        <v>642.81087501651325</v>
      </c>
    </row>
    <row r="21" spans="5:8" x14ac:dyDescent="0.3">
      <c r="E21" s="2" t="s">
        <v>36</v>
      </c>
      <c r="H21" s="6">
        <f>H20+H17</f>
        <v>844.39278432361959</v>
      </c>
    </row>
  </sheetData>
  <mergeCells count="5">
    <mergeCell ref="N8:V8"/>
    <mergeCell ref="N9:V9"/>
    <mergeCell ref="N10:V10"/>
    <mergeCell ref="N11:V11"/>
    <mergeCell ref="F2:K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2:V38"/>
  <sheetViews>
    <sheetView topLeftCell="C1" workbookViewId="0">
      <selection activeCell="N11" sqref="N11:V11"/>
    </sheetView>
  </sheetViews>
  <sheetFormatPr defaultRowHeight="14.4" x14ac:dyDescent="0.3"/>
  <cols>
    <col min="5" max="5" width="14.5546875" customWidth="1"/>
    <col min="6" max="6" width="11.88671875" customWidth="1"/>
    <col min="7" max="7" width="11.6640625" customWidth="1"/>
  </cols>
  <sheetData>
    <row r="2" spans="4:22" x14ac:dyDescent="0.3">
      <c r="G2" s="26" t="s">
        <v>26</v>
      </c>
      <c r="H2" s="26"/>
      <c r="I2" s="26"/>
      <c r="J2" s="26"/>
      <c r="K2" s="26"/>
      <c r="L2" s="26"/>
      <c r="M2" s="26"/>
    </row>
    <row r="3" spans="4:22" x14ac:dyDescent="0.3">
      <c r="G3" s="26"/>
      <c r="H3" s="26"/>
      <c r="I3" s="26"/>
      <c r="J3" s="26"/>
      <c r="K3" s="26"/>
      <c r="L3" s="26"/>
      <c r="M3" s="26"/>
    </row>
    <row r="5" spans="4:22" x14ac:dyDescent="0.3">
      <c r="E5" s="2" t="s">
        <v>76</v>
      </c>
    </row>
    <row r="6" spans="4:22" x14ac:dyDescent="0.3">
      <c r="D6" s="2" t="s">
        <v>21</v>
      </c>
      <c r="E6" s="2"/>
      <c r="F6" s="2">
        <v>2022</v>
      </c>
      <c r="G6" s="2">
        <v>2023</v>
      </c>
      <c r="H6" s="2">
        <v>2024</v>
      </c>
      <c r="I6" s="2">
        <v>2025</v>
      </c>
      <c r="J6" s="2">
        <v>2026</v>
      </c>
      <c r="K6" s="2">
        <v>2027</v>
      </c>
      <c r="L6" s="2"/>
    </row>
    <row r="7" spans="4:22" x14ac:dyDescent="0.3">
      <c r="D7" s="2">
        <v>1</v>
      </c>
      <c r="E7" s="2" t="s">
        <v>0</v>
      </c>
      <c r="F7" s="1">
        <v>3766.3</v>
      </c>
      <c r="G7">
        <f>F7*(1+G13)</f>
        <v>3933.8301461680003</v>
      </c>
      <c r="H7">
        <f t="shared" ref="H7:K7" si="0">G7*(1+H13)</f>
        <v>4108.8122610785522</v>
      </c>
      <c r="I7">
        <f t="shared" si="0"/>
        <v>4291.5778184360015</v>
      </c>
      <c r="J7">
        <f t="shared" si="0"/>
        <v>4482.4730363458684</v>
      </c>
      <c r="K7">
        <f t="shared" si="0"/>
        <v>4681.8595331658626</v>
      </c>
      <c r="N7" s="27" t="s">
        <v>28</v>
      </c>
      <c r="O7" s="27"/>
      <c r="P7" s="27"/>
      <c r="Q7" s="27"/>
      <c r="R7" s="27"/>
      <c r="S7" s="27"/>
      <c r="T7" s="27"/>
      <c r="U7" s="27"/>
      <c r="V7" s="27"/>
    </row>
    <row r="8" spans="4:22" x14ac:dyDescent="0.3">
      <c r="D8" s="2">
        <v>2</v>
      </c>
      <c r="E8" s="2" t="s">
        <v>2</v>
      </c>
      <c r="F8" s="1">
        <v>82686.3</v>
      </c>
      <c r="G8">
        <f>F8*(1+G13)</f>
        <v>86364.299077368007</v>
      </c>
      <c r="H8">
        <f t="shared" ref="H8:K8" si="1">G8*(1+H13)</f>
        <v>90205.900555776083</v>
      </c>
      <c r="I8">
        <f t="shared" si="1"/>
        <v>94218.381692521754</v>
      </c>
      <c r="J8">
        <f t="shared" si="1"/>
        <v>98409.343447204228</v>
      </c>
      <c r="K8">
        <f t="shared" si="1"/>
        <v>102786.72488044297</v>
      </c>
      <c r="N8" s="27" t="s">
        <v>29</v>
      </c>
      <c r="O8" s="27"/>
      <c r="P8" s="27"/>
      <c r="Q8" s="27"/>
      <c r="R8" s="27"/>
      <c r="S8" s="27"/>
      <c r="T8" s="27"/>
      <c r="U8" s="27"/>
      <c r="V8" s="27"/>
    </row>
    <row r="9" spans="4:22" x14ac:dyDescent="0.3">
      <c r="D9" s="2">
        <v>3</v>
      </c>
      <c r="E9" s="2" t="s">
        <v>23</v>
      </c>
      <c r="F9" s="1">
        <v>2786.5</v>
      </c>
      <c r="G9">
        <f>F9*(1+G13)</f>
        <v>2910.4473096400002</v>
      </c>
      <c r="H9">
        <f t="shared" ref="H9:K9" si="2">G9*(1+H13)</f>
        <v>3039.9079641811286</v>
      </c>
      <c r="I9">
        <f t="shared" si="2"/>
        <v>3175.1272047027364</v>
      </c>
      <c r="J9">
        <f t="shared" si="2"/>
        <v>3316.3611809409126</v>
      </c>
      <c r="K9">
        <f t="shared" si="2"/>
        <v>3463.8774365203708</v>
      </c>
      <c r="N9" s="27" t="s">
        <v>30</v>
      </c>
      <c r="O9" s="27"/>
      <c r="P9" s="27"/>
      <c r="Q9" s="27"/>
      <c r="R9" s="27"/>
      <c r="S9" s="27"/>
      <c r="T9" s="27"/>
      <c r="U9" s="27"/>
      <c r="V9" s="27"/>
    </row>
    <row r="10" spans="4:22" x14ac:dyDescent="0.3">
      <c r="D10" s="2">
        <v>4</v>
      </c>
      <c r="E10" s="2" t="s">
        <v>1</v>
      </c>
      <c r="F10">
        <v>680.4</v>
      </c>
      <c r="G10">
        <f>F10*(1+G13)</f>
        <v>710.66511734400001</v>
      </c>
      <c r="H10">
        <f t="shared" ref="H10:K10" si="3">G10*(1+H13)</f>
        <v>742.27646826802072</v>
      </c>
      <c r="I10">
        <f t="shared" si="3"/>
        <v>775.29393507257919</v>
      </c>
      <c r="J10">
        <f t="shared" si="3"/>
        <v>809.78006370435924</v>
      </c>
      <c r="K10">
        <f t="shared" si="3"/>
        <v>845.80018223881575</v>
      </c>
      <c r="N10" s="27" t="s">
        <v>32</v>
      </c>
      <c r="O10" s="27"/>
      <c r="P10" s="27"/>
      <c r="Q10" s="27"/>
      <c r="R10" s="27"/>
      <c r="S10" s="27"/>
      <c r="T10" s="27"/>
      <c r="U10" s="27"/>
      <c r="V10" s="27"/>
    </row>
    <row r="11" spans="4:22" x14ac:dyDescent="0.3">
      <c r="D11" s="2">
        <v>5</v>
      </c>
      <c r="E11" s="2" t="s">
        <v>7</v>
      </c>
      <c r="F11" s="3">
        <v>6.9599999999999995E-2</v>
      </c>
      <c r="G11" s="3">
        <v>6.9599999999999995E-2</v>
      </c>
      <c r="H11" s="3">
        <v>6.9599999999999995E-2</v>
      </c>
      <c r="I11" s="3">
        <v>6.9599999999999995E-2</v>
      </c>
      <c r="J11" s="3">
        <v>6.9599999999999995E-2</v>
      </c>
      <c r="K11" s="3">
        <v>6.9599999999999995E-2</v>
      </c>
      <c r="L11" s="11"/>
      <c r="N11" s="27" t="s">
        <v>80</v>
      </c>
      <c r="O11" s="27"/>
      <c r="P11" s="27"/>
      <c r="Q11" s="27"/>
      <c r="R11" s="27"/>
      <c r="S11" s="27"/>
      <c r="T11" s="27"/>
      <c r="U11" s="27"/>
      <c r="V11" s="27"/>
    </row>
    <row r="12" spans="4:22" x14ac:dyDescent="0.3">
      <c r="D12" s="2">
        <v>6</v>
      </c>
      <c r="E12" s="2" t="s">
        <v>24</v>
      </c>
      <c r="F12" s="3">
        <v>0.6391</v>
      </c>
      <c r="G12" s="3">
        <v>0.6391</v>
      </c>
      <c r="H12" s="3">
        <v>0.6391</v>
      </c>
      <c r="I12" s="3">
        <v>0.6391</v>
      </c>
      <c r="J12" s="3">
        <v>0.6391</v>
      </c>
      <c r="K12" s="3">
        <v>0.6391</v>
      </c>
      <c r="L12" s="3"/>
    </row>
    <row r="13" spans="4:22" x14ac:dyDescent="0.3">
      <c r="D13" s="2">
        <v>7</v>
      </c>
      <c r="E13" s="2" t="s">
        <v>25</v>
      </c>
      <c r="F13" s="3">
        <f>F11*F12</f>
        <v>4.4481359999999998E-2</v>
      </c>
      <c r="G13" s="3">
        <f t="shared" ref="G13:K13" si="4">G11*G12</f>
        <v>4.4481359999999998E-2</v>
      </c>
      <c r="H13" s="3">
        <f t="shared" si="4"/>
        <v>4.4481359999999998E-2</v>
      </c>
      <c r="I13" s="3">
        <f t="shared" si="4"/>
        <v>4.4481359999999998E-2</v>
      </c>
      <c r="J13" s="3">
        <f t="shared" si="4"/>
        <v>4.4481359999999998E-2</v>
      </c>
      <c r="K13" s="3">
        <f t="shared" si="4"/>
        <v>4.4481359999999998E-2</v>
      </c>
      <c r="L13" s="11"/>
    </row>
    <row r="14" spans="4:22" x14ac:dyDescent="0.3">
      <c r="D14" s="2">
        <v>8</v>
      </c>
      <c r="E14" s="2" t="s">
        <v>3</v>
      </c>
      <c r="F14">
        <v>0.01</v>
      </c>
      <c r="G14">
        <v>0.01</v>
      </c>
      <c r="H14">
        <v>0.01</v>
      </c>
      <c r="I14">
        <v>0.01</v>
      </c>
      <c r="J14">
        <v>0.01</v>
      </c>
      <c r="K14">
        <v>0.01</v>
      </c>
    </row>
    <row r="15" spans="4:22" x14ac:dyDescent="0.3">
      <c r="D15" s="2">
        <v>9</v>
      </c>
      <c r="E15" s="2" t="s">
        <v>27</v>
      </c>
      <c r="F15">
        <f t="shared" ref="F15:K15" si="5">F7-(F8-F9)*(1-F14)-F10*(1-F14)</f>
        <v>-76008.097999999998</v>
      </c>
      <c r="G15">
        <f t="shared" si="5"/>
        <v>-79389.04157005329</v>
      </c>
      <c r="H15">
        <f t="shared" si="5"/>
        <v>-82920.374108185788</v>
      </c>
      <c r="I15">
        <f t="shared" si="5"/>
        <v>-86608.78512022669</v>
      </c>
      <c r="J15">
        <f t="shared" si="5"/>
        <v>-90461.261670322128</v>
      </c>
      <c r="K15">
        <f t="shared" si="5"/>
        <v>-94485.10161673394</v>
      </c>
    </row>
    <row r="16" spans="4:22" x14ac:dyDescent="0.3">
      <c r="D16" s="2">
        <v>10</v>
      </c>
      <c r="E16" s="2" t="s">
        <v>10</v>
      </c>
      <c r="G16" s="4">
        <v>0.1328</v>
      </c>
      <c r="H16" s="4">
        <v>0.1328</v>
      </c>
      <c r="I16" s="4">
        <v>0.1328</v>
      </c>
      <c r="J16" s="4">
        <v>0.1328</v>
      </c>
      <c r="K16" s="4">
        <v>0.1328</v>
      </c>
      <c r="L16" s="4"/>
    </row>
    <row r="17" spans="4:12" x14ac:dyDescent="0.3">
      <c r="D17" s="2">
        <v>11</v>
      </c>
      <c r="E17" s="2" t="s">
        <v>31</v>
      </c>
      <c r="G17">
        <f>ABS(F15/1+G16)^1</f>
        <v>76007.965199999991</v>
      </c>
      <c r="H17">
        <f>ABS(G15/(1+H16)^2)</f>
        <v>61866.290743604295</v>
      </c>
      <c r="I17">
        <f>ABS(H15/(1+I16)^3)</f>
        <v>57042.89150250284</v>
      </c>
      <c r="J17">
        <f>ABS(I15/(1+J16)^4)</f>
        <v>52595.548106344111</v>
      </c>
      <c r="K17">
        <f>ABS(J15/(1+K16)^5)</f>
        <v>48494.941398357805</v>
      </c>
    </row>
    <row r="20" spans="4:12" x14ac:dyDescent="0.3">
      <c r="E20" s="2" t="s">
        <v>65</v>
      </c>
    </row>
    <row r="21" spans="4:12" x14ac:dyDescent="0.3">
      <c r="D21" s="2" t="s">
        <v>21</v>
      </c>
      <c r="E21" s="2"/>
      <c r="F21" s="2">
        <v>2028</v>
      </c>
      <c r="G21" s="2">
        <v>2029</v>
      </c>
      <c r="H21" s="2">
        <v>2030</v>
      </c>
      <c r="I21" s="2">
        <v>2031</v>
      </c>
      <c r="J21" s="2"/>
      <c r="K21" s="2"/>
      <c r="L21" s="2"/>
    </row>
    <row r="22" spans="4:12" x14ac:dyDescent="0.3">
      <c r="D22" s="2">
        <v>1</v>
      </c>
      <c r="E22" s="2" t="s">
        <v>0</v>
      </c>
      <c r="F22">
        <f>K7*(1+$F$28)</f>
        <v>4822.315319160839</v>
      </c>
      <c r="G22">
        <f>F22*(1+G28)</f>
        <v>4989.4416377014441</v>
      </c>
      <c r="H22">
        <f t="shared" ref="H22" si="6">G22*(1+H28)</f>
        <v>5139.1261017616653</v>
      </c>
      <c r="I22">
        <f t="shared" ref="I22" si="7">H22*(1+I28)</f>
        <v>5293.2998848145153</v>
      </c>
    </row>
    <row r="23" spans="4:12" x14ac:dyDescent="0.3">
      <c r="D23" s="2">
        <v>2</v>
      </c>
      <c r="E23" s="2" t="s">
        <v>2</v>
      </c>
      <c r="F23">
        <f>K8*(1+$F$28)</f>
        <v>105870.32662685626</v>
      </c>
      <c r="G23">
        <f>F23*(1+G28)</f>
        <v>109539.45997065362</v>
      </c>
      <c r="H23">
        <f t="shared" ref="H23" si="8">G23*(1+H28)</f>
        <v>112825.6704426348</v>
      </c>
      <c r="I23">
        <f t="shared" ref="I23" si="9">H23*(1+I28)</f>
        <v>116210.44055591385</v>
      </c>
    </row>
    <row r="24" spans="4:12" x14ac:dyDescent="0.3">
      <c r="D24" s="2">
        <v>3</v>
      </c>
      <c r="E24" s="2" t="s">
        <v>23</v>
      </c>
      <c r="F24">
        <f>K9*(1+$F$28)</f>
        <v>3567.7937596159818</v>
      </c>
      <c r="G24">
        <f>F24*(1+G28)</f>
        <v>3691.4422970700866</v>
      </c>
      <c r="H24">
        <f t="shared" ref="H24" si="10">G24*(1+H28)</f>
        <v>3802.1864648484916</v>
      </c>
      <c r="I24">
        <f t="shared" ref="I24" si="11">H24*(1+I28)</f>
        <v>3916.2520587939466</v>
      </c>
    </row>
    <row r="25" spans="4:12" x14ac:dyDescent="0.3">
      <c r="D25" s="2">
        <v>4</v>
      </c>
      <c r="E25" s="2" t="s">
        <v>1</v>
      </c>
      <c r="F25">
        <f>K10*(1+$F$28)</f>
        <v>871.17418770598022</v>
      </c>
      <c r="G25">
        <f>F25*(1+G28)</f>
        <v>901.36635166929375</v>
      </c>
      <c r="H25">
        <f t="shared" ref="H25" si="12">G25*(1+H28)</f>
        <v>928.40756170210443</v>
      </c>
      <c r="I25">
        <f t="shared" ref="I25" si="13">H25*(1+I28)</f>
        <v>956.2597885531676</v>
      </c>
    </row>
    <row r="26" spans="4:12" x14ac:dyDescent="0.3">
      <c r="D26" s="2">
        <v>5</v>
      </c>
      <c r="E26" s="2" t="s">
        <v>7</v>
      </c>
      <c r="F26" s="3">
        <f>(6.96-0.65333)%</f>
        <v>6.3066700000000003E-2</v>
      </c>
      <c r="G26" s="16">
        <f>F26-0.65333%</f>
        <v>5.6533400000000004E-2</v>
      </c>
      <c r="H26" s="17">
        <f>G26-0.6533%</f>
        <v>5.0000400000000007E-2</v>
      </c>
      <c r="I26" s="11">
        <v>0.05</v>
      </c>
      <c r="J26" s="3"/>
      <c r="K26" s="3"/>
      <c r="L26" s="11"/>
    </row>
    <row r="27" spans="4:12" x14ac:dyDescent="0.3">
      <c r="D27" s="2">
        <v>6</v>
      </c>
      <c r="E27" s="2" t="s">
        <v>24</v>
      </c>
      <c r="F27" s="3">
        <f>63.91%-1.30333%</f>
        <v>0.62606669999999998</v>
      </c>
      <c r="G27" s="17">
        <f>F27-1.30333%</f>
        <v>0.61303339999999995</v>
      </c>
      <c r="H27" s="17">
        <f>G27-1.303333%</f>
        <v>0.60000007</v>
      </c>
      <c r="I27" s="3">
        <v>0.6</v>
      </c>
      <c r="J27" s="3"/>
      <c r="K27" s="3"/>
      <c r="L27" s="3"/>
    </row>
    <row r="28" spans="4:12" x14ac:dyDescent="0.3">
      <c r="D28" s="2">
        <v>7</v>
      </c>
      <c r="E28" s="2" t="s">
        <v>25</v>
      </c>
      <c r="F28" s="3">
        <v>0.03</v>
      </c>
      <c r="G28" s="3">
        <f t="shared" ref="G28:H28" si="14">G26*G27</f>
        <v>3.465686241556E-2</v>
      </c>
      <c r="H28" s="3">
        <f t="shared" si="14"/>
        <v>3.0000243500028004E-2</v>
      </c>
      <c r="I28" s="3">
        <v>0.03</v>
      </c>
      <c r="J28" s="3"/>
      <c r="K28" s="3"/>
      <c r="L28" s="11"/>
    </row>
    <row r="29" spans="4:12" x14ac:dyDescent="0.3">
      <c r="D29" s="2">
        <v>8</v>
      </c>
      <c r="E29" s="2" t="s">
        <v>3</v>
      </c>
      <c r="F29">
        <v>0.01</v>
      </c>
      <c r="G29">
        <v>0.01</v>
      </c>
      <c r="H29">
        <v>0.01</v>
      </c>
      <c r="I29">
        <v>0.01</v>
      </c>
    </row>
    <row r="30" spans="4:12" x14ac:dyDescent="0.3">
      <c r="D30" s="2">
        <v>9</v>
      </c>
      <c r="E30" s="2" t="s">
        <v>27</v>
      </c>
      <c r="F30">
        <f t="shared" ref="F30:I30" si="15">F22-(F23-F24)*(1-F29)-F25*(1-F29)</f>
        <v>-97319.654665235954</v>
      </c>
      <c r="G30">
        <f t="shared" si="15"/>
        <v>-100692.44854729887</v>
      </c>
      <c r="H30">
        <f t="shared" si="15"/>
        <v>-103713.24652233186</v>
      </c>
      <c r="I30">
        <f t="shared" si="15"/>
        <v>-106824.64391800182</v>
      </c>
    </row>
    <row r="31" spans="4:12" x14ac:dyDescent="0.3">
      <c r="D31" s="2">
        <v>10</v>
      </c>
      <c r="E31" s="2" t="s">
        <v>10</v>
      </c>
      <c r="F31">
        <v>0.1328</v>
      </c>
      <c r="G31" s="4">
        <v>0.1328</v>
      </c>
      <c r="H31" s="4">
        <v>0.1328</v>
      </c>
      <c r="I31" s="4">
        <v>0.1328</v>
      </c>
      <c r="J31" s="4"/>
      <c r="K31" s="4"/>
      <c r="L31" s="4"/>
    </row>
    <row r="32" spans="4:12" x14ac:dyDescent="0.3">
      <c r="D32" s="2">
        <v>11</v>
      </c>
      <c r="E32" s="2" t="s">
        <v>31</v>
      </c>
      <c r="F32">
        <f>ABS(K15/1+F31)^1</f>
        <v>94484.968816733934</v>
      </c>
      <c r="G32">
        <f>ABS(F30/1+G31)^1</f>
        <v>97319.521865235947</v>
      </c>
      <c r="H32">
        <f>ABS(G30/(1+H31)^2)</f>
        <v>78467.609311238426</v>
      </c>
      <c r="I32">
        <f>ABS(H30/(1+I31)^3)</f>
        <v>71346.801463136144</v>
      </c>
    </row>
    <row r="34" spans="5:11" x14ac:dyDescent="0.3">
      <c r="E34" s="2" t="s">
        <v>77</v>
      </c>
      <c r="G34">
        <f>SUM(G17:K17)</f>
        <v>296007.63695080904</v>
      </c>
    </row>
    <row r="35" spans="5:11" x14ac:dyDescent="0.3">
      <c r="E35" s="2" t="s">
        <v>78</v>
      </c>
      <c r="G35">
        <f>G32+H32+F32</f>
        <v>270272.09999320831</v>
      </c>
    </row>
    <row r="36" spans="5:11" x14ac:dyDescent="0.3">
      <c r="E36" s="2" t="s">
        <v>17</v>
      </c>
      <c r="G36">
        <f>I30</f>
        <v>-106824.64391800182</v>
      </c>
      <c r="I36" s="25" t="s">
        <v>35</v>
      </c>
      <c r="J36" s="25"/>
      <c r="K36" s="25"/>
    </row>
    <row r="37" spans="5:11" x14ac:dyDescent="0.3">
      <c r="E37" s="2" t="s">
        <v>19</v>
      </c>
      <c r="G37" s="12">
        <f>G36/((1+G16)^8)</f>
        <v>-39395.401509878335</v>
      </c>
    </row>
    <row r="38" spans="5:11" x14ac:dyDescent="0.3">
      <c r="E38" s="2" t="s">
        <v>34</v>
      </c>
      <c r="G38" s="22">
        <f>G37+G35+G34</f>
        <v>526884.33543413901</v>
      </c>
    </row>
  </sheetData>
  <mergeCells count="7">
    <mergeCell ref="I36:K36"/>
    <mergeCell ref="N11:V11"/>
    <mergeCell ref="G2:M3"/>
    <mergeCell ref="N7:V7"/>
    <mergeCell ref="N8:V8"/>
    <mergeCell ref="N9:V9"/>
    <mergeCell ref="N10:V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2:U37"/>
  <sheetViews>
    <sheetView workbookViewId="0">
      <selection activeCell="F22" sqref="F22"/>
    </sheetView>
  </sheetViews>
  <sheetFormatPr defaultRowHeight="14.4" x14ac:dyDescent="0.3"/>
  <cols>
    <col min="5" max="5" width="25.5546875" customWidth="1"/>
    <col min="7" max="7" width="15.44140625" customWidth="1"/>
  </cols>
  <sheetData>
    <row r="2" spans="4:21" x14ac:dyDescent="0.3">
      <c r="F2" s="26" t="s">
        <v>60</v>
      </c>
      <c r="G2" s="26"/>
      <c r="H2" s="26"/>
      <c r="I2" s="26"/>
      <c r="J2" s="26"/>
      <c r="K2" s="26"/>
    </row>
    <row r="3" spans="4:21" x14ac:dyDescent="0.3">
      <c r="F3" s="26"/>
      <c r="G3" s="26"/>
      <c r="H3" s="26"/>
      <c r="I3" s="26"/>
      <c r="J3" s="26"/>
      <c r="K3" s="26"/>
    </row>
    <row r="4" spans="4:21" x14ac:dyDescent="0.3">
      <c r="F4" s="2"/>
    </row>
    <row r="5" spans="4:21" x14ac:dyDescent="0.3">
      <c r="E5" s="2" t="s">
        <v>61</v>
      </c>
    </row>
    <row r="6" spans="4:21" x14ac:dyDescent="0.3">
      <c r="D6" s="2" t="s">
        <v>22</v>
      </c>
      <c r="F6" s="2">
        <v>2022</v>
      </c>
      <c r="G6" s="2">
        <v>2023</v>
      </c>
      <c r="H6" s="2">
        <v>2024</v>
      </c>
      <c r="I6" s="2">
        <v>2025</v>
      </c>
      <c r="J6" s="2">
        <v>2026</v>
      </c>
      <c r="K6" s="2">
        <v>2027</v>
      </c>
    </row>
    <row r="7" spans="4:21" x14ac:dyDescent="0.3">
      <c r="D7" s="2">
        <v>1</v>
      </c>
      <c r="E7" s="2" t="s">
        <v>4</v>
      </c>
      <c r="F7">
        <v>128.43</v>
      </c>
      <c r="G7">
        <f>F7*(1+G12)</f>
        <v>134.14274106480002</v>
      </c>
      <c r="H7">
        <f t="shared" ref="H7:K7" si="0">G7*(1+H12)</f>
        <v>140.10959262149018</v>
      </c>
      <c r="I7">
        <f t="shared" si="0"/>
        <v>146.34185785034003</v>
      </c>
      <c r="J7">
        <f t="shared" si="0"/>
        <v>152.85134271244985</v>
      </c>
      <c r="K7">
        <f t="shared" si="0"/>
        <v>159.6503783141257</v>
      </c>
      <c r="N7" s="27" t="s">
        <v>62</v>
      </c>
      <c r="O7" s="27"/>
      <c r="P7" s="27"/>
      <c r="Q7" s="27"/>
      <c r="R7" s="27"/>
      <c r="S7" s="27"/>
      <c r="T7" s="27"/>
      <c r="U7" s="6"/>
    </row>
    <row r="8" spans="4:21" x14ac:dyDescent="0.3">
      <c r="D8" s="2">
        <v>2</v>
      </c>
      <c r="E8" s="2" t="s">
        <v>5</v>
      </c>
      <c r="F8" s="8">
        <v>0.3609</v>
      </c>
      <c r="G8" s="8">
        <v>0.3609</v>
      </c>
      <c r="H8" s="8">
        <v>0.3609</v>
      </c>
      <c r="I8" s="8">
        <v>0.3609</v>
      </c>
      <c r="J8" s="8">
        <v>0.3609</v>
      </c>
      <c r="K8" s="8">
        <v>0.3609</v>
      </c>
      <c r="N8" s="27" t="s">
        <v>63</v>
      </c>
      <c r="O8" s="27"/>
      <c r="P8" s="27"/>
      <c r="Q8" s="27"/>
      <c r="R8" s="27"/>
      <c r="S8" s="27"/>
      <c r="T8" s="27"/>
      <c r="U8" s="27"/>
    </row>
    <row r="9" spans="4:21" x14ac:dyDescent="0.3">
      <c r="D9" s="2">
        <v>3</v>
      </c>
      <c r="E9" s="2" t="s">
        <v>6</v>
      </c>
      <c r="F9">
        <f>F7*F8</f>
        <v>46.350387000000005</v>
      </c>
      <c r="G9">
        <f t="shared" ref="G9:K9" si="1">G7*G8</f>
        <v>48.412115250286327</v>
      </c>
      <c r="H9">
        <f t="shared" si="1"/>
        <v>50.565551977095808</v>
      </c>
      <c r="I9">
        <f t="shared" si="1"/>
        <v>52.814776498187719</v>
      </c>
      <c r="J9">
        <f t="shared" si="1"/>
        <v>55.164049584923148</v>
      </c>
      <c r="K9">
        <f t="shared" si="1"/>
        <v>57.61782153356797</v>
      </c>
      <c r="N9" s="27" t="s">
        <v>64</v>
      </c>
      <c r="O9" s="27"/>
      <c r="P9" s="27"/>
      <c r="Q9" s="27"/>
      <c r="R9" s="27"/>
      <c r="S9" s="27"/>
      <c r="T9" s="27"/>
      <c r="U9" s="27"/>
    </row>
    <row r="10" spans="4:21" x14ac:dyDescent="0.3">
      <c r="D10" s="2">
        <v>4</v>
      </c>
      <c r="E10" s="2" t="s">
        <v>7</v>
      </c>
      <c r="F10" s="3">
        <v>6.9599999999999995E-2</v>
      </c>
      <c r="G10" s="3">
        <v>6.9599999999999995E-2</v>
      </c>
      <c r="H10" s="3">
        <v>6.9599999999999995E-2</v>
      </c>
      <c r="I10" s="3">
        <v>6.9599999999999995E-2</v>
      </c>
      <c r="J10" s="3">
        <v>6.9599999999999995E-2</v>
      </c>
      <c r="K10" s="3">
        <v>6.9599999999999995E-2</v>
      </c>
    </row>
    <row r="11" spans="4:21" x14ac:dyDescent="0.3">
      <c r="D11" s="2">
        <v>5</v>
      </c>
      <c r="E11" s="2" t="s">
        <v>8</v>
      </c>
      <c r="F11" s="3">
        <v>0.6391</v>
      </c>
      <c r="G11" s="3">
        <v>0.6391</v>
      </c>
      <c r="H11" s="3">
        <v>0.6391</v>
      </c>
      <c r="I11" s="3">
        <v>0.6391</v>
      </c>
      <c r="J11" s="3">
        <v>0.6391</v>
      </c>
      <c r="K11" s="3">
        <v>0.6391</v>
      </c>
    </row>
    <row r="12" spans="4:21" x14ac:dyDescent="0.3">
      <c r="D12" s="2">
        <v>6</v>
      </c>
      <c r="E12" s="2" t="s">
        <v>9</v>
      </c>
      <c r="F12" s="3">
        <f>F11*F10</f>
        <v>4.4481359999999998E-2</v>
      </c>
      <c r="G12" s="3">
        <f t="shared" ref="G12:K12" si="2">G11*G10</f>
        <v>4.4481359999999998E-2</v>
      </c>
      <c r="H12" s="3">
        <f t="shared" si="2"/>
        <v>4.4481359999999998E-2</v>
      </c>
      <c r="I12" s="3">
        <f t="shared" si="2"/>
        <v>4.4481359999999998E-2</v>
      </c>
      <c r="J12" s="3">
        <f t="shared" si="2"/>
        <v>4.4481359999999998E-2</v>
      </c>
      <c r="K12" s="3">
        <f t="shared" si="2"/>
        <v>4.4481359999999998E-2</v>
      </c>
    </row>
    <row r="13" spans="4:21" x14ac:dyDescent="0.3">
      <c r="D13" s="2">
        <v>7</v>
      </c>
      <c r="E13" s="2" t="s">
        <v>10</v>
      </c>
      <c r="F13" s="4"/>
      <c r="G13" s="4">
        <v>9.5000000000000001E-2</v>
      </c>
      <c r="H13" s="4">
        <v>9.5000000000000001E-2</v>
      </c>
      <c r="I13" s="4">
        <v>9.5000000000000001E-2</v>
      </c>
      <c r="J13" s="4">
        <v>9.5000000000000001E-2</v>
      </c>
      <c r="K13" s="4">
        <v>9.5000000000000001E-2</v>
      </c>
    </row>
    <row r="14" spans="4:21" x14ac:dyDescent="0.3">
      <c r="D14" s="2">
        <v>8</v>
      </c>
      <c r="E14" s="2" t="s">
        <v>15</v>
      </c>
      <c r="G14" s="5">
        <f>1+G13</f>
        <v>1.095</v>
      </c>
      <c r="H14">
        <f>$G$14*G14</f>
        <v>1.199025</v>
      </c>
      <c r="I14">
        <f t="shared" ref="I14:K14" si="3">$G$14*H14</f>
        <v>1.3129323749999999</v>
      </c>
      <c r="J14">
        <f t="shared" si="3"/>
        <v>1.437660950625</v>
      </c>
      <c r="K14">
        <f t="shared" si="3"/>
        <v>1.574238740934375</v>
      </c>
    </row>
    <row r="15" spans="4:21" x14ac:dyDescent="0.3">
      <c r="D15" s="2">
        <v>9</v>
      </c>
      <c r="E15" s="2" t="s">
        <v>14</v>
      </c>
      <c r="G15">
        <f>G9/G14</f>
        <v>44.211977397521764</v>
      </c>
      <c r="H15">
        <f t="shared" ref="H15:K15" si="4">H9/H14</f>
        <v>42.172224913655519</v>
      </c>
      <c r="I15">
        <f t="shared" si="4"/>
        <v>40.226577928804382</v>
      </c>
      <c r="J15">
        <f t="shared" si="4"/>
        <v>38.370694815729301</v>
      </c>
      <c r="K15">
        <f t="shared" si="4"/>
        <v>36.600434251395335</v>
      </c>
    </row>
    <row r="17" spans="4:9" x14ac:dyDescent="0.3">
      <c r="E17" s="2" t="s">
        <v>16</v>
      </c>
      <c r="H17">
        <f>SUM(G15:K15)</f>
        <v>201.58190930710632</v>
      </c>
    </row>
    <row r="19" spans="4:9" x14ac:dyDescent="0.3">
      <c r="E19" s="2" t="s">
        <v>65</v>
      </c>
    </row>
    <row r="21" spans="4:9" x14ac:dyDescent="0.3">
      <c r="D21" s="2" t="s">
        <v>22</v>
      </c>
      <c r="F21" s="2">
        <v>2028</v>
      </c>
      <c r="G21" s="2">
        <v>2029</v>
      </c>
      <c r="H21" s="2">
        <v>2030</v>
      </c>
      <c r="I21" s="2">
        <v>2031</v>
      </c>
    </row>
    <row r="22" spans="4:9" x14ac:dyDescent="0.3">
      <c r="D22" s="2">
        <v>1</v>
      </c>
      <c r="E22" s="2" t="s">
        <v>4</v>
      </c>
      <c r="F22">
        <f>K7*(1+F27)</f>
        <v>165.98318197559863</v>
      </c>
      <c r="G22">
        <f>F22*(1+G27)</f>
        <v>171.76494054662743</v>
      </c>
      <c r="H22">
        <f t="shared" ref="H22:I22" si="5">G22*(1+H27)</f>
        <v>176.91790078657209</v>
      </c>
      <c r="I22">
        <f t="shared" si="5"/>
        <v>182.22543781016927</v>
      </c>
    </row>
    <row r="23" spans="4:9" x14ac:dyDescent="0.3">
      <c r="D23" s="2">
        <v>2</v>
      </c>
      <c r="E23" s="2" t="s">
        <v>5</v>
      </c>
      <c r="F23" s="3">
        <f>1-F26</f>
        <v>0.37393330000000002</v>
      </c>
      <c r="G23" s="3">
        <f t="shared" ref="G23:H23" si="6">1-G26</f>
        <v>0.38696660000000005</v>
      </c>
      <c r="H23" s="3">
        <f t="shared" si="6"/>
        <v>0.39999993</v>
      </c>
      <c r="I23" s="11">
        <v>0.4</v>
      </c>
    </row>
    <row r="24" spans="4:9" x14ac:dyDescent="0.3">
      <c r="D24" s="2">
        <v>3</v>
      </c>
      <c r="E24" s="2" t="s">
        <v>6</v>
      </c>
      <c r="F24">
        <f>F22*F23</f>
        <v>62.066638980636121</v>
      </c>
      <c r="G24">
        <f t="shared" ref="G24:I24" si="7">G22*G23</f>
        <v>66.467295042530566</v>
      </c>
      <c r="H24">
        <f t="shared" si="7"/>
        <v>70.767147930375785</v>
      </c>
      <c r="I24">
        <f t="shared" si="7"/>
        <v>72.89017512406771</v>
      </c>
    </row>
    <row r="25" spans="4:9" x14ac:dyDescent="0.3">
      <c r="D25" s="2">
        <v>4</v>
      </c>
      <c r="E25" s="2" t="s">
        <v>7</v>
      </c>
      <c r="F25" s="3">
        <f>(6.96-0.65333)%</f>
        <v>6.3066700000000003E-2</v>
      </c>
      <c r="G25" s="16">
        <f>F25-0.65333%</f>
        <v>5.6533400000000004E-2</v>
      </c>
      <c r="H25" s="17">
        <f>G25-0.6533%</f>
        <v>5.0000400000000007E-2</v>
      </c>
      <c r="I25" s="11">
        <v>0.05</v>
      </c>
    </row>
    <row r="26" spans="4:9" x14ac:dyDescent="0.3">
      <c r="D26" s="2">
        <v>5</v>
      </c>
      <c r="E26" s="2" t="s">
        <v>8</v>
      </c>
      <c r="F26" s="3">
        <f>63.91%-1.30333%</f>
        <v>0.62606669999999998</v>
      </c>
      <c r="G26" s="16">
        <f>F26-1.30333%</f>
        <v>0.61303339999999995</v>
      </c>
      <c r="H26" s="17">
        <f>G26-1.303333%</f>
        <v>0.60000007</v>
      </c>
      <c r="I26" s="3">
        <v>0.6</v>
      </c>
    </row>
    <row r="27" spans="4:9" x14ac:dyDescent="0.3">
      <c r="D27" s="2">
        <v>6</v>
      </c>
      <c r="E27" s="2" t="s">
        <v>9</v>
      </c>
      <c r="F27" s="3">
        <f>(4.45-0.48333)%</f>
        <v>3.9666699999999999E-2</v>
      </c>
      <c r="G27" s="17">
        <f>F27-0.48333%</f>
        <v>3.48334E-2</v>
      </c>
      <c r="H27" s="18">
        <f>G27-0.483333%</f>
        <v>3.000007E-2</v>
      </c>
      <c r="I27" s="3">
        <v>0.03</v>
      </c>
    </row>
    <row r="28" spans="4:9" x14ac:dyDescent="0.3">
      <c r="D28" s="2">
        <v>7</v>
      </c>
      <c r="E28" s="2" t="s">
        <v>10</v>
      </c>
      <c r="F28" s="3">
        <v>9.5000000000000001E-2</v>
      </c>
      <c r="G28" s="3">
        <v>9.5000000000000001E-2</v>
      </c>
      <c r="H28" s="3">
        <v>9.5000000000000001E-2</v>
      </c>
      <c r="I28" s="3">
        <v>9.5000000000000001E-2</v>
      </c>
    </row>
    <row r="29" spans="4:9" x14ac:dyDescent="0.3">
      <c r="D29" s="2">
        <v>8</v>
      </c>
      <c r="E29" s="2" t="s">
        <v>15</v>
      </c>
      <c r="F29">
        <f>K14*1.1328</f>
        <v>1.7832976457304601</v>
      </c>
      <c r="G29">
        <f>F29*1.1328</f>
        <v>2.0201195730834653</v>
      </c>
      <c r="H29">
        <f>G29*1.1328</f>
        <v>2.2883914523889497</v>
      </c>
    </row>
    <row r="30" spans="4:9" x14ac:dyDescent="0.3">
      <c r="D30" s="2">
        <v>9</v>
      </c>
      <c r="E30" s="2" t="s">
        <v>14</v>
      </c>
      <c r="F30">
        <f>F24/F29</f>
        <v>34.804419289867276</v>
      </c>
      <c r="G30">
        <f t="shared" ref="G30:H30" si="8">G24/G29</f>
        <v>32.902653846908862</v>
      </c>
      <c r="H30">
        <f t="shared" si="8"/>
        <v>30.924406685971025</v>
      </c>
    </row>
    <row r="32" spans="4:9" x14ac:dyDescent="0.3">
      <c r="E32" s="2" t="s">
        <v>16</v>
      </c>
      <c r="G32">
        <f>SUM(F30:H30)</f>
        <v>98.631479822747153</v>
      </c>
    </row>
    <row r="34" spans="5:7" x14ac:dyDescent="0.3">
      <c r="E34" s="2" t="s">
        <v>66</v>
      </c>
      <c r="G34">
        <f>I24/(I28-I27)</f>
        <v>1121.3873096010416</v>
      </c>
    </row>
    <row r="35" spans="5:7" x14ac:dyDescent="0.3">
      <c r="E35" s="2" t="s">
        <v>19</v>
      </c>
      <c r="G35">
        <f>G34/H29</f>
        <v>490.03299170269901</v>
      </c>
    </row>
    <row r="36" spans="5:7" x14ac:dyDescent="0.3">
      <c r="E36" s="2"/>
    </row>
    <row r="37" spans="5:7" x14ac:dyDescent="0.3">
      <c r="E37" s="2" t="s">
        <v>67</v>
      </c>
      <c r="G37" s="6">
        <f>H17+G32+G35</f>
        <v>790.2463808325524</v>
      </c>
    </row>
  </sheetData>
  <mergeCells count="4">
    <mergeCell ref="F2:K3"/>
    <mergeCell ref="N7:T7"/>
    <mergeCell ref="N8:U8"/>
    <mergeCell ref="N9:U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2:V23"/>
  <sheetViews>
    <sheetView workbookViewId="0">
      <selection activeCell="S16" sqref="S16"/>
    </sheetView>
  </sheetViews>
  <sheetFormatPr defaultRowHeight="14.4" x14ac:dyDescent="0.3"/>
  <cols>
    <col min="5" max="5" width="19" customWidth="1"/>
    <col min="6" max="6" width="11.109375" bestFit="1" customWidth="1"/>
    <col min="7" max="7" width="11.109375" customWidth="1"/>
    <col min="11" max="11" width="11.44140625" customWidth="1"/>
    <col min="12" max="12" width="11" customWidth="1"/>
  </cols>
  <sheetData>
    <row r="2" spans="4:22" x14ac:dyDescent="0.3">
      <c r="G2" s="26" t="s">
        <v>47</v>
      </c>
      <c r="H2" s="26"/>
      <c r="I2" s="26"/>
      <c r="J2" s="26"/>
      <c r="K2" s="26"/>
      <c r="L2" s="26"/>
      <c r="M2" s="26"/>
    </row>
    <row r="3" spans="4:22" x14ac:dyDescent="0.3">
      <c r="G3" s="26"/>
      <c r="H3" s="26"/>
      <c r="I3" s="26"/>
      <c r="J3" s="26"/>
      <c r="K3" s="26"/>
      <c r="L3" s="26"/>
      <c r="M3" s="26"/>
    </row>
    <row r="6" spans="4:22" x14ac:dyDescent="0.3">
      <c r="D6" s="2" t="s">
        <v>21</v>
      </c>
      <c r="E6" s="2"/>
      <c r="F6" s="2">
        <v>2022</v>
      </c>
      <c r="G6" s="2">
        <v>2023</v>
      </c>
      <c r="H6" s="2">
        <v>2024</v>
      </c>
      <c r="I6" s="2">
        <v>2025</v>
      </c>
      <c r="J6" s="2">
        <v>2026</v>
      </c>
      <c r="K6" s="2">
        <v>2027</v>
      </c>
      <c r="L6" s="2">
        <v>2028</v>
      </c>
    </row>
    <row r="7" spans="4:22" x14ac:dyDescent="0.3">
      <c r="D7" s="2">
        <v>1</v>
      </c>
      <c r="E7" s="2" t="s">
        <v>2</v>
      </c>
      <c r="F7" s="1">
        <v>82686.3</v>
      </c>
      <c r="G7" s="1">
        <f>F7*(1+G15)</f>
        <v>86365.840349999999</v>
      </c>
      <c r="H7" s="1">
        <f t="shared" ref="H7:L7" si="0">G7*(1+H15)</f>
        <v>90209.120245575003</v>
      </c>
      <c r="I7" s="1">
        <f t="shared" si="0"/>
        <v>94223.426096503084</v>
      </c>
      <c r="J7" s="1">
        <f t="shared" si="0"/>
        <v>98416.368557797468</v>
      </c>
      <c r="K7" s="1">
        <f t="shared" si="0"/>
        <v>102795.89695861946</v>
      </c>
      <c r="L7" s="1">
        <f t="shared" si="0"/>
        <v>105879.77386737804</v>
      </c>
      <c r="N7" s="27" t="s">
        <v>57</v>
      </c>
      <c r="O7" s="27"/>
      <c r="P7" s="27"/>
      <c r="Q7" s="27"/>
      <c r="R7" s="27"/>
      <c r="S7" s="27"/>
      <c r="T7" s="27"/>
      <c r="U7" s="27"/>
      <c r="V7" s="27"/>
    </row>
    <row r="8" spans="4:22" x14ac:dyDescent="0.3">
      <c r="D8" s="2">
        <v>2</v>
      </c>
      <c r="E8" s="2" t="s">
        <v>23</v>
      </c>
      <c r="F8" s="1">
        <v>2786.5</v>
      </c>
      <c r="G8">
        <f>F8*(1+G15)</f>
        <v>2910.4992499999998</v>
      </c>
      <c r="H8">
        <f t="shared" ref="H8:L8" si="1">G8*(1+H15)</f>
        <v>3040.0164666249998</v>
      </c>
      <c r="I8">
        <f t="shared" si="1"/>
        <v>3175.2971993898122</v>
      </c>
      <c r="J8">
        <f t="shared" si="1"/>
        <v>3316.5979247626587</v>
      </c>
      <c r="K8">
        <f t="shared" si="1"/>
        <v>3464.186532414597</v>
      </c>
      <c r="L8">
        <f t="shared" si="1"/>
        <v>3568.1121283870348</v>
      </c>
      <c r="N8" s="27" t="s">
        <v>56</v>
      </c>
      <c r="O8" s="27"/>
      <c r="P8" s="27"/>
      <c r="Q8" s="27"/>
      <c r="R8" s="27"/>
      <c r="S8" s="27"/>
      <c r="T8" s="27"/>
      <c r="U8" s="27"/>
      <c r="V8" s="27"/>
    </row>
    <row r="9" spans="4:22" x14ac:dyDescent="0.3">
      <c r="D9" s="2">
        <v>3</v>
      </c>
      <c r="E9" s="2" t="s">
        <v>55</v>
      </c>
      <c r="F9" s="1">
        <f t="shared" ref="F9:L9" si="2">F7-F8</f>
        <v>79899.8</v>
      </c>
      <c r="G9" s="1">
        <f t="shared" si="2"/>
        <v>83455.341100000005</v>
      </c>
      <c r="H9" s="1">
        <f t="shared" si="2"/>
        <v>87169.103778949997</v>
      </c>
      <c r="I9" s="1">
        <f t="shared" si="2"/>
        <v>91048.128897113274</v>
      </c>
      <c r="J9" s="1">
        <f t="shared" si="2"/>
        <v>95099.770633034816</v>
      </c>
      <c r="K9" s="1">
        <f t="shared" si="2"/>
        <v>99331.710426204867</v>
      </c>
      <c r="L9" s="1">
        <f t="shared" si="2"/>
        <v>102311.66173899101</v>
      </c>
    </row>
    <row r="10" spans="4:22" x14ac:dyDescent="0.3">
      <c r="D10" s="2">
        <v>4</v>
      </c>
      <c r="E10" s="2" t="s">
        <v>1</v>
      </c>
      <c r="F10">
        <v>680.4</v>
      </c>
      <c r="G10" s="1">
        <f>F10*(1+G15)</f>
        <v>710.67779999999993</v>
      </c>
      <c r="H10" s="1">
        <f t="shared" ref="H10:L10" si="3">G10*(1+H15)</f>
        <v>742.30296209999995</v>
      </c>
      <c r="I10" s="1">
        <f t="shared" si="3"/>
        <v>775.33544391344992</v>
      </c>
      <c r="J10" s="1">
        <f t="shared" si="3"/>
        <v>809.83787116759845</v>
      </c>
      <c r="K10" s="1">
        <f t="shared" si="3"/>
        <v>845.87565643455662</v>
      </c>
      <c r="L10" s="1">
        <f t="shared" si="3"/>
        <v>871.25192612759338</v>
      </c>
    </row>
    <row r="11" spans="4:22" x14ac:dyDescent="0.3">
      <c r="D11" s="2">
        <v>5</v>
      </c>
      <c r="E11" s="2" t="s">
        <v>48</v>
      </c>
      <c r="F11">
        <v>5701.2</v>
      </c>
      <c r="G11">
        <v>5701.2</v>
      </c>
      <c r="H11">
        <v>5701.2</v>
      </c>
      <c r="I11">
        <v>5701.2</v>
      </c>
      <c r="J11">
        <v>5701.2</v>
      </c>
      <c r="K11">
        <v>5701.2</v>
      </c>
      <c r="L11">
        <v>5701.2</v>
      </c>
    </row>
    <row r="12" spans="4:22" x14ac:dyDescent="0.3">
      <c r="D12" s="2">
        <v>6</v>
      </c>
      <c r="E12" s="2" t="s">
        <v>49</v>
      </c>
      <c r="F12" s="3">
        <v>0.33938000000000001</v>
      </c>
      <c r="G12" s="3">
        <v>0.33938000000000001</v>
      </c>
      <c r="H12" s="3">
        <v>0.33938000000000001</v>
      </c>
      <c r="I12" s="3">
        <v>0.33938000000000001</v>
      </c>
      <c r="J12" s="3">
        <v>0.33938000000000001</v>
      </c>
      <c r="K12" s="3">
        <v>0.33938000000000001</v>
      </c>
      <c r="L12" s="3">
        <v>0.33938000000000001</v>
      </c>
    </row>
    <row r="13" spans="4:22" x14ac:dyDescent="0.3">
      <c r="D13" s="2">
        <v>7</v>
      </c>
      <c r="E13" s="2" t="s">
        <v>50</v>
      </c>
      <c r="F13" s="14">
        <f>F11*(1-F12)</f>
        <v>3766.326744</v>
      </c>
      <c r="G13" s="14">
        <f t="shared" ref="G13:L13" si="4">G11*(1-G12)</f>
        <v>3766.326744</v>
      </c>
      <c r="H13" s="14">
        <f t="shared" si="4"/>
        <v>3766.326744</v>
      </c>
      <c r="I13" s="14">
        <f t="shared" si="4"/>
        <v>3766.326744</v>
      </c>
      <c r="J13" s="14">
        <f t="shared" si="4"/>
        <v>3766.326744</v>
      </c>
      <c r="K13" s="14">
        <f t="shared" si="4"/>
        <v>3766.326744</v>
      </c>
      <c r="L13" s="14">
        <f t="shared" si="4"/>
        <v>3766.326744</v>
      </c>
    </row>
    <row r="14" spans="4:22" x14ac:dyDescent="0.3">
      <c r="D14" s="2">
        <v>8</v>
      </c>
      <c r="E14" s="2" t="s">
        <v>51</v>
      </c>
      <c r="F14" s="10">
        <f>(F9+F10)/F13</f>
        <v>21.394904233513309</v>
      </c>
      <c r="G14" s="10">
        <f t="shared" ref="G14:L14" si="5">(G9+G10)/G13</f>
        <v>22.346977471904655</v>
      </c>
      <c r="H14" s="10">
        <f t="shared" si="5"/>
        <v>23.341417969404411</v>
      </c>
      <c r="I14" s="10">
        <f t="shared" si="5"/>
        <v>24.380111069042908</v>
      </c>
      <c r="J14" s="10">
        <f t="shared" si="5"/>
        <v>25.465026011615315</v>
      </c>
      <c r="K14" s="10">
        <f t="shared" si="5"/>
        <v>26.598219669132195</v>
      </c>
      <c r="L14" s="10">
        <f t="shared" si="5"/>
        <v>27.396166259206161</v>
      </c>
    </row>
    <row r="15" spans="4:22" x14ac:dyDescent="0.3">
      <c r="D15" s="2">
        <v>9</v>
      </c>
      <c r="E15" s="2" t="s">
        <v>53</v>
      </c>
      <c r="F15" s="3">
        <v>4.4499999999999998E-2</v>
      </c>
      <c r="G15" s="3">
        <v>4.4499999999999998E-2</v>
      </c>
      <c r="H15" s="3">
        <v>4.4499999999999998E-2</v>
      </c>
      <c r="I15" s="3">
        <v>4.4499999999999998E-2</v>
      </c>
      <c r="J15" s="3">
        <v>4.4499999999999998E-2</v>
      </c>
      <c r="K15" s="3">
        <v>4.4499999999999998E-2</v>
      </c>
      <c r="L15" s="7">
        <v>0.03</v>
      </c>
    </row>
    <row r="16" spans="4:22" x14ac:dyDescent="0.3">
      <c r="D16" s="2">
        <v>10</v>
      </c>
      <c r="E16" s="2" t="s">
        <v>52</v>
      </c>
      <c r="F16">
        <f>F13*(100-F14)</f>
        <v>296052.47440000001</v>
      </c>
      <c r="G16">
        <f t="shared" ref="G16:K16" si="6">G13*(100-G14)</f>
        <v>292466.65549999999</v>
      </c>
      <c r="H16">
        <f t="shared" si="6"/>
        <v>288721.26765895</v>
      </c>
      <c r="I16">
        <f t="shared" si="6"/>
        <v>284809.21005897323</v>
      </c>
      <c r="J16">
        <f t="shared" si="6"/>
        <v>280723.06589579757</v>
      </c>
      <c r="K16">
        <f t="shared" si="6"/>
        <v>276455.08831736061</v>
      </c>
    </row>
    <row r="17" spans="4:12" x14ac:dyDescent="0.3">
      <c r="D17" s="2">
        <v>11</v>
      </c>
      <c r="E17" s="2" t="s">
        <v>10</v>
      </c>
      <c r="G17" s="4">
        <v>0.1328</v>
      </c>
      <c r="H17" s="4">
        <v>0.1328</v>
      </c>
      <c r="I17" s="4">
        <v>0.1328</v>
      </c>
      <c r="J17" s="4">
        <v>0.1328</v>
      </c>
      <c r="K17" s="4">
        <v>0.1328</v>
      </c>
      <c r="L17" s="4">
        <v>0.1328</v>
      </c>
    </row>
    <row r="18" spans="4:12" x14ac:dyDescent="0.3">
      <c r="D18" s="2">
        <v>12</v>
      </c>
      <c r="E18" s="2" t="s">
        <v>54</v>
      </c>
      <c r="G18">
        <f>ABS(F16/1+G17)^1</f>
        <v>296052.60720000003</v>
      </c>
      <c r="H18">
        <f>ABS(G16/(1+H17)^2)</f>
        <v>227913.40951013335</v>
      </c>
      <c r="I18">
        <f>ABS(H16/(1+I17)^3)</f>
        <v>198618.20599177349</v>
      </c>
      <c r="J18">
        <f>ABS(I16/(1+J17)^4)</f>
        <v>172958.16455562104</v>
      </c>
      <c r="K18">
        <f>ABS(J16/(1+K17)^5)</f>
        <v>150491.47423344312</v>
      </c>
    </row>
    <row r="20" spans="4:12" x14ac:dyDescent="0.3">
      <c r="E20" s="2" t="s">
        <v>33</v>
      </c>
      <c r="G20">
        <f>SUM(G18:K18)</f>
        <v>1046033.8614909712</v>
      </c>
    </row>
    <row r="21" spans="4:12" x14ac:dyDescent="0.3">
      <c r="E21" s="2" t="s">
        <v>17</v>
      </c>
      <c r="G21">
        <f>(L13*(100-L14))/(L17-L15)</f>
        <v>2660017.1277712202</v>
      </c>
      <c r="I21" s="25" t="s">
        <v>35</v>
      </c>
      <c r="J21" s="25"/>
      <c r="K21" s="25"/>
    </row>
    <row r="22" spans="4:12" x14ac:dyDescent="0.3">
      <c r="E22" s="2" t="s">
        <v>19</v>
      </c>
      <c r="G22" s="12">
        <f>G21/(1+G17)^5</f>
        <v>1425995.7505347715</v>
      </c>
    </row>
    <row r="23" spans="4:12" x14ac:dyDescent="0.3">
      <c r="E23" s="2" t="s">
        <v>34</v>
      </c>
      <c r="G23" s="6">
        <f>G22+G20</f>
        <v>2472029.6120257424</v>
      </c>
    </row>
  </sheetData>
  <mergeCells count="4">
    <mergeCell ref="G2:M3"/>
    <mergeCell ref="N7:V7"/>
    <mergeCell ref="N8:V8"/>
    <mergeCell ref="I21:K2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2:V22"/>
  <sheetViews>
    <sheetView topLeftCell="B1" workbookViewId="0">
      <selection activeCell="N22" sqref="N22"/>
    </sheetView>
  </sheetViews>
  <sheetFormatPr defaultRowHeight="14.4" x14ac:dyDescent="0.3"/>
  <cols>
    <col min="5" max="5" width="14.109375" bestFit="1" customWidth="1"/>
    <col min="7" max="7" width="11.6640625" bestFit="1" customWidth="1"/>
  </cols>
  <sheetData>
    <row r="2" spans="4:22" x14ac:dyDescent="0.3">
      <c r="H2" s="26" t="s">
        <v>37</v>
      </c>
      <c r="I2" s="25"/>
      <c r="J2" s="25"/>
      <c r="K2" s="25"/>
      <c r="L2" s="25"/>
      <c r="M2" s="25"/>
    </row>
    <row r="3" spans="4:22" x14ac:dyDescent="0.3">
      <c r="H3" s="25"/>
      <c r="I3" s="25"/>
      <c r="J3" s="25"/>
      <c r="K3" s="25"/>
      <c r="L3" s="25"/>
      <c r="M3" s="25"/>
    </row>
    <row r="6" spans="4:22" x14ac:dyDescent="0.3">
      <c r="D6" s="2" t="s">
        <v>21</v>
      </c>
      <c r="E6" s="2"/>
      <c r="F6" s="2">
        <v>2022</v>
      </c>
      <c r="G6" s="2">
        <v>2023</v>
      </c>
      <c r="H6" s="2">
        <v>2024</v>
      </c>
      <c r="I6" s="2">
        <v>2025</v>
      </c>
      <c r="J6" s="2">
        <v>2026</v>
      </c>
      <c r="K6" s="2">
        <v>2027</v>
      </c>
      <c r="L6" s="2">
        <v>2028</v>
      </c>
    </row>
    <row r="7" spans="4:22" x14ac:dyDescent="0.3">
      <c r="D7" s="2">
        <v>1</v>
      </c>
      <c r="E7" s="2" t="s">
        <v>0</v>
      </c>
      <c r="F7" s="1">
        <v>5315.46</v>
      </c>
      <c r="G7">
        <f>F7*(1+G13)</f>
        <v>5800.1093973671996</v>
      </c>
      <c r="H7">
        <f t="shared" ref="H7:L7" si="0">G7*(1+H13)</f>
        <v>6328.9478279259556</v>
      </c>
      <c r="I7">
        <f t="shared" si="0"/>
        <v>6906.0043292960645</v>
      </c>
      <c r="J7">
        <f t="shared" si="0"/>
        <v>7535.6752959496762</v>
      </c>
      <c r="K7">
        <f t="shared" si="0"/>
        <v>8222.7579738245731</v>
      </c>
      <c r="L7">
        <f t="shared" si="0"/>
        <v>8716.1234522540472</v>
      </c>
    </row>
    <row r="8" spans="4:22" x14ac:dyDescent="0.3">
      <c r="D8" s="2">
        <v>2</v>
      </c>
      <c r="E8" s="2" t="s">
        <v>2</v>
      </c>
      <c r="F8" s="1">
        <v>60398</v>
      </c>
      <c r="G8">
        <f>F8*(1+G13)</f>
        <v>65904.927773359988</v>
      </c>
      <c r="H8">
        <f t="shared" ref="H8:L8" si="1">G8*(1+H13)</f>
        <v>71913.962462528507</v>
      </c>
      <c r="I8">
        <f t="shared" si="1"/>
        <v>78470.884830442446</v>
      </c>
      <c r="J8">
        <f t="shared" si="1"/>
        <v>85625.649807310838</v>
      </c>
      <c r="K8">
        <f t="shared" si="1"/>
        <v>93432.767079999947</v>
      </c>
      <c r="L8">
        <f t="shared" si="1"/>
        <v>99038.733104799947</v>
      </c>
      <c r="N8" s="27" t="s">
        <v>42</v>
      </c>
      <c r="O8" s="27"/>
      <c r="P8" s="27"/>
      <c r="Q8" s="27"/>
      <c r="R8" s="27"/>
      <c r="S8" s="27"/>
      <c r="T8" s="27"/>
      <c r="U8" s="27"/>
      <c r="V8" s="27"/>
    </row>
    <row r="9" spans="4:22" x14ac:dyDescent="0.3">
      <c r="D9" s="2">
        <v>3</v>
      </c>
      <c r="E9" s="2" t="s">
        <v>23</v>
      </c>
      <c r="F9" s="1">
        <v>3502.6</v>
      </c>
      <c r="G9">
        <f>F9*(1+G13)</f>
        <v>3821.9576810319995</v>
      </c>
      <c r="H9">
        <f t="shared" ref="H9:L9" si="2">G9*(1+H13)</f>
        <v>4170.4335395419121</v>
      </c>
      <c r="I9">
        <f t="shared" si="2"/>
        <v>4550.6824929154573</v>
      </c>
      <c r="J9">
        <f t="shared" si="2"/>
        <v>4965.6015267904068</v>
      </c>
      <c r="K9">
        <f t="shared" si="2"/>
        <v>5418.3517661910637</v>
      </c>
      <c r="L9">
        <f t="shared" si="2"/>
        <v>5743.4528721625275</v>
      </c>
      <c r="N9" s="27" t="s">
        <v>29</v>
      </c>
      <c r="O9" s="27"/>
      <c r="P9" s="27"/>
      <c r="Q9" s="27"/>
      <c r="R9" s="27"/>
      <c r="S9" s="27"/>
      <c r="T9" s="27"/>
      <c r="U9" s="27"/>
      <c r="V9" s="27"/>
    </row>
    <row r="10" spans="4:22" x14ac:dyDescent="0.3">
      <c r="D10" s="2">
        <v>4</v>
      </c>
      <c r="E10" s="2" t="s">
        <v>1</v>
      </c>
      <c r="F10" s="10">
        <v>188.5</v>
      </c>
      <c r="G10">
        <f>F10*(1+G13)</f>
        <v>205.68692481999997</v>
      </c>
      <c r="H10">
        <f t="shared" ref="H10:L10" si="3">G10*(1+H13)</f>
        <v>224.44090738412902</v>
      </c>
      <c r="I10">
        <f t="shared" si="3"/>
        <v>244.90482781778209</v>
      </c>
      <c r="J10">
        <f t="shared" si="3"/>
        <v>267.23459367326888</v>
      </c>
      <c r="K10">
        <f t="shared" si="3"/>
        <v>291.60032773568645</v>
      </c>
      <c r="L10">
        <f t="shared" si="3"/>
        <v>309.09634739982766</v>
      </c>
      <c r="N10" s="27" t="s">
        <v>30</v>
      </c>
      <c r="O10" s="27"/>
      <c r="P10" s="27"/>
      <c r="Q10" s="27"/>
      <c r="R10" s="27"/>
      <c r="S10" s="27"/>
      <c r="T10" s="27"/>
      <c r="U10" s="27"/>
      <c r="V10" s="27"/>
    </row>
    <row r="11" spans="4:22" x14ac:dyDescent="0.3">
      <c r="D11" s="2">
        <v>5</v>
      </c>
      <c r="E11" s="2" t="s">
        <v>7</v>
      </c>
      <c r="F11" s="8">
        <v>0.12659999999999999</v>
      </c>
      <c r="G11" s="8">
        <v>0.12659999999999999</v>
      </c>
      <c r="H11" s="8">
        <v>0.12659999999999999</v>
      </c>
      <c r="I11" s="8">
        <v>0.12659999999999999</v>
      </c>
      <c r="J11" s="8">
        <v>0.12659999999999999</v>
      </c>
      <c r="K11" s="8">
        <v>0.12659999999999999</v>
      </c>
      <c r="L11" s="7">
        <v>0.1</v>
      </c>
      <c r="N11" s="27" t="s">
        <v>43</v>
      </c>
      <c r="O11" s="27"/>
      <c r="P11" s="27"/>
      <c r="Q11" s="27"/>
      <c r="R11" s="27"/>
      <c r="S11" s="27"/>
      <c r="T11" s="27"/>
      <c r="U11" s="27"/>
      <c r="V11" s="27"/>
    </row>
    <row r="12" spans="4:22" x14ac:dyDescent="0.3">
      <c r="D12" s="2">
        <v>6</v>
      </c>
      <c r="E12" s="2" t="s">
        <v>24</v>
      </c>
      <c r="F12" s="8">
        <v>0.72019999999999995</v>
      </c>
      <c r="G12" s="8">
        <v>0.72019999999999995</v>
      </c>
      <c r="H12" s="8">
        <v>0.72019999999999995</v>
      </c>
      <c r="I12" s="8">
        <v>0.72019999999999995</v>
      </c>
      <c r="J12" s="8">
        <v>0.72019999999999995</v>
      </c>
      <c r="K12" s="8">
        <v>0.72019999999999995</v>
      </c>
      <c r="L12" s="8">
        <f>L13/L11</f>
        <v>0.6</v>
      </c>
    </row>
    <row r="13" spans="4:22" x14ac:dyDescent="0.3">
      <c r="D13" s="2">
        <v>7</v>
      </c>
      <c r="E13" s="2" t="s">
        <v>25</v>
      </c>
      <c r="F13" s="9">
        <f>F12*F11</f>
        <v>9.1177319999999992E-2</v>
      </c>
      <c r="G13" s="9">
        <f t="shared" ref="G13:K13" si="4">G12*G11</f>
        <v>9.1177319999999992E-2</v>
      </c>
      <c r="H13" s="9">
        <f t="shared" si="4"/>
        <v>9.1177319999999992E-2</v>
      </c>
      <c r="I13" s="9">
        <f t="shared" si="4"/>
        <v>9.1177319999999992E-2</v>
      </c>
      <c r="J13" s="9">
        <f t="shared" si="4"/>
        <v>9.1177319999999992E-2</v>
      </c>
      <c r="K13" s="9">
        <f t="shared" si="4"/>
        <v>9.1177319999999992E-2</v>
      </c>
      <c r="L13" s="9">
        <v>0.06</v>
      </c>
    </row>
    <row r="14" spans="4:22" x14ac:dyDescent="0.3">
      <c r="D14" s="2">
        <v>8</v>
      </c>
      <c r="E14" s="2" t="s">
        <v>3</v>
      </c>
      <c r="F14">
        <v>0.17</v>
      </c>
      <c r="G14">
        <v>0.17</v>
      </c>
      <c r="H14">
        <v>0.17</v>
      </c>
      <c r="I14">
        <v>0.17</v>
      </c>
      <c r="J14">
        <v>0.17</v>
      </c>
      <c r="K14">
        <v>0.17</v>
      </c>
      <c r="L14">
        <v>0.17</v>
      </c>
    </row>
    <row r="15" spans="4:22" x14ac:dyDescent="0.3">
      <c r="D15" s="2">
        <v>9</v>
      </c>
      <c r="E15" s="2" t="s">
        <v>27</v>
      </c>
      <c r="F15">
        <f>F7-(F8-F9)*(1-F14)-F10*(1-F14)</f>
        <v>-42064.177000000003</v>
      </c>
      <c r="G15">
        <f t="shared" ref="G15:K15" si="5">G7-(G8-G9)*(1-G14)-G10*(1-G14)</f>
        <v>-45899.475926865634</v>
      </c>
      <c r="H15">
        <f t="shared" si="5"/>
        <v>-50084.467131281737</v>
      </c>
      <c r="I15">
        <f t="shared" si="5"/>
        <v>-54651.034617940102</v>
      </c>
      <c r="J15">
        <f t="shared" si="5"/>
        <v>-59633.96948963109</v>
      </c>
      <c r="K15">
        <f t="shared" si="5"/>
        <v>-65071.235008657422</v>
      </c>
    </row>
    <row r="16" spans="4:22" x14ac:dyDescent="0.3">
      <c r="D16" s="2">
        <v>10</v>
      </c>
      <c r="E16" s="2" t="s">
        <v>10</v>
      </c>
      <c r="F16" s="9"/>
      <c r="G16" s="9">
        <v>7.4700000000000003E-2</v>
      </c>
      <c r="H16" s="9">
        <v>7.4700000000000003E-2</v>
      </c>
      <c r="I16" s="9">
        <v>7.4700000000000003E-2</v>
      </c>
      <c r="J16" s="9">
        <v>7.4700000000000003E-2</v>
      </c>
      <c r="K16" s="9">
        <v>7.4700000000000003E-2</v>
      </c>
      <c r="L16" s="9">
        <v>7.4700000000000003E-2</v>
      </c>
    </row>
    <row r="17" spans="4:11" x14ac:dyDescent="0.3">
      <c r="D17" s="2">
        <v>11</v>
      </c>
      <c r="E17" s="2" t="s">
        <v>31</v>
      </c>
      <c r="G17">
        <f>ABS(F15/(1+G16))</f>
        <v>39140.389876244539</v>
      </c>
      <c r="H17">
        <f>ABS(G15/(1+H16)^2)</f>
        <v>39740.491047655749</v>
      </c>
      <c r="I17">
        <f>ABS(H15/(1+I16)^3)</f>
        <v>40349.792981171471</v>
      </c>
      <c r="J17">
        <f>ABS(I15/(1+J16)^4)</f>
        <v>40968.436743044105</v>
      </c>
      <c r="K17">
        <f>ABS(J15/(1+K16)^5)</f>
        <v>41596.565562356365</v>
      </c>
    </row>
    <row r="19" spans="4:11" x14ac:dyDescent="0.3">
      <c r="E19" s="2" t="s">
        <v>33</v>
      </c>
      <c r="G19">
        <f>SUM(G17:K17)</f>
        <v>201795.67621047224</v>
      </c>
    </row>
    <row r="20" spans="4:11" x14ac:dyDescent="0.3">
      <c r="E20" s="2" t="s">
        <v>17</v>
      </c>
      <c r="G20">
        <f>(ABS(L7-(1-L14)*(L8-L9)-(1-L14)*L10))/(L16-L13)</f>
        <v>4692211.5040256362</v>
      </c>
      <c r="I20" s="25" t="s">
        <v>35</v>
      </c>
      <c r="J20" s="25"/>
      <c r="K20" s="25"/>
    </row>
    <row r="21" spans="4:11" x14ac:dyDescent="0.3">
      <c r="E21" s="2" t="s">
        <v>19</v>
      </c>
      <c r="G21">
        <f>G20/(1+G16)^5</f>
        <v>3272964.8073080601</v>
      </c>
    </row>
    <row r="22" spans="4:11" x14ac:dyDescent="0.3">
      <c r="E22" s="2" t="s">
        <v>34</v>
      </c>
      <c r="G22" s="6">
        <f>G21+G19</f>
        <v>3474760.4835185325</v>
      </c>
    </row>
  </sheetData>
  <mergeCells count="6">
    <mergeCell ref="H2:M3"/>
    <mergeCell ref="I20:K20"/>
    <mergeCell ref="N8:V8"/>
    <mergeCell ref="N9:V9"/>
    <mergeCell ref="N10:V10"/>
    <mergeCell ref="N11:V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D2:V21"/>
  <sheetViews>
    <sheetView workbookViewId="0">
      <selection activeCell="L17" sqref="L17"/>
    </sheetView>
  </sheetViews>
  <sheetFormatPr defaultRowHeight="14.4" x14ac:dyDescent="0.3"/>
  <cols>
    <col min="5" max="5" width="15.6640625" customWidth="1"/>
    <col min="6" max="6" width="9.88671875" customWidth="1"/>
    <col min="22" max="22" width="13.5546875" customWidth="1"/>
  </cols>
  <sheetData>
    <row r="2" spans="4:22" x14ac:dyDescent="0.3">
      <c r="F2" s="26" t="s">
        <v>38</v>
      </c>
      <c r="G2" s="25"/>
      <c r="H2" s="25"/>
      <c r="I2" s="25"/>
      <c r="J2" s="25"/>
      <c r="K2" s="25"/>
    </row>
    <row r="3" spans="4:22" x14ac:dyDescent="0.3">
      <c r="F3" s="25"/>
      <c r="G3" s="25"/>
      <c r="H3" s="25"/>
      <c r="I3" s="25"/>
      <c r="J3" s="25"/>
      <c r="K3" s="25"/>
    </row>
    <row r="6" spans="4:22" x14ac:dyDescent="0.3">
      <c r="D6" s="2" t="s">
        <v>22</v>
      </c>
      <c r="F6" s="2">
        <v>2022</v>
      </c>
      <c r="G6" s="2">
        <v>2023</v>
      </c>
      <c r="H6" s="2">
        <v>2024</v>
      </c>
      <c r="I6" s="2">
        <v>2025</v>
      </c>
      <c r="J6" s="2">
        <v>2026</v>
      </c>
      <c r="K6" s="2">
        <v>2027</v>
      </c>
      <c r="L6" s="2">
        <v>2028</v>
      </c>
    </row>
    <row r="7" spans="4:22" x14ac:dyDescent="0.3">
      <c r="D7" s="2">
        <v>1</v>
      </c>
      <c r="E7" s="2" t="s">
        <v>4</v>
      </c>
      <c r="F7">
        <v>41.28</v>
      </c>
      <c r="G7">
        <f>F7*(1+G12)</f>
        <v>45.0437997696</v>
      </c>
      <c r="H7">
        <f t="shared" ref="H7:L7" si="0">G7*(1+H12)</f>
        <v>49.150772715208738</v>
      </c>
      <c r="I7">
        <f t="shared" si="0"/>
        <v>53.632208447310589</v>
      </c>
      <c r="J7">
        <f t="shared" si="0"/>
        <v>58.522249479217727</v>
      </c>
      <c r="K7">
        <f t="shared" si="0"/>
        <v>63.85815134710419</v>
      </c>
      <c r="L7">
        <f t="shared" si="0"/>
        <v>67.689640427930442</v>
      </c>
    </row>
    <row r="8" spans="4:22" x14ac:dyDescent="0.3">
      <c r="D8" s="2">
        <v>2</v>
      </c>
      <c r="E8" s="2" t="s">
        <v>5</v>
      </c>
      <c r="F8" s="3">
        <f>1-F11</f>
        <v>0.27980000000000005</v>
      </c>
      <c r="G8" s="3">
        <f t="shared" ref="G8:K8" si="1">1-G11</f>
        <v>0.27980000000000005</v>
      </c>
      <c r="H8" s="3">
        <f t="shared" si="1"/>
        <v>0.27980000000000005</v>
      </c>
      <c r="I8" s="3">
        <f t="shared" si="1"/>
        <v>0.27980000000000005</v>
      </c>
      <c r="J8" s="3">
        <f t="shared" si="1"/>
        <v>0.27980000000000005</v>
      </c>
      <c r="K8" s="3">
        <f t="shared" si="1"/>
        <v>0.27980000000000005</v>
      </c>
      <c r="L8" s="7">
        <v>0.4</v>
      </c>
      <c r="N8" s="28" t="s">
        <v>72</v>
      </c>
      <c r="O8" s="28"/>
      <c r="P8" s="28"/>
      <c r="Q8" s="28"/>
      <c r="R8" s="28"/>
      <c r="S8" s="28"/>
      <c r="T8" s="28"/>
      <c r="U8" s="28"/>
      <c r="V8" s="28"/>
    </row>
    <row r="9" spans="4:22" x14ac:dyDescent="0.3">
      <c r="D9" s="2">
        <v>3</v>
      </c>
      <c r="E9" s="2" t="s">
        <v>6</v>
      </c>
      <c r="F9">
        <f>F7*F8</f>
        <v>11.550144000000003</v>
      </c>
      <c r="G9">
        <f t="shared" ref="G9:L9" si="2">G7*G8</f>
        <v>12.603255175534082</v>
      </c>
      <c r="H9">
        <f t="shared" si="2"/>
        <v>13.752386205715407</v>
      </c>
      <c r="I9">
        <f t="shared" si="2"/>
        <v>15.006291923557505</v>
      </c>
      <c r="J9">
        <f t="shared" si="2"/>
        <v>16.374525404285123</v>
      </c>
      <c r="K9">
        <f t="shared" si="2"/>
        <v>17.867510746919756</v>
      </c>
      <c r="L9">
        <f t="shared" si="2"/>
        <v>27.075856171172177</v>
      </c>
      <c r="N9" s="27" t="s">
        <v>12</v>
      </c>
      <c r="O9" s="27"/>
      <c r="P9" s="27"/>
      <c r="Q9" s="27"/>
      <c r="R9" s="27"/>
      <c r="S9" s="27"/>
      <c r="T9" s="27"/>
      <c r="U9" s="27"/>
      <c r="V9" s="27"/>
    </row>
    <row r="10" spans="4:22" x14ac:dyDescent="0.3">
      <c r="D10" s="2">
        <v>4</v>
      </c>
      <c r="E10" s="2" t="s">
        <v>7</v>
      </c>
      <c r="F10" s="3">
        <v>0.12659999999999999</v>
      </c>
      <c r="G10" s="3">
        <v>0.12659999999999999</v>
      </c>
      <c r="H10" s="3">
        <v>0.12659999999999999</v>
      </c>
      <c r="I10" s="3">
        <v>0.12659999999999999</v>
      </c>
      <c r="J10" s="3">
        <v>0.12659999999999999</v>
      </c>
      <c r="K10" s="3">
        <v>0.12659999999999999</v>
      </c>
      <c r="L10" s="11">
        <v>0.1</v>
      </c>
      <c r="N10" s="27" t="s">
        <v>41</v>
      </c>
      <c r="O10" s="27"/>
      <c r="P10" s="27"/>
      <c r="Q10" s="27"/>
      <c r="R10" s="27"/>
      <c r="S10" s="27"/>
      <c r="T10" s="27"/>
      <c r="U10" s="27"/>
      <c r="V10" s="27"/>
    </row>
    <row r="11" spans="4:22" x14ac:dyDescent="0.3">
      <c r="D11" s="2">
        <v>5</v>
      </c>
      <c r="E11" s="2" t="s">
        <v>8</v>
      </c>
      <c r="F11" s="8">
        <v>0.72019999999999995</v>
      </c>
      <c r="G11" s="8">
        <v>0.72019999999999995</v>
      </c>
      <c r="H11" s="8">
        <v>0.72019999999999995</v>
      </c>
      <c r="I11" s="8">
        <v>0.72019999999999995</v>
      </c>
      <c r="J11" s="8">
        <v>0.72019999999999995</v>
      </c>
      <c r="K11" s="8">
        <v>0.72019999999999995</v>
      </c>
      <c r="L11" s="11">
        <f>L12/L10</f>
        <v>0.6</v>
      </c>
      <c r="N11" s="28" t="s">
        <v>40</v>
      </c>
      <c r="O11" s="28"/>
      <c r="P11" s="28"/>
      <c r="Q11" s="28"/>
      <c r="R11" s="28"/>
      <c r="S11" s="28"/>
      <c r="T11" s="28"/>
      <c r="U11" s="28"/>
      <c r="V11" s="28"/>
    </row>
    <row r="12" spans="4:22" x14ac:dyDescent="0.3">
      <c r="D12" s="2">
        <v>6</v>
      </c>
      <c r="E12" s="2" t="s">
        <v>9</v>
      </c>
      <c r="F12" s="9">
        <f>F11*F10</f>
        <v>9.1177319999999992E-2</v>
      </c>
      <c r="G12" s="9">
        <f t="shared" ref="G12:K12" si="3">G11*G10</f>
        <v>9.1177319999999992E-2</v>
      </c>
      <c r="H12" s="9">
        <f t="shared" si="3"/>
        <v>9.1177319999999992E-2</v>
      </c>
      <c r="I12" s="9">
        <f t="shared" si="3"/>
        <v>9.1177319999999992E-2</v>
      </c>
      <c r="J12" s="9">
        <f t="shared" si="3"/>
        <v>9.1177319999999992E-2</v>
      </c>
      <c r="K12" s="8">
        <f t="shared" si="3"/>
        <v>9.1177319999999992E-2</v>
      </c>
      <c r="L12" s="8">
        <v>0.06</v>
      </c>
    </row>
    <row r="13" spans="4:22" x14ac:dyDescent="0.3">
      <c r="D13" s="2">
        <v>7</v>
      </c>
      <c r="E13" s="2" t="s">
        <v>10</v>
      </c>
      <c r="F13" s="4"/>
      <c r="G13" s="9">
        <v>7.4700000000000003E-2</v>
      </c>
      <c r="H13" s="9">
        <v>7.4700000000000003E-2</v>
      </c>
      <c r="I13" s="9">
        <v>7.4700000000000003E-2</v>
      </c>
      <c r="J13" s="9">
        <v>7.4700000000000003E-2</v>
      </c>
      <c r="K13" s="9">
        <v>7.4700000000000003E-2</v>
      </c>
      <c r="L13" s="9">
        <v>7.4700000000000003E-2</v>
      </c>
    </row>
    <row r="14" spans="4:22" x14ac:dyDescent="0.3">
      <c r="D14" s="2">
        <v>8</v>
      </c>
      <c r="E14" s="2" t="s">
        <v>15</v>
      </c>
      <c r="G14" s="5">
        <f>1+G13</f>
        <v>1.0747</v>
      </c>
      <c r="H14" s="5">
        <f>(1+H13)^2</f>
        <v>1.15498009</v>
      </c>
      <c r="I14" s="5">
        <f>(1+I13)^3</f>
        <v>1.2412571027229999</v>
      </c>
      <c r="J14" s="5">
        <f>(1+J13)^4</f>
        <v>1.333979008296408</v>
      </c>
      <c r="K14" s="5">
        <f>(1+K13)^5</f>
        <v>1.4336272402161496</v>
      </c>
    </row>
    <row r="15" spans="4:22" x14ac:dyDescent="0.3">
      <c r="D15" s="2">
        <v>9</v>
      </c>
      <c r="E15" s="2" t="s">
        <v>14</v>
      </c>
      <c r="G15">
        <f>G9/G14</f>
        <v>11.727231018455459</v>
      </c>
      <c r="H15">
        <f t="shared" ref="H15:K15" si="4">H9/H14</f>
        <v>11.907033138307524</v>
      </c>
      <c r="I15">
        <f t="shared" si="4"/>
        <v>12.089591987540331</v>
      </c>
      <c r="J15">
        <f t="shared" si="4"/>
        <v>12.274949832379018</v>
      </c>
      <c r="K15">
        <f t="shared" si="4"/>
        <v>12.463149587075264</v>
      </c>
    </row>
    <row r="17" spans="5:8" x14ac:dyDescent="0.3">
      <c r="E17" s="2" t="s">
        <v>16</v>
      </c>
      <c r="H17">
        <f>SUM(G15:K15)</f>
        <v>60.461955563757598</v>
      </c>
    </row>
    <row r="19" spans="5:8" x14ac:dyDescent="0.3">
      <c r="E19" s="2" t="s">
        <v>17</v>
      </c>
      <c r="H19">
        <f>L9/(L13-L12)</f>
        <v>1841.8949776307597</v>
      </c>
    </row>
    <row r="20" spans="5:8" x14ac:dyDescent="0.3">
      <c r="E20" s="2" t="s">
        <v>19</v>
      </c>
      <c r="H20">
        <f>H19/(1+L13)^5</f>
        <v>1284.77956191252</v>
      </c>
    </row>
    <row r="21" spans="5:8" x14ac:dyDescent="0.3">
      <c r="E21" s="2" t="s">
        <v>36</v>
      </c>
      <c r="H21" s="6">
        <f>H20+H17</f>
        <v>1345.2415174762775</v>
      </c>
    </row>
  </sheetData>
  <mergeCells count="5">
    <mergeCell ref="F2:K3"/>
    <mergeCell ref="N8:V8"/>
    <mergeCell ref="N9:V9"/>
    <mergeCell ref="N10:V10"/>
    <mergeCell ref="N11:V1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2:V38"/>
  <sheetViews>
    <sheetView workbookViewId="0">
      <selection activeCell="N11" sqref="N11:V11"/>
    </sheetView>
  </sheetViews>
  <sheetFormatPr defaultRowHeight="14.4" x14ac:dyDescent="0.3"/>
  <cols>
    <col min="5" max="5" width="13.88671875" customWidth="1"/>
    <col min="6" max="6" width="11.109375" customWidth="1"/>
    <col min="7" max="7" width="11.33203125" customWidth="1"/>
  </cols>
  <sheetData>
    <row r="2" spans="4:22" x14ac:dyDescent="0.3">
      <c r="G2" s="26" t="s">
        <v>79</v>
      </c>
      <c r="H2" s="26"/>
      <c r="I2" s="26"/>
      <c r="J2" s="26"/>
      <c r="K2" s="26"/>
      <c r="L2" s="26"/>
      <c r="M2" s="26"/>
    </row>
    <row r="3" spans="4:22" x14ac:dyDescent="0.3">
      <c r="G3" s="26"/>
      <c r="H3" s="26"/>
      <c r="I3" s="26"/>
      <c r="J3" s="26"/>
      <c r="K3" s="26"/>
      <c r="L3" s="26"/>
      <c r="M3" s="26"/>
    </row>
    <row r="5" spans="4:22" x14ac:dyDescent="0.3">
      <c r="E5" s="2" t="s">
        <v>76</v>
      </c>
    </row>
    <row r="6" spans="4:22" x14ac:dyDescent="0.3">
      <c r="D6" s="2" t="s">
        <v>21</v>
      </c>
      <c r="E6" s="2"/>
      <c r="F6" s="2">
        <v>2022</v>
      </c>
      <c r="G6" s="2">
        <v>2023</v>
      </c>
      <c r="H6" s="2">
        <v>2024</v>
      </c>
      <c r="I6" s="2">
        <v>2025</v>
      </c>
      <c r="J6" s="2">
        <v>2026</v>
      </c>
      <c r="K6" s="2">
        <v>2027</v>
      </c>
      <c r="L6" s="2"/>
    </row>
    <row r="7" spans="4:22" x14ac:dyDescent="0.3">
      <c r="D7" s="2">
        <v>1</v>
      </c>
      <c r="E7" s="2" t="s">
        <v>0</v>
      </c>
      <c r="F7" s="1">
        <v>5315.46</v>
      </c>
      <c r="G7">
        <f>F7*(1+G13)</f>
        <v>5800.1093973671996</v>
      </c>
      <c r="H7">
        <f t="shared" ref="H7:K7" si="0">G7*(1+H13)</f>
        <v>6328.9478279259556</v>
      </c>
      <c r="I7">
        <f t="shared" si="0"/>
        <v>6906.0043292960645</v>
      </c>
      <c r="J7">
        <f t="shared" si="0"/>
        <v>7535.6752959496762</v>
      </c>
      <c r="K7">
        <f t="shared" si="0"/>
        <v>8222.7579738245731</v>
      </c>
      <c r="N7" s="27" t="s">
        <v>28</v>
      </c>
      <c r="O7" s="27"/>
      <c r="P7" s="27"/>
      <c r="Q7" s="27"/>
      <c r="R7" s="27"/>
      <c r="S7" s="27"/>
      <c r="T7" s="27"/>
      <c r="U7" s="27"/>
      <c r="V7" s="27"/>
    </row>
    <row r="8" spans="4:22" x14ac:dyDescent="0.3">
      <c r="D8" s="2">
        <v>2</v>
      </c>
      <c r="E8" s="2" t="s">
        <v>2</v>
      </c>
      <c r="F8" s="1">
        <v>60398</v>
      </c>
      <c r="G8">
        <f>F8*(1+G13)</f>
        <v>65904.927773359988</v>
      </c>
      <c r="H8">
        <f t="shared" ref="H8:K8" si="1">G8*(1+H13)</f>
        <v>71913.962462528507</v>
      </c>
      <c r="I8">
        <f t="shared" si="1"/>
        <v>78470.884830442446</v>
      </c>
      <c r="J8">
        <f t="shared" si="1"/>
        <v>85625.649807310838</v>
      </c>
      <c r="K8">
        <f t="shared" si="1"/>
        <v>93432.767079999947</v>
      </c>
      <c r="N8" s="27" t="s">
        <v>29</v>
      </c>
      <c r="O8" s="27"/>
      <c r="P8" s="27"/>
      <c r="Q8" s="27"/>
      <c r="R8" s="27"/>
      <c r="S8" s="27"/>
      <c r="T8" s="27"/>
      <c r="U8" s="27"/>
      <c r="V8" s="27"/>
    </row>
    <row r="9" spans="4:22" x14ac:dyDescent="0.3">
      <c r="D9" s="2">
        <v>3</v>
      </c>
      <c r="E9" s="2" t="s">
        <v>23</v>
      </c>
      <c r="F9" s="1">
        <v>3502.6</v>
      </c>
      <c r="G9">
        <f>F9*(1+G13)</f>
        <v>3821.9576810319995</v>
      </c>
      <c r="H9">
        <f t="shared" ref="H9:K9" si="2">G9*(1+H13)</f>
        <v>4170.4335395419121</v>
      </c>
      <c r="I9">
        <f t="shared" si="2"/>
        <v>4550.6824929154573</v>
      </c>
      <c r="J9">
        <f t="shared" si="2"/>
        <v>4965.6015267904068</v>
      </c>
      <c r="K9">
        <f t="shared" si="2"/>
        <v>5418.3517661910637</v>
      </c>
      <c r="N9" s="27" t="s">
        <v>30</v>
      </c>
      <c r="O9" s="27"/>
      <c r="P9" s="27"/>
      <c r="Q9" s="27"/>
      <c r="R9" s="27"/>
      <c r="S9" s="27"/>
      <c r="T9" s="27"/>
      <c r="U9" s="27"/>
      <c r="V9" s="27"/>
    </row>
    <row r="10" spans="4:22" x14ac:dyDescent="0.3">
      <c r="D10" s="2">
        <v>4</v>
      </c>
      <c r="E10" s="2" t="s">
        <v>1</v>
      </c>
      <c r="F10" s="10">
        <v>188.5</v>
      </c>
      <c r="G10">
        <f>F10*(1+G13)</f>
        <v>205.68692481999997</v>
      </c>
      <c r="H10">
        <f t="shared" ref="H10:K10" si="3">G10*(1+H13)</f>
        <v>224.44090738412902</v>
      </c>
      <c r="I10">
        <f t="shared" si="3"/>
        <v>244.90482781778209</v>
      </c>
      <c r="J10">
        <f t="shared" si="3"/>
        <v>267.23459367326888</v>
      </c>
      <c r="K10">
        <f t="shared" si="3"/>
        <v>291.60032773568645</v>
      </c>
      <c r="N10" s="27" t="s">
        <v>32</v>
      </c>
      <c r="O10" s="27"/>
      <c r="P10" s="27"/>
      <c r="Q10" s="27"/>
      <c r="R10" s="27"/>
      <c r="S10" s="27"/>
      <c r="T10" s="27"/>
      <c r="U10" s="27"/>
      <c r="V10" s="27"/>
    </row>
    <row r="11" spans="4:22" x14ac:dyDescent="0.3">
      <c r="D11" s="2">
        <v>5</v>
      </c>
      <c r="E11" s="2" t="s">
        <v>7</v>
      </c>
      <c r="F11" s="8">
        <v>0.12659999999999999</v>
      </c>
      <c r="G11" s="8">
        <v>0.12659999999999999</v>
      </c>
      <c r="H11" s="8">
        <v>0.12659999999999999</v>
      </c>
      <c r="I11" s="8">
        <v>0.12659999999999999</v>
      </c>
      <c r="J11" s="8">
        <v>0.12659999999999999</v>
      </c>
      <c r="K11" s="8">
        <v>0.12659999999999999</v>
      </c>
      <c r="L11" s="7"/>
      <c r="N11" s="27" t="s">
        <v>80</v>
      </c>
      <c r="O11" s="27"/>
      <c r="P11" s="27"/>
      <c r="Q11" s="27"/>
      <c r="R11" s="27"/>
      <c r="S11" s="27"/>
      <c r="T11" s="27"/>
      <c r="U11" s="27"/>
      <c r="V11" s="27"/>
    </row>
    <row r="12" spans="4:22" x14ac:dyDescent="0.3">
      <c r="D12" s="2">
        <v>6</v>
      </c>
      <c r="E12" s="2" t="s">
        <v>24</v>
      </c>
      <c r="F12" s="8">
        <v>0.72019999999999995</v>
      </c>
      <c r="G12" s="8">
        <v>0.72019999999999995</v>
      </c>
      <c r="H12" s="8">
        <v>0.72019999999999995</v>
      </c>
      <c r="I12" s="8">
        <v>0.72019999999999995</v>
      </c>
      <c r="J12" s="8">
        <v>0.72019999999999995</v>
      </c>
      <c r="K12" s="8">
        <v>0.72019999999999995</v>
      </c>
      <c r="L12" s="8"/>
    </row>
    <row r="13" spans="4:22" x14ac:dyDescent="0.3">
      <c r="D13" s="2">
        <v>7</v>
      </c>
      <c r="E13" s="2" t="s">
        <v>25</v>
      </c>
      <c r="F13" s="9">
        <f>F12*F11</f>
        <v>9.1177319999999992E-2</v>
      </c>
      <c r="G13" s="9">
        <f t="shared" ref="G13:K13" si="4">G12*G11</f>
        <v>9.1177319999999992E-2</v>
      </c>
      <c r="H13" s="9">
        <f t="shared" si="4"/>
        <v>9.1177319999999992E-2</v>
      </c>
      <c r="I13" s="9">
        <f t="shared" si="4"/>
        <v>9.1177319999999992E-2</v>
      </c>
      <c r="J13" s="9">
        <f t="shared" si="4"/>
        <v>9.1177319999999992E-2</v>
      </c>
      <c r="K13" s="9">
        <f t="shared" si="4"/>
        <v>9.1177319999999992E-2</v>
      </c>
      <c r="L13" s="9"/>
    </row>
    <row r="14" spans="4:22" x14ac:dyDescent="0.3">
      <c r="D14" s="2">
        <v>8</v>
      </c>
      <c r="E14" s="2" t="s">
        <v>3</v>
      </c>
      <c r="F14">
        <v>0.17</v>
      </c>
      <c r="G14">
        <v>0.17</v>
      </c>
      <c r="H14">
        <v>0.17</v>
      </c>
      <c r="I14">
        <v>0.17</v>
      </c>
      <c r="J14">
        <v>0.17</v>
      </c>
      <c r="K14">
        <v>0.17</v>
      </c>
    </row>
    <row r="15" spans="4:22" x14ac:dyDescent="0.3">
      <c r="D15" s="2">
        <v>9</v>
      </c>
      <c r="E15" s="2" t="s">
        <v>27</v>
      </c>
      <c r="F15">
        <f>F7-(F8-F9)*(1-F14)-F10*(1-F14)</f>
        <v>-42064.177000000003</v>
      </c>
      <c r="G15">
        <f t="shared" ref="G15:K15" si="5">G7-(G8-G9)*(1-G14)-G10*(1-G14)</f>
        <v>-45899.475926865634</v>
      </c>
      <c r="H15">
        <f t="shared" si="5"/>
        <v>-50084.467131281737</v>
      </c>
      <c r="I15">
        <f t="shared" si="5"/>
        <v>-54651.034617940102</v>
      </c>
      <c r="J15">
        <f t="shared" si="5"/>
        <v>-59633.96948963109</v>
      </c>
      <c r="K15">
        <f t="shared" si="5"/>
        <v>-65071.235008657422</v>
      </c>
    </row>
    <row r="16" spans="4:22" x14ac:dyDescent="0.3">
      <c r="D16" s="2">
        <v>10</v>
      </c>
      <c r="E16" s="2" t="s">
        <v>10</v>
      </c>
      <c r="F16" s="9"/>
      <c r="G16" s="9">
        <v>7.4700000000000003E-2</v>
      </c>
      <c r="H16" s="9">
        <v>7.4700000000000003E-2</v>
      </c>
      <c r="I16" s="9">
        <v>7.4700000000000003E-2</v>
      </c>
      <c r="J16" s="9">
        <v>7.4700000000000003E-2</v>
      </c>
      <c r="K16" s="9">
        <v>7.4700000000000003E-2</v>
      </c>
      <c r="L16" s="9"/>
    </row>
    <row r="17" spans="4:12" x14ac:dyDescent="0.3">
      <c r="D17" s="2">
        <v>11</v>
      </c>
      <c r="E17" s="2" t="s">
        <v>31</v>
      </c>
      <c r="G17">
        <f>ABS(F15/(1+G16))</f>
        <v>39140.389876244539</v>
      </c>
      <c r="H17">
        <f>ABS(G15/(1+H16)^2)</f>
        <v>39740.491047655749</v>
      </c>
      <c r="I17">
        <f>ABS(H15/(1+I16)^3)</f>
        <v>40349.792981171471</v>
      </c>
      <c r="J17">
        <f>ABS(I15/(1+J16)^4)</f>
        <v>40968.436743044105</v>
      </c>
      <c r="K17">
        <f>ABS(J15/(1+K16)^5)</f>
        <v>41596.565562356365</v>
      </c>
    </row>
    <row r="20" spans="4:12" x14ac:dyDescent="0.3">
      <c r="E20" s="2" t="s">
        <v>65</v>
      </c>
    </row>
    <row r="21" spans="4:12" x14ac:dyDescent="0.3">
      <c r="D21" s="2" t="s">
        <v>21</v>
      </c>
      <c r="E21" s="2"/>
      <c r="F21" s="2">
        <v>2028</v>
      </c>
      <c r="G21" s="2">
        <v>2029</v>
      </c>
      <c r="H21" s="2">
        <v>2030</v>
      </c>
      <c r="I21" s="2">
        <v>2031</v>
      </c>
      <c r="J21" s="2"/>
      <c r="K21" s="2"/>
      <c r="L21" s="2"/>
    </row>
    <row r="22" spans="4:12" x14ac:dyDescent="0.3">
      <c r="D22" s="2">
        <v>1</v>
      </c>
      <c r="E22" s="2" t="s">
        <v>0</v>
      </c>
      <c r="F22">
        <f>K7*(1+$F$28)</f>
        <v>8881.2002749281728</v>
      </c>
      <c r="G22">
        <f>F22*(1+G28)</f>
        <v>9500.0798725888581</v>
      </c>
      <c r="H22">
        <f t="shared" ref="H22:I22" si="6">G22*(1+H28)</f>
        <v>10070.10936541786</v>
      </c>
      <c r="I22">
        <f t="shared" si="6"/>
        <v>10674.315927342932</v>
      </c>
    </row>
    <row r="23" spans="4:12" x14ac:dyDescent="0.3">
      <c r="D23" s="2">
        <v>2</v>
      </c>
      <c r="E23" s="2" t="s">
        <v>2</v>
      </c>
      <c r="F23">
        <f>K8*(1+$F$28)</f>
        <v>100914.45222146563</v>
      </c>
      <c r="G23">
        <f>F23*(1+G28)</f>
        <v>107946.59806387816</v>
      </c>
      <c r="H23">
        <f t="shared" ref="H23:I23" si="7">G23*(1+H28)</f>
        <v>114423.67461188833</v>
      </c>
      <c r="I23">
        <f t="shared" si="7"/>
        <v>121289.09508860164</v>
      </c>
    </row>
    <row r="24" spans="4:12" x14ac:dyDescent="0.3">
      <c r="D24" s="2">
        <v>3</v>
      </c>
      <c r="E24" s="2" t="s">
        <v>23</v>
      </c>
      <c r="F24">
        <f>K9*(1+$F$28)</f>
        <v>5852.2295498345238</v>
      </c>
      <c r="G24">
        <f>F24*(1+G28)</f>
        <v>6260.0376565207407</v>
      </c>
      <c r="H24">
        <f t="shared" ref="H24:I24" si="8">G24*(1+H28)</f>
        <v>6635.6561921851735</v>
      </c>
      <c r="I24">
        <f t="shared" si="8"/>
        <v>7033.7955637162841</v>
      </c>
    </row>
    <row r="25" spans="4:12" x14ac:dyDescent="0.3">
      <c r="D25" s="2">
        <v>4</v>
      </c>
      <c r="E25" s="2" t="s">
        <v>1</v>
      </c>
      <c r="F25">
        <f>K10*(1+$F$28)</f>
        <v>314.9503997441351</v>
      </c>
      <c r="G25">
        <f>F25*(1+G28)</f>
        <v>336.89747566212509</v>
      </c>
      <c r="H25">
        <f t="shared" ref="H25:I25" si="9">G25*(1+H28)</f>
        <v>357.11220014472246</v>
      </c>
      <c r="I25">
        <f t="shared" si="9"/>
        <v>378.53893215340582</v>
      </c>
    </row>
    <row r="26" spans="4:12" x14ac:dyDescent="0.3">
      <c r="D26" s="2">
        <v>5</v>
      </c>
      <c r="E26" s="2" t="s">
        <v>7</v>
      </c>
      <c r="F26" s="19">
        <f>K11-0.8866%</f>
        <v>0.11773399999999999</v>
      </c>
      <c r="G26" s="17">
        <f>F26-0.8866%</f>
        <v>0.10886799999999999</v>
      </c>
      <c r="H26" s="18">
        <f>G26-0.8866%</f>
        <v>0.10000199999999999</v>
      </c>
      <c r="I26" s="11">
        <v>0.1</v>
      </c>
      <c r="J26" s="3"/>
      <c r="K26" s="3"/>
      <c r="L26" s="11"/>
    </row>
    <row r="27" spans="4:12" x14ac:dyDescent="0.3">
      <c r="D27" s="2">
        <v>6</v>
      </c>
      <c r="E27" s="2" t="s">
        <v>24</v>
      </c>
      <c r="F27" s="17">
        <f>K12-4.006%</f>
        <v>0.68013999999999997</v>
      </c>
      <c r="G27" s="18">
        <f>F27-4.006%</f>
        <v>0.64007999999999998</v>
      </c>
      <c r="H27" s="3">
        <f>G27-4.0066%</f>
        <v>0.60001399999999994</v>
      </c>
      <c r="I27" s="11">
        <v>0.6</v>
      </c>
      <c r="J27" s="3"/>
      <c r="K27" s="3"/>
      <c r="L27" s="3"/>
    </row>
    <row r="28" spans="4:12" x14ac:dyDescent="0.3">
      <c r="D28" s="2">
        <v>7</v>
      </c>
      <c r="E28" s="2" t="s">
        <v>25</v>
      </c>
      <c r="F28" s="3">
        <f>F26*F27</f>
        <v>8.0075602759999989E-2</v>
      </c>
      <c r="G28" s="3">
        <f t="shared" ref="G28:I28" si="10">G26*G27</f>
        <v>6.9684229439999995E-2</v>
      </c>
      <c r="H28" s="3">
        <f t="shared" si="10"/>
        <v>6.0002600027999987E-2</v>
      </c>
      <c r="I28" s="3">
        <f t="shared" si="10"/>
        <v>0.06</v>
      </c>
      <c r="J28" s="3"/>
      <c r="K28" s="3"/>
      <c r="L28" s="11"/>
    </row>
    <row r="29" spans="4:12" x14ac:dyDescent="0.3">
      <c r="D29" s="2">
        <v>8</v>
      </c>
      <c r="E29" s="2" t="s">
        <v>3</v>
      </c>
      <c r="F29">
        <v>0.17</v>
      </c>
      <c r="G29">
        <v>0.17</v>
      </c>
      <c r="H29">
        <v>0.17</v>
      </c>
      <c r="I29">
        <v>0.17</v>
      </c>
    </row>
    <row r="30" spans="4:12" x14ac:dyDescent="0.3">
      <c r="D30" s="2">
        <v>9</v>
      </c>
      <c r="E30" s="2" t="s">
        <v>27</v>
      </c>
      <c r="F30">
        <f t="shared" ref="F30:I30" si="11">F22-(F23-F24)*(1-F29)-F25*(1-F29)</f>
        <v>-70281.853374313287</v>
      </c>
      <c r="G30">
        <f t="shared" si="11"/>
        <v>-75179.390170317361</v>
      </c>
      <c r="H30">
        <f t="shared" si="11"/>
        <v>-79690.349049055876</v>
      </c>
      <c r="I30">
        <f t="shared" si="11"/>
        <v>-84471.769991999245</v>
      </c>
    </row>
    <row r="31" spans="4:12" x14ac:dyDescent="0.3">
      <c r="D31" s="2">
        <v>10</v>
      </c>
      <c r="E31" s="2" t="s">
        <v>10</v>
      </c>
      <c r="F31" s="9">
        <v>7.4700000000000003E-2</v>
      </c>
      <c r="G31" s="4">
        <v>0.1328</v>
      </c>
      <c r="H31" s="4">
        <v>0.1328</v>
      </c>
      <c r="I31" s="4">
        <v>0.1328</v>
      </c>
      <c r="J31" s="4"/>
      <c r="K31" s="4"/>
      <c r="L31" s="4"/>
    </row>
    <row r="32" spans="4:12" x14ac:dyDescent="0.3">
      <c r="D32" s="2">
        <v>11</v>
      </c>
      <c r="E32" s="2" t="s">
        <v>31</v>
      </c>
      <c r="F32">
        <f>ABS(K15/1+F31)^1</f>
        <v>65071.160308657425</v>
      </c>
      <c r="G32">
        <f>ABS(F30/1+G31)^1</f>
        <v>70281.72057431328</v>
      </c>
      <c r="H32">
        <f>ABS(G30/(1+H31)^2)</f>
        <v>58585.793684126962</v>
      </c>
      <c r="I32">
        <f>ABS(H30/(1+I31)^3)</f>
        <v>54820.880676093358</v>
      </c>
    </row>
    <row r="34" spans="5:11" x14ac:dyDescent="0.3">
      <c r="E34" s="2" t="s">
        <v>77</v>
      </c>
      <c r="G34">
        <f>SUM(G17:K17)</f>
        <v>201795.67621047224</v>
      </c>
    </row>
    <row r="35" spans="5:11" x14ac:dyDescent="0.3">
      <c r="E35" s="2" t="s">
        <v>78</v>
      </c>
      <c r="G35">
        <f>G32+H32+F32</f>
        <v>193938.67456709765</v>
      </c>
    </row>
    <row r="36" spans="5:11" x14ac:dyDescent="0.3">
      <c r="E36" s="2" t="s">
        <v>17</v>
      </c>
      <c r="G36">
        <f>I30</f>
        <v>-84471.769991999245</v>
      </c>
      <c r="I36" s="25" t="s">
        <v>35</v>
      </c>
      <c r="J36" s="25"/>
      <c r="K36" s="25"/>
    </row>
    <row r="37" spans="5:11" x14ac:dyDescent="0.3">
      <c r="E37" s="2" t="s">
        <v>19</v>
      </c>
      <c r="G37" s="12">
        <f>G36/((1+G16)^8)</f>
        <v>-47469.38479881901</v>
      </c>
    </row>
    <row r="38" spans="5:11" x14ac:dyDescent="0.3">
      <c r="E38" s="2" t="s">
        <v>34</v>
      </c>
      <c r="G38" s="22">
        <f>G37+G35+G34</f>
        <v>348264.9659787509</v>
      </c>
    </row>
  </sheetData>
  <mergeCells count="7">
    <mergeCell ref="I36:K36"/>
    <mergeCell ref="N11:V11"/>
    <mergeCell ref="G2:M3"/>
    <mergeCell ref="N7:V7"/>
    <mergeCell ref="N8:V8"/>
    <mergeCell ref="N9:V9"/>
    <mergeCell ref="N10:V1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2:U36"/>
  <sheetViews>
    <sheetView workbookViewId="0">
      <selection activeCell="K30" sqref="K30"/>
    </sheetView>
  </sheetViews>
  <sheetFormatPr defaultRowHeight="14.4" x14ac:dyDescent="0.3"/>
  <cols>
    <col min="5" max="5" width="25.6640625" customWidth="1"/>
    <col min="6" max="6" width="12" bestFit="1" customWidth="1"/>
    <col min="7" max="7" width="13.6640625" bestFit="1" customWidth="1"/>
    <col min="8" max="8" width="14.109375" bestFit="1" customWidth="1"/>
  </cols>
  <sheetData>
    <row r="2" spans="4:21" x14ac:dyDescent="0.3">
      <c r="F2" s="26" t="s">
        <v>69</v>
      </c>
      <c r="G2" s="25"/>
      <c r="H2" s="25"/>
      <c r="I2" s="25"/>
      <c r="J2" s="25"/>
      <c r="K2" s="25"/>
    </row>
    <row r="3" spans="4:21" x14ac:dyDescent="0.3">
      <c r="F3" s="25"/>
      <c r="G3" s="25"/>
      <c r="H3" s="25"/>
      <c r="I3" s="25"/>
      <c r="J3" s="25"/>
      <c r="K3" s="25"/>
    </row>
    <row r="5" spans="4:21" x14ac:dyDescent="0.3">
      <c r="E5" s="2" t="s">
        <v>68</v>
      </c>
    </row>
    <row r="6" spans="4:21" x14ac:dyDescent="0.3">
      <c r="D6" s="2" t="s">
        <v>22</v>
      </c>
      <c r="F6" s="2">
        <v>2022</v>
      </c>
      <c r="G6" s="2">
        <v>2023</v>
      </c>
      <c r="H6" s="2">
        <v>2024</v>
      </c>
      <c r="I6" s="2">
        <v>2025</v>
      </c>
      <c r="J6" s="2">
        <v>2026</v>
      </c>
      <c r="K6" s="2">
        <v>2027</v>
      </c>
    </row>
    <row r="7" spans="4:21" x14ac:dyDescent="0.3">
      <c r="D7" s="2">
        <v>1</v>
      </c>
      <c r="E7" s="2" t="s">
        <v>4</v>
      </c>
      <c r="F7">
        <v>41.28</v>
      </c>
      <c r="G7">
        <f>F7*(1+G12)</f>
        <v>45.0437997696</v>
      </c>
      <c r="H7">
        <f t="shared" ref="H7:K7" si="0">G7*(1+H12)</f>
        <v>49.150772715208738</v>
      </c>
      <c r="I7">
        <f t="shared" si="0"/>
        <v>53.632208447310589</v>
      </c>
      <c r="J7">
        <f t="shared" si="0"/>
        <v>58.522249479217727</v>
      </c>
      <c r="K7">
        <f t="shared" si="0"/>
        <v>63.85815134710419</v>
      </c>
    </row>
    <row r="8" spans="4:21" x14ac:dyDescent="0.3">
      <c r="D8" s="2">
        <v>2</v>
      </c>
      <c r="E8" s="2" t="s">
        <v>5</v>
      </c>
      <c r="F8" s="3">
        <f>1-F11</f>
        <v>0.27980000000000005</v>
      </c>
      <c r="G8" s="3">
        <f t="shared" ref="G8:K8" si="1">1-G11</f>
        <v>0.27980000000000005</v>
      </c>
      <c r="H8" s="3">
        <f t="shared" si="1"/>
        <v>0.27980000000000005</v>
      </c>
      <c r="I8" s="3">
        <f t="shared" si="1"/>
        <v>0.27980000000000005</v>
      </c>
      <c r="J8" s="3">
        <f t="shared" si="1"/>
        <v>0.27980000000000005</v>
      </c>
      <c r="K8" s="3">
        <f t="shared" si="1"/>
        <v>0.27980000000000005</v>
      </c>
      <c r="N8" s="27" t="s">
        <v>73</v>
      </c>
      <c r="O8" s="27"/>
      <c r="P8" s="27"/>
      <c r="Q8" s="27"/>
      <c r="R8" s="27"/>
      <c r="S8" s="27"/>
      <c r="T8" s="27"/>
      <c r="U8" s="27"/>
    </row>
    <row r="9" spans="4:21" x14ac:dyDescent="0.3">
      <c r="D9" s="2">
        <v>3</v>
      </c>
      <c r="E9" s="2" t="s">
        <v>6</v>
      </c>
      <c r="F9">
        <f>F7*F8</f>
        <v>11.550144000000003</v>
      </c>
      <c r="G9">
        <f t="shared" ref="G9:K9" si="2">G7*G8</f>
        <v>12.603255175534082</v>
      </c>
      <c r="H9">
        <f t="shared" si="2"/>
        <v>13.752386205715407</v>
      </c>
      <c r="I9">
        <f t="shared" si="2"/>
        <v>15.006291923557505</v>
      </c>
      <c r="J9">
        <f t="shared" si="2"/>
        <v>16.374525404285123</v>
      </c>
      <c r="K9">
        <f t="shared" si="2"/>
        <v>17.867510746919756</v>
      </c>
      <c r="N9" s="27" t="s">
        <v>74</v>
      </c>
      <c r="O9" s="27"/>
      <c r="P9" s="27"/>
      <c r="Q9" s="27"/>
      <c r="R9" s="27"/>
      <c r="S9" s="27"/>
      <c r="T9" s="27"/>
      <c r="U9" s="27"/>
    </row>
    <row r="10" spans="4:21" x14ac:dyDescent="0.3">
      <c r="D10" s="2">
        <v>4</v>
      </c>
      <c r="E10" s="2" t="s">
        <v>7</v>
      </c>
      <c r="F10" s="3">
        <v>0.12659999999999999</v>
      </c>
      <c r="G10" s="3">
        <v>0.12659999999999999</v>
      </c>
      <c r="H10" s="3">
        <v>0.12659999999999999</v>
      </c>
      <c r="I10" s="3">
        <v>0.12659999999999999</v>
      </c>
      <c r="J10" s="3">
        <v>0.12659999999999999</v>
      </c>
      <c r="K10" s="3">
        <v>0.12659999999999999</v>
      </c>
      <c r="N10" s="27" t="s">
        <v>75</v>
      </c>
      <c r="O10" s="27"/>
      <c r="P10" s="27"/>
      <c r="Q10" s="27"/>
      <c r="R10" s="27"/>
      <c r="S10" s="27"/>
      <c r="T10" s="27"/>
      <c r="U10" s="27"/>
    </row>
    <row r="11" spans="4:21" x14ac:dyDescent="0.3">
      <c r="D11" s="2">
        <v>5</v>
      </c>
      <c r="E11" s="2" t="s">
        <v>8</v>
      </c>
      <c r="F11" s="8">
        <v>0.72019999999999995</v>
      </c>
      <c r="G11" s="8">
        <v>0.72019999999999995</v>
      </c>
      <c r="H11" s="8">
        <v>0.72019999999999995</v>
      </c>
      <c r="I11" s="8">
        <v>0.72019999999999995</v>
      </c>
      <c r="J11" s="8">
        <v>0.72019999999999995</v>
      </c>
      <c r="K11" s="8">
        <v>0.72019999999999995</v>
      </c>
    </row>
    <row r="12" spans="4:21" x14ac:dyDescent="0.3">
      <c r="D12" s="2">
        <v>6</v>
      </c>
      <c r="E12" s="2" t="s">
        <v>9</v>
      </c>
      <c r="F12" s="9">
        <f>F11*F10</f>
        <v>9.1177319999999992E-2</v>
      </c>
      <c r="G12" s="9">
        <f t="shared" ref="G12:K12" si="3">G11*G10</f>
        <v>9.1177319999999992E-2</v>
      </c>
      <c r="H12" s="9">
        <f t="shared" si="3"/>
        <v>9.1177319999999992E-2</v>
      </c>
      <c r="I12" s="9">
        <f t="shared" si="3"/>
        <v>9.1177319999999992E-2</v>
      </c>
      <c r="J12" s="9">
        <f t="shared" si="3"/>
        <v>9.1177319999999992E-2</v>
      </c>
      <c r="K12" s="9">
        <f t="shared" si="3"/>
        <v>9.1177319999999992E-2</v>
      </c>
    </row>
    <row r="13" spans="4:21" x14ac:dyDescent="0.3">
      <c r="D13" s="2">
        <v>7</v>
      </c>
      <c r="E13" s="2" t="s">
        <v>10</v>
      </c>
      <c r="F13" s="4"/>
      <c r="G13" s="9">
        <v>7.4700000000000003E-2</v>
      </c>
      <c r="H13" s="9">
        <v>7.4700000000000003E-2</v>
      </c>
      <c r="I13" s="9">
        <v>7.4700000000000003E-2</v>
      </c>
      <c r="J13" s="9">
        <v>7.4700000000000003E-2</v>
      </c>
      <c r="K13" s="9">
        <v>7.4700000000000003E-2</v>
      </c>
    </row>
    <row r="14" spans="4:21" x14ac:dyDescent="0.3">
      <c r="D14" s="2">
        <v>8</v>
      </c>
      <c r="E14" s="2" t="s">
        <v>15</v>
      </c>
      <c r="G14" s="5">
        <f>1+G13</f>
        <v>1.0747</v>
      </c>
      <c r="H14" s="5">
        <f>(1+H13)^2</f>
        <v>1.15498009</v>
      </c>
      <c r="I14" s="5">
        <f>(1+I13)^3</f>
        <v>1.2412571027229999</v>
      </c>
      <c r="J14" s="5">
        <f>(1+J13)^4</f>
        <v>1.333979008296408</v>
      </c>
      <c r="K14" s="5">
        <f>(1+K13)^5</f>
        <v>1.4336272402161496</v>
      </c>
    </row>
    <row r="15" spans="4:21" x14ac:dyDescent="0.3">
      <c r="D15" s="2">
        <v>9</v>
      </c>
      <c r="E15" s="2" t="s">
        <v>14</v>
      </c>
      <c r="G15">
        <f>G9/G14</f>
        <v>11.727231018455459</v>
      </c>
      <c r="H15">
        <f t="shared" ref="H15:K15" si="4">H9/H14</f>
        <v>11.907033138307524</v>
      </c>
      <c r="I15">
        <f t="shared" si="4"/>
        <v>12.089591987540331</v>
      </c>
      <c r="J15">
        <f t="shared" si="4"/>
        <v>12.274949832379018</v>
      </c>
      <c r="K15">
        <f t="shared" si="4"/>
        <v>12.463149587075264</v>
      </c>
    </row>
    <row r="17" spans="4:9" x14ac:dyDescent="0.3">
      <c r="E17" s="2" t="s">
        <v>16</v>
      </c>
      <c r="H17">
        <f>SUM(G15:K15)</f>
        <v>60.461955563757598</v>
      </c>
    </row>
    <row r="19" spans="4:9" x14ac:dyDescent="0.3">
      <c r="E19" s="2" t="s">
        <v>71</v>
      </c>
    </row>
    <row r="21" spans="4:9" x14ac:dyDescent="0.3">
      <c r="D21" s="2" t="s">
        <v>22</v>
      </c>
      <c r="F21" s="2">
        <v>2028</v>
      </c>
      <c r="G21" s="2">
        <v>2029</v>
      </c>
      <c r="H21" s="2">
        <v>2030</v>
      </c>
      <c r="I21" s="2">
        <v>2031</v>
      </c>
    </row>
    <row r="22" spans="4:9" x14ac:dyDescent="0.3">
      <c r="D22" s="2">
        <v>1</v>
      </c>
      <c r="E22" s="2" t="s">
        <v>4</v>
      </c>
      <c r="F22">
        <f>K7*(1+F27)</f>
        <v>69.016888680137086</v>
      </c>
      <c r="G22">
        <f>F22*(1+G27)</f>
        <v>73.875078576624986</v>
      </c>
      <c r="H22">
        <f t="shared" ref="H22:I22" si="5">G22*(1+H27)</f>
        <v>78.307459181090479</v>
      </c>
      <c r="I22">
        <f t="shared" si="5"/>
        <v>83.005906731955918</v>
      </c>
    </row>
    <row r="23" spans="4:9" x14ac:dyDescent="0.3">
      <c r="D23" s="2">
        <v>2</v>
      </c>
      <c r="E23" s="2" t="s">
        <v>5</v>
      </c>
      <c r="F23" s="17">
        <f>1-F26</f>
        <v>0.31986000000000003</v>
      </c>
      <c r="G23" s="17">
        <f t="shared" ref="G23:I23" si="6">1-G26</f>
        <v>0.35992000000000002</v>
      </c>
      <c r="H23" s="17">
        <f t="shared" si="6"/>
        <v>0.39998600000000006</v>
      </c>
      <c r="I23" s="17">
        <f t="shared" si="6"/>
        <v>0.4</v>
      </c>
    </row>
    <row r="24" spans="4:9" x14ac:dyDescent="0.3">
      <c r="D24" s="2">
        <v>3</v>
      </c>
      <c r="E24" s="2" t="s">
        <v>6</v>
      </c>
      <c r="F24">
        <f>F22*F23</f>
        <v>22.075742013228652</v>
      </c>
      <c r="G24">
        <f t="shared" ref="G24:I24" si="7">G22*G23</f>
        <v>26.589118281298866</v>
      </c>
      <c r="H24">
        <f t="shared" si="7"/>
        <v>31.321887368007662</v>
      </c>
      <c r="I24">
        <f t="shared" si="7"/>
        <v>33.202362692782366</v>
      </c>
    </row>
    <row r="25" spans="4:9" x14ac:dyDescent="0.3">
      <c r="D25" s="2">
        <v>4</v>
      </c>
      <c r="E25" s="2" t="s">
        <v>7</v>
      </c>
      <c r="F25" s="19">
        <f>K10-0.8866%</f>
        <v>0.11773399999999999</v>
      </c>
      <c r="G25" s="17">
        <f>F25-0.8866%</f>
        <v>0.10886799999999999</v>
      </c>
      <c r="H25" s="18">
        <f>G25-0.8866%</f>
        <v>0.10000199999999999</v>
      </c>
      <c r="I25" s="11">
        <v>0.1</v>
      </c>
    </row>
    <row r="26" spans="4:9" x14ac:dyDescent="0.3">
      <c r="D26" s="2">
        <v>5</v>
      </c>
      <c r="E26" s="2" t="s">
        <v>8</v>
      </c>
      <c r="F26" s="17">
        <f>K11-4.006%</f>
        <v>0.68013999999999997</v>
      </c>
      <c r="G26" s="18">
        <f>F26-4.006%</f>
        <v>0.64007999999999998</v>
      </c>
      <c r="H26" s="3">
        <f>G26-4.0066%</f>
        <v>0.60001399999999994</v>
      </c>
      <c r="I26" s="11">
        <v>0.6</v>
      </c>
    </row>
    <row r="27" spans="4:9" x14ac:dyDescent="0.3">
      <c r="D27" s="2">
        <v>6</v>
      </c>
      <c r="E27" s="2" t="s">
        <v>9</v>
      </c>
      <c r="F27" s="20">
        <f>K12-1.0393%</f>
        <v>8.0784319999999993E-2</v>
      </c>
      <c r="G27" s="20">
        <f>F27-1.0393%</f>
        <v>7.0391319999999993E-2</v>
      </c>
      <c r="H27" s="3">
        <f>G27-1.0393%</f>
        <v>5.9998319999999994E-2</v>
      </c>
      <c r="I27" s="11">
        <v>0.06</v>
      </c>
    </row>
    <row r="28" spans="4:9" x14ac:dyDescent="0.3">
      <c r="D28" s="2">
        <v>7</v>
      </c>
      <c r="E28" s="2" t="s">
        <v>10</v>
      </c>
      <c r="F28" s="9">
        <v>7.4700000000000003E-2</v>
      </c>
      <c r="G28" s="9">
        <v>7.4700000000000003E-2</v>
      </c>
      <c r="H28" s="9">
        <v>7.4700000000000003E-2</v>
      </c>
      <c r="I28" s="9">
        <v>7.4700000000000003E-2</v>
      </c>
    </row>
    <row r="29" spans="4:9" x14ac:dyDescent="0.3">
      <c r="D29" s="2">
        <v>8</v>
      </c>
      <c r="E29" s="2" t="s">
        <v>15</v>
      </c>
      <c r="F29">
        <f>K14*1.0747</f>
        <v>1.5407191950602961</v>
      </c>
      <c r="G29">
        <f>F29*1.0747</f>
        <v>1.6558109189313002</v>
      </c>
      <c r="H29">
        <f>G29*1.0747</f>
        <v>1.7794999945754684</v>
      </c>
    </row>
    <row r="30" spans="4:9" x14ac:dyDescent="0.3">
      <c r="D30" s="2">
        <v>9</v>
      </c>
      <c r="E30" s="2" t="s">
        <v>14</v>
      </c>
      <c r="F30">
        <f>F24/F29</f>
        <v>14.328205998864522</v>
      </c>
      <c r="G30">
        <f t="shared" ref="G30:H30" si="8">G24/G29</f>
        <v>16.058064346175538</v>
      </c>
      <c r="H30">
        <f t="shared" si="8"/>
        <v>17.60151023517146</v>
      </c>
    </row>
    <row r="32" spans="4:9" x14ac:dyDescent="0.3">
      <c r="E32" s="2" t="s">
        <v>16</v>
      </c>
      <c r="G32">
        <f>SUM(F30:H30)</f>
        <v>47.98778058021152</v>
      </c>
    </row>
    <row r="33" spans="5:7" x14ac:dyDescent="0.3">
      <c r="E33" s="2" t="s">
        <v>17</v>
      </c>
      <c r="G33">
        <f>I24/(I28-I27)</f>
        <v>2258.6641287607044</v>
      </c>
    </row>
    <row r="34" spans="5:7" x14ac:dyDescent="0.3">
      <c r="E34" s="2" t="s">
        <v>19</v>
      </c>
      <c r="G34">
        <f>G33/H29</f>
        <v>1269.2689719842058</v>
      </c>
    </row>
    <row r="36" spans="5:7" x14ac:dyDescent="0.3">
      <c r="E36" s="2" t="s">
        <v>67</v>
      </c>
      <c r="G36" s="6">
        <f>G34+H17+G32</f>
        <v>1377.718708128175</v>
      </c>
    </row>
  </sheetData>
  <mergeCells count="4">
    <mergeCell ref="F2:K3"/>
    <mergeCell ref="N8:U8"/>
    <mergeCell ref="N9:U9"/>
    <mergeCell ref="N10:U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Maruti 2-STAGE FCFE</vt:lpstr>
      <vt:lpstr>Maruti 2-stage DDM</vt:lpstr>
      <vt:lpstr>Maruti 3-stage FCFE</vt:lpstr>
      <vt:lpstr>Maruti 3-Stage DDM</vt:lpstr>
      <vt:lpstr>Maruti FCFF</vt:lpstr>
      <vt:lpstr>Mahindra FCFE stage 2</vt:lpstr>
      <vt:lpstr>Mahindra 2-stage DDM</vt:lpstr>
      <vt:lpstr>Mahindra FCFE stage 3</vt:lpstr>
      <vt:lpstr>Mahindra 3-stage DDM</vt:lpstr>
      <vt:lpstr>Mahindra FCFF</vt:lpstr>
      <vt:lpstr>TATA MOTORS FCFE stage 2</vt:lpstr>
      <vt:lpstr>TATA MOTORS FCFE stage 3</vt:lpstr>
      <vt:lpstr>TATA MOTORS FCFF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vipul singh</dc:creator>
  <cp:lastModifiedBy>vipul singh</cp:lastModifiedBy>
  <dcterms:created xsi:type="dcterms:W3CDTF">2022-12-18T09:58:38Z</dcterms:created>
  <dcterms:modified xsi:type="dcterms:W3CDTF">2022-12-25T17:11:54Z</dcterms:modified>
</cp:coreProperties>
</file>