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0B85D030-863C-4918-84DD-57FDCF607B1E}" xr6:coauthVersionLast="47" xr6:coauthVersionMax="47" xr10:uidLastSave="{00000000-0000-0000-0000-000000000000}"/>
  <bookViews>
    <workbookView xWindow="-120" yWindow="-120" windowWidth="16440" windowHeight="28440" tabRatio="458" activeTab="2" xr2:uid="{00000000-000D-0000-FFFF-FFFF00000000}"/>
  </bookViews>
  <sheets>
    <sheet name="Email" sheetId="73" r:id="rId1"/>
    <sheet name="EXT0070122021 OG" sheetId="75" state="hidden" r:id="rId2"/>
    <sheet name="Summary" sheetId="78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78" l="1"/>
  <c r="G36" i="78"/>
  <c r="F36" i="78"/>
  <c r="E36" i="78"/>
  <c r="D36" i="78"/>
  <c r="N36" i="78" s="1"/>
  <c r="C36" i="78"/>
  <c r="H35" i="78"/>
  <c r="G35" i="78"/>
  <c r="F35" i="78"/>
  <c r="E35" i="78"/>
  <c r="D35" i="78"/>
  <c r="C35" i="78"/>
  <c r="H34" i="78"/>
  <c r="G34" i="78"/>
  <c r="F34" i="78"/>
  <c r="E34" i="78"/>
  <c r="D34" i="78"/>
  <c r="C34" i="78"/>
  <c r="H33" i="78"/>
  <c r="G33" i="78"/>
  <c r="F33" i="78"/>
  <c r="E33" i="78"/>
  <c r="D33" i="78"/>
  <c r="C33" i="78"/>
  <c r="H28" i="78"/>
  <c r="H44" i="78" s="1"/>
  <c r="G28" i="78"/>
  <c r="F28" i="78"/>
  <c r="F44" i="78" s="1"/>
  <c r="E28" i="78"/>
  <c r="E44" i="78" s="1"/>
  <c r="D28" i="78"/>
  <c r="D44" i="78" s="1"/>
  <c r="C28" i="78"/>
  <c r="H27" i="78"/>
  <c r="G27" i="78"/>
  <c r="F27" i="78"/>
  <c r="F43" i="78" s="1"/>
  <c r="E27" i="78"/>
  <c r="D27" i="78"/>
  <c r="D43" i="78" s="1"/>
  <c r="C27" i="78"/>
  <c r="C43" i="78" s="1"/>
  <c r="H26" i="78"/>
  <c r="H42" i="78" s="1"/>
  <c r="G26" i="78"/>
  <c r="F26" i="78"/>
  <c r="E26" i="78"/>
  <c r="D26" i="78"/>
  <c r="D42" i="78" s="1"/>
  <c r="C26" i="78"/>
  <c r="H25" i="78"/>
  <c r="H41" i="78" s="1"/>
  <c r="G25" i="78"/>
  <c r="G41" i="78" s="1"/>
  <c r="F25" i="78"/>
  <c r="F41" i="78" s="1"/>
  <c r="E25" i="78"/>
  <c r="D25" i="78"/>
  <c r="C25" i="78"/>
  <c r="J136" i="76"/>
  <c r="J135" i="76"/>
  <c r="J134" i="76"/>
  <c r="J133" i="76"/>
  <c r="I135" i="76"/>
  <c r="I134" i="76"/>
  <c r="I133" i="76"/>
  <c r="I136" i="76" s="1"/>
  <c r="J132" i="76"/>
  <c r="I132" i="76"/>
  <c r="D132" i="76"/>
  <c r="D136" i="76" s="1"/>
  <c r="D135" i="76"/>
  <c r="D134" i="76"/>
  <c r="D133" i="76"/>
  <c r="L56" i="76"/>
  <c r="L55" i="76"/>
  <c r="L54" i="76"/>
  <c r="L77" i="76"/>
  <c r="L76" i="76"/>
  <c r="L75" i="76"/>
  <c r="L87" i="76"/>
  <c r="L86" i="76"/>
  <c r="L85" i="76"/>
  <c r="L84" i="76"/>
  <c r="L102" i="76"/>
  <c r="L101" i="76"/>
  <c r="L100" i="76"/>
  <c r="L99" i="76"/>
  <c r="I129" i="76"/>
  <c r="I128" i="76"/>
  <c r="I127" i="76"/>
  <c r="I126" i="76"/>
  <c r="I125" i="76"/>
  <c r="H126" i="76"/>
  <c r="H127" i="76"/>
  <c r="H128" i="76"/>
  <c r="H129" i="76"/>
  <c r="H125" i="76"/>
  <c r="C129" i="76"/>
  <c r="D129" i="76"/>
  <c r="E129" i="76"/>
  <c r="F129" i="76"/>
  <c r="F128" i="76"/>
  <c r="E128" i="76"/>
  <c r="D128" i="76"/>
  <c r="C128" i="76"/>
  <c r="F127" i="76"/>
  <c r="E127" i="76"/>
  <c r="D127" i="76"/>
  <c r="C127" i="76"/>
  <c r="F126" i="76"/>
  <c r="E126" i="76"/>
  <c r="D126" i="76"/>
  <c r="C126" i="76"/>
  <c r="F125" i="76"/>
  <c r="E125" i="76"/>
  <c r="D125" i="76"/>
  <c r="C125" i="76"/>
  <c r="C117" i="76"/>
  <c r="C121" i="76" s="1"/>
  <c r="K121" i="76"/>
  <c r="K120" i="76"/>
  <c r="K119" i="76"/>
  <c r="K118" i="76"/>
  <c r="K117" i="76"/>
  <c r="I121" i="76"/>
  <c r="H121" i="76"/>
  <c r="F121" i="76"/>
  <c r="E121" i="76"/>
  <c r="D121" i="76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O38" i="76"/>
  <c r="P38" i="76" s="1"/>
  <c r="L37" i="76"/>
  <c r="M37" i="76"/>
  <c r="L38" i="76"/>
  <c r="M38" i="76"/>
  <c r="L39" i="76"/>
  <c r="M39" i="76"/>
  <c r="L40" i="76"/>
  <c r="M40" i="76"/>
  <c r="M36" i="76"/>
  <c r="L36" i="76"/>
  <c r="J40" i="76"/>
  <c r="O40" i="76" s="1"/>
  <c r="I40" i="76"/>
  <c r="J39" i="76"/>
  <c r="O39" i="76" s="1"/>
  <c r="I39" i="76"/>
  <c r="J38" i="76"/>
  <c r="I38" i="76"/>
  <c r="J37" i="76"/>
  <c r="O37" i="76" s="1"/>
  <c r="I37" i="76"/>
  <c r="I36" i="76"/>
  <c r="J36" i="76"/>
  <c r="O36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K34" i="78" l="1"/>
  <c r="K33" i="78"/>
  <c r="K28" i="78"/>
  <c r="K26" i="78"/>
  <c r="J28" i="78"/>
  <c r="K36" i="78"/>
  <c r="K27" i="78"/>
  <c r="N34" i="78"/>
  <c r="K35" i="78"/>
  <c r="J35" i="78"/>
  <c r="J25" i="78"/>
  <c r="J36" i="78"/>
  <c r="K25" i="78"/>
  <c r="J26" i="78"/>
  <c r="J33" i="78"/>
  <c r="J27" i="78"/>
  <c r="J34" i="78"/>
  <c r="C42" i="78"/>
  <c r="E43" i="78"/>
  <c r="E41" i="78"/>
  <c r="Q35" i="78"/>
  <c r="N33" i="78"/>
  <c r="N35" i="78"/>
  <c r="C41" i="78"/>
  <c r="K41" i="78" s="1"/>
  <c r="E42" i="78"/>
  <c r="G43" i="78"/>
  <c r="M28" i="78"/>
  <c r="G44" i="78"/>
  <c r="D29" i="78"/>
  <c r="B7" i="78" s="1"/>
  <c r="F42" i="78"/>
  <c r="N27" i="78"/>
  <c r="N42" i="78"/>
  <c r="N44" i="78"/>
  <c r="Q26" i="78"/>
  <c r="Q28" i="78"/>
  <c r="D41" i="78"/>
  <c r="N41" i="78" s="1"/>
  <c r="H43" i="78"/>
  <c r="N43" i="78" s="1"/>
  <c r="G42" i="78"/>
  <c r="C44" i="78"/>
  <c r="N28" i="78"/>
  <c r="C29" i="78"/>
  <c r="Q27" i="78"/>
  <c r="M27" i="78"/>
  <c r="M41" i="78"/>
  <c r="M43" i="78"/>
  <c r="M44" i="78"/>
  <c r="M42" i="78"/>
  <c r="F29" i="78"/>
  <c r="N26" i="78"/>
  <c r="Q25" i="78"/>
  <c r="E29" i="78"/>
  <c r="M25" i="78"/>
  <c r="D37" i="78"/>
  <c r="F7" i="78" s="1"/>
  <c r="P28" i="78"/>
  <c r="F37" i="78"/>
  <c r="P25" i="78"/>
  <c r="P26" i="78"/>
  <c r="P27" i="78"/>
  <c r="N25" i="78"/>
  <c r="G29" i="78"/>
  <c r="H29" i="78"/>
  <c r="E37" i="78"/>
  <c r="Q34" i="78"/>
  <c r="P36" i="78"/>
  <c r="M26" i="78"/>
  <c r="Q36" i="78"/>
  <c r="C37" i="78"/>
  <c r="Q33" i="78"/>
  <c r="P34" i="78"/>
  <c r="M35" i="78"/>
  <c r="M33" i="78"/>
  <c r="P35" i="78"/>
  <c r="M36" i="78"/>
  <c r="G37" i="78"/>
  <c r="H37" i="78"/>
  <c r="F5" i="78" s="1"/>
  <c r="P33" i="78"/>
  <c r="M34" i="78"/>
  <c r="Q39" i="76"/>
  <c r="P39" i="76"/>
  <c r="Q40" i="76"/>
  <c r="R40" i="76" s="1"/>
  <c r="P40" i="76"/>
  <c r="P36" i="76"/>
  <c r="Q36" i="76"/>
  <c r="R36" i="76" s="1"/>
  <c r="P37" i="76"/>
  <c r="Q37" i="76"/>
  <c r="R37" i="76" s="1"/>
  <c r="Q38" i="76"/>
  <c r="H626" i="72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Q42" i="78" l="1"/>
  <c r="J42" i="78"/>
  <c r="K42" i="78"/>
  <c r="K29" i="78"/>
  <c r="J29" i="78"/>
  <c r="K44" i="78"/>
  <c r="J44" i="78"/>
  <c r="K37" i="78"/>
  <c r="J37" i="78"/>
  <c r="K43" i="78"/>
  <c r="J43" i="78"/>
  <c r="J41" i="78"/>
  <c r="G45" i="78"/>
  <c r="C45" i="78"/>
  <c r="P43" i="78"/>
  <c r="P41" i="78"/>
  <c r="Q43" i="78"/>
  <c r="P44" i="78"/>
  <c r="G7" i="78"/>
  <c r="F45" i="78"/>
  <c r="Q41" i="78"/>
  <c r="H45" i="78"/>
  <c r="Q44" i="78"/>
  <c r="E45" i="78"/>
  <c r="P42" i="78"/>
  <c r="D45" i="78"/>
  <c r="B5" i="78"/>
  <c r="C7" i="78" s="1"/>
  <c r="N29" i="78"/>
  <c r="M29" i="78"/>
  <c r="P29" i="78"/>
  <c r="Q29" i="78"/>
  <c r="N37" i="78"/>
  <c r="M37" i="78"/>
  <c r="Q37" i="78"/>
  <c r="P37" i="78"/>
  <c r="R38" i="76"/>
  <c r="R39" i="76"/>
  <c r="L2" i="71"/>
  <c r="L3" i="71"/>
  <c r="L4" i="71"/>
  <c r="L5" i="71"/>
  <c r="K45" i="78" l="1"/>
  <c r="J45" i="78"/>
  <c r="N45" i="78"/>
  <c r="M45" i="78"/>
  <c r="P45" i="78"/>
  <c r="Q45" i="78"/>
  <c r="L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<sst xmlns="http://schemas.openxmlformats.org/spreadsheetml/2006/main" count="3306" uniqueCount="964">
  <si>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</si>
  <si>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</si>
  <si>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</si>
  <si>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</si>
  <si>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</si>
  <si>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</si>
  <si>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</si>
  <si>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</si>
  <si>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</si>
  <si>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</si>
  <si>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</si>
  <si>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</si>
  <si>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</si>
  <si>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</si>
  <si>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</si>
  <si>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</si>
  <si>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</si>
  <si>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</si>
  <si>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</si>
  <si>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</si>
  <si>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</si>
  <si>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</si>
  <si>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</si>
  <si>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</si>
  <si>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</si>
  <si>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</si>
  <si>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</si>
  <si>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</si>
  <si>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</si>
  <si>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</si>
  <si>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</si>
  <si>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</si>
  <si>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</si>
  <si>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</si>
  <si>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</si>
  <si>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</si>
  <si>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</si>
  <si>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</si>
  <si>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</si>
  <si>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</si>
  <si>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</si>
  <si>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</si>
  <si>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</si>
  <si>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</si>
  <si>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</si>
  <si>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</si>
  <si>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</si>
  <si>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</si>
  <si>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</si>
  <si>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</si>
  <si>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</si>
  <si>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</si>
  <si>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</si>
  <si>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</si>
  <si>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</si>
  <si>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</si>
  <si>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</si>
  <si>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</si>
  <si>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</si>
  <si>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</si>
  <si>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</si>
  <si>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</si>
  <si>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</si>
  <si>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</si>
  <si>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</si>
  <si>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</si>
  <si>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</si>
  <si>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</si>
  <si>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</si>
  <si>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</si>
  <si>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</si>
  <si>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</si>
  <si>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</si>
  <si>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</si>
  <si>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</si>
  <si>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</si>
  <si>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</si>
  <si>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</si>
  <si>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</si>
  <si>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</si>
  <si>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</si>
  <si>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</si>
  <si>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</si>
  <si>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</si>
  <si>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</si>
  <si>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</si>
  <si>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</si>
  <si>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</si>
  <si>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</si>
  <si>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</si>
  <si>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</si>
  <si>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</si>
  <si>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</si>
  <si>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</si>
  <si>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</si>
  <si>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</si>
  <si>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</si>
  <si>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</si>
  <si>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</si>
  <si>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</si>
  <si>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</si>
  <si>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</si>
  <si>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</si>
  <si>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</si>
  <si>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</si>
  <si>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</si>
  <si>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</si>
  <si>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</si>
  <si>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</si>
  <si>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</si>
  <si>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</si>
  <si>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</si>
  <si>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</si>
  <si>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</si>
  <si>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</si>
  <si>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</si>
  <si>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</si>
  <si>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</si>
  <si>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</si>
  <si>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</si>
  <si>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</si>
  <si>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</si>
  <si>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</si>
  <si>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</si>
  <si>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</si>
  <si>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</si>
  <si>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</si>
  <si>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</si>
  <si>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</si>
  <si>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</si>
  <si>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</si>
  <si>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</si>
  <si>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</si>
  <si>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</si>
  <si>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</si>
  <si>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</si>
  <si>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</si>
  <si>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</si>
  <si>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</si>
  <si>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</si>
  <si>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</si>
  <si>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</si>
  <si>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</si>
  <si>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</si>
  <si>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</si>
  <si>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</si>
  <si>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</si>
  <si>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</si>
  <si>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</si>
  <si>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</si>
  <si>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</si>
  <si>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</si>
  <si>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</si>
  <si>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</si>
  <si>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</si>
  <si>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</si>
  <si>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</si>
  <si>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</si>
  <si>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</si>
  <si>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</si>
  <si>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</si>
  <si>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</si>
  <si>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</si>
  <si>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</si>
  <si>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</si>
  <si>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</si>
  <si>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</si>
  <si>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</si>
  <si>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</si>
  <si>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</si>
  <si>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</si>
  <si>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</si>
  <si>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</si>
  <si>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</si>
  <si>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</si>
  <si>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</si>
  <si>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</si>
  <si>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</si>
  <si>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</si>
  <si>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</si>
  <si>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</si>
  <si>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</si>
  <si>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</si>
  <si>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</si>
  <si>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</si>
  <si>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</si>
  <si>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</si>
  <si>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</si>
  <si>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</si>
  <si>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</si>
  <si>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</si>
  <si>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</si>
  <si>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</si>
  <si>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</si>
  <si>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</si>
  <si>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</si>
  <si>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</si>
  <si>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</si>
  <si>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</si>
  <si>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</si>
  <si>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</si>
  <si>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</si>
  <si>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</si>
  <si>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</si>
  <si>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</si>
  <si>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</si>
  <si>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</si>
  <si>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</si>
  <si>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</si>
  <si>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</si>
  <si>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</si>
  <si>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</si>
  <si>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</si>
  <si>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</si>
  <si>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</si>
  <si>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</si>
  <si>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</si>
  <si>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</si>
  <si>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</si>
  <si>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</si>
  <si>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</si>
  <si>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</si>
  <si>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</si>
  <si>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</si>
  <si>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</si>
  <si>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</si>
  <si>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</si>
  <si>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</si>
  <si>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</si>
  <si>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</si>
  <si>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</si>
  <si>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</si>
  <si>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</si>
  <si>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</si>
  <si>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</si>
  <si>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</si>
  <si>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</si>
  <si>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</si>
  <si>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</si>
  <si>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</si>
  <si>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</si>
  <si>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</si>
  <si>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</si>
  <si>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</si>
  <si>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</si>
  <si>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</si>
  <si>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</si>
  <si>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</si>
  <si>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</si>
  <si>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</si>
  <si>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</si>
  <si>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</si>
  <si>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</si>
  <si>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</si>
  <si>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</si>
  <si>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</si>
  <si>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</si>
  <si>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</si>
  <si>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</si>
  <si>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</si>
  <si>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</si>
  <si>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</si>
  <si>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</si>
  <si>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</si>
  <si>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</si>
  <si>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</si>
  <si>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</si>
  <si>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</si>
  <si>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</si>
  <si>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</si>
  <si>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</si>
  <si>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</si>
  <si>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</si>
  <si>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</si>
  <si>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</si>
  <si>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</si>
  <si>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</si>
  <si>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</si>
  <si>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</si>
  <si>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</si>
  <si>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</si>
  <si>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</si>
  <si>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</si>
  <si>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</si>
  <si>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</si>
  <si>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</si>
  <si>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</si>
  <si>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</si>
  <si>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</si>
  <si>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</si>
  <si>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</si>
  <si>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</si>
  <si>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</si>
  <si>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</si>
  <si>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</si>
  <si>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</si>
  <si>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</si>
  <si>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</si>
  <si>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</si>
  <si>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</si>
  <si>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</si>
  <si>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</si>
  <si>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</si>
  <si>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</si>
  <si>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</si>
  <si>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</si>
  <si>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</si>
  <si>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</si>
  <si>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</si>
  <si>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</si>
  <si>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</si>
  <si>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</si>
  <si>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</si>
  <si>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</si>
  <si>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</si>
  <si>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</si>
  <si>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</si>
  <si>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</si>
  <si>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</si>
  <si>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</si>
  <si>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</si>
  <si>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</si>
  <si>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</si>
  <si>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</si>
  <si>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</si>
  <si>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</si>
  <si>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</si>
  <si>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</si>
  <si>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</si>
  <si>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</si>
  <si>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</si>
  <si>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</si>
  <si>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</si>
  <si>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</si>
  <si>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</si>
  <si>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</si>
  <si>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</si>
  <si>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</si>
  <si>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</si>
  <si>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</si>
  <si>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</si>
  <si>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</si>
  <si>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</si>
  <si>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</si>
  <si>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</si>
  <si>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</si>
  <si>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</si>
  <si>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</si>
  <si>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</si>
  <si>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</si>
  <si>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</si>
  <si>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</si>
  <si>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</si>
  <si>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</si>
  <si>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</si>
  <si>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</si>
  <si>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</si>
  <si>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</si>
  <si>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</si>
  <si>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</si>
  <si>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</si>
  <si>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</si>
  <si>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</si>
  <si>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</si>
  <si>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</si>
  <si>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</si>
  <si>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</si>
  <si>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</si>
  <si>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</si>
  <si>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</si>
  <si>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</si>
  <si>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</si>
  <si>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</si>
  <si>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</si>
  <si>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</si>
  <si>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</si>
  <si>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</si>
  <si>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</si>
  <si>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</si>
  <si>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</si>
  <si>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</si>
  <si>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</si>
  <si>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</si>
  <si>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</si>
  <si>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</si>
  <si>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</si>
  <si>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</si>
  <si>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</si>
  <si>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</si>
  <si>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</si>
  <si>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</si>
  <si>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</si>
  <si>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</si>
  <si>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</si>
  <si>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</si>
  <si>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</si>
  <si>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</si>
  <si>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</si>
  <si>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</si>
  <si>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</si>
  <si>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</si>
  <si>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</si>
  <si>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</si>
  <si>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</si>
  <si>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</si>
  <si>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</si>
  <si>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</si>
  <si>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</si>
  <si>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</si>
  <si>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</si>
  <si>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</si>
  <si>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</si>
  <si>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</si>
  <si>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</si>
  <si>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</si>
  <si>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</si>
  <si>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</si>
  <si>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</si>
  <si>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</si>
  <si>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</si>
  <si>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</si>
  <si>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</si>
  <si>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</si>
  <si>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</si>
  <si>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</si>
  <si>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</si>
  <si>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</si>
  <si>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</si>
  <si>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</si>
  <si>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</si>
  <si>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</si>
  <si>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</si>
  <si>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</si>
  <si>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</si>
  <si>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</si>
  <si>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</si>
  <si>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</si>
  <si>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</si>
  <si>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</si>
  <si>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</si>
  <si>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</si>
  <si>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</si>
  <si>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</si>
  <si>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</si>
  <si>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</si>
  <si>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</si>
  <si>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</si>
  <si>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</si>
  <si>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</si>
  <si>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</si>
  <si>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</si>
  <si>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</si>
  <si>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</si>
  <si>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</si>
  <si>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</si>
  <si>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</si>
  <si>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</si>
  <si>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</si>
  <si>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</si>
  <si>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</si>
  <si>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</si>
  <si>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</si>
  <si>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</si>
  <si>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</si>
  <si>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</si>
  <si>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</si>
  <si>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</si>
  <si>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</si>
  <si>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</si>
  <si>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</si>
  <si>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</si>
  <si>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</si>
  <si>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</si>
  <si>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</si>
  <si>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</si>
  <si>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</si>
  <si>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</si>
  <si>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</si>
  <si>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</si>
  <si>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</si>
  <si>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</si>
  <si>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</si>
  <si>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</si>
  <si>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</si>
  <si>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</si>
  <si>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</si>
  <si>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</si>
  <si>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</si>
  <si>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</si>
  <si>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</si>
  <si>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</si>
  <si>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</si>
  <si>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</si>
  <si>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</si>
  <si>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</si>
  <si>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</si>
  <si>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</si>
  <si>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</si>
  <si>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</si>
  <si>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</si>
  <si>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</si>
  <si>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</si>
  <si>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</si>
  <si>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</si>
  <si>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</si>
  <si>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</si>
  <si>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</si>
  <si>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</si>
  <si>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</si>
  <si>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</si>
  <si>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</si>
  <si>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</si>
  <si>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</si>
  <si>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</si>
  <si>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</si>
  <si>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</si>
  <si>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</si>
  <si>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</si>
  <si>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</si>
  <si>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</si>
  <si>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</si>
  <si>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</si>
  <si>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</si>
  <si>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</si>
  <si>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</si>
  <si>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</si>
  <si>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</si>
  <si>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</si>
  <si>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</si>
  <si>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</si>
  <si>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</si>
  <si>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</si>
  <si>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</si>
  <si>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</si>
  <si>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</si>
  <si>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</si>
  <si>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</si>
  <si>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</si>
  <si>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</si>
  <si>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</si>
  <si>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</si>
  <si>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</si>
  <si>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</si>
  <si>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</si>
  <si>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</si>
  <si>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</si>
  <si>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</si>
  <si>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</si>
  <si>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</si>
  <si>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</si>
  <si>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</si>
  <si>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</si>
  <si>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</si>
  <si>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</si>
  <si>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</si>
  <si>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</si>
  <si>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</si>
  <si>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</si>
  <si>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</si>
  <si>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</si>
  <si>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</si>
  <si>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</si>
  <si>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</si>
  <si>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</si>
  <si>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</si>
  <si>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</si>
  <si>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</si>
  <si>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</si>
  <si>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</si>
  <si>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</si>
  <si>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</si>
  <si>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</si>
  <si>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</si>
  <si>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</si>
  <si>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</si>
  <si>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</si>
  <si>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</si>
  <si>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</si>
  <si>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</si>
  <si>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</si>
  <si>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</si>
  <si>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</si>
  <si>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</si>
  <si>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</si>
  <si>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</si>
  <si>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</si>
  <si>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</si>
  <si>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</si>
  <si>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</si>
  <si>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</si>
  <si>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</si>
  <si>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</si>
  <si>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</si>
  <si>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</si>
  <si>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</si>
  <si>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</si>
  <si>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</si>
  <si>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</si>
  <si>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</si>
  <si>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</si>
  <si>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</si>
  <si>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</si>
  <si>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</si>
  <si>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</si>
  <si>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</si>
  <si>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</si>
  <si>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</si>
  <si>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</si>
  <si>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</si>
  <si>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</si>
  <si>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</si>
  <si>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</si>
  <si>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</si>
  <si>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</si>
  <si>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</si>
  <si>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</si>
  <si>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</si>
  <si>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</si>
  <si>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</si>
  <si>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</si>
  <si>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</si>
  <si>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</si>
  <si>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</si>
  <si>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</si>
  <si>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</si>
  <si>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</si>
  <si>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</si>
  <si>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</si>
  <si>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</si>
  <si>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</si>
  <si>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</si>
  <si>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</si>
  <si>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</si>
  <si>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</si>
  <si>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</si>
  <si>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</si>
  <si>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</si>
  <si>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</si>
  <si>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</si>
  <si>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</si>
  <si>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</si>
  <si>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</si>
  <si>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</si>
  <si>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</si>
  <si>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</si>
  <si>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</si>
  <si>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</si>
  <si>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</si>
  <si>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</si>
  <si>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</si>
  <si>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</si>
  <si>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</si>
  <si>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</si>
  <si>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</si>
  <si>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</si>
  <si>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</si>
  <si>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</si>
  <si>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</si>
  <si>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</si>
  <si>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</si>
  <si>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</si>
  <si>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</si>
  <si>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</si>
  <si>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</si>
  <si>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</si>
  <si>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</si>
  <si>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</si>
  <si>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</si>
  <si>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</si>
  <si>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</si>
  <si>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</si>
  <si>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</si>
  <si>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</si>
  <si>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</si>
  <si>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</si>
  <si>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</si>
  <si>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</si>
  <si>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</si>
  <si>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</si>
  <si>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</si>
  <si>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</si>
  <si>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</si>
  <si>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</si>
  <si>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</si>
  <si>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</si>
  <si>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</si>
  <si>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</si>
  <si>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</si>
  <si>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</si>
  <si>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</si>
  <si>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</si>
  <si>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</si>
  <si>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</si>
  <si>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</si>
  <si>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</si>
  <si>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</si>
  <si>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</si>
  <si>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</si>
  <si>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</si>
  <si>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</si>
  <si>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</si>
  <si>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</si>
  <si>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</si>
  <si>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</si>
  <si>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</si>
  <si>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</si>
  <si>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</si>
  <si>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</si>
  <si>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</si>
  <si>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</si>
  <si>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</si>
  <si>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</si>
  <si>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</si>
  <si>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</si>
  <si>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</si>
  <si>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</si>
  <si>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</si>
  <si>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</si>
  <si>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</si>
  <si>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</si>
  <si>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</si>
  <si>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</si>
  <si>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</si>
  <si>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</si>
  <si>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</si>
  <si>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</si>
  <si>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</si>
  <si>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</si>
  <si>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</si>
  <si>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</si>
  <si>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</si>
  <si>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</si>
  <si>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</si>
  <si>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</si>
  <si>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</si>
  <si>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</si>
  <si>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</si>
  <si>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</si>
  <si>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</si>
  <si>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</si>
  <si>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</si>
  <si>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</si>
  <si>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</si>
  <si>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</si>
  <si>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</si>
  <si>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</si>
  <si>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</si>
  <si>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</si>
  <si>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</si>
  <si>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</si>
  <si>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</si>
  <si>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</si>
  <si>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</si>
  <si>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</si>
  <si>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</si>
  <si>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</si>
  <si>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</si>
  <si>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</si>
  <si>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</si>
  <si>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</si>
  <si>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</si>
  <si>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</si>
  <si>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</si>
  <si>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</si>
  <si>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</si>
  <si>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</si>
  <si>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</si>
  <si>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</si>
  <si>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</si>
  <si>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</si>
  <si>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</si>
  <si>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</si>
  <si>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</si>
  <si>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</si>
  <si>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</si>
  <si>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</si>
  <si>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</si>
  <si>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</si>
  <si>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</si>
  <si>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</si>
  <si>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</si>
  <si>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</si>
  <si>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</si>
  <si>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</si>
  <si>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</si>
  <si>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</si>
  <si>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</si>
  <si>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</si>
  <si>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</si>
  <si>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</si>
  <si>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</si>
  <si>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</si>
  <si>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</si>
  <si>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</si>
  <si>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</si>
  <si>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</si>
  <si>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</si>
  <si>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</si>
  <si>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</si>
  <si>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</si>
  <si>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</si>
  <si>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</si>
  <si>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</si>
  <si>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</si>
  <si>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</si>
  <si>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</si>
  <si>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</si>
  <si>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</si>
  <si>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</si>
  <si>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</si>
  <si>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</si>
  <si>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</si>
  <si>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</si>
  <si>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</si>
  <si>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</si>
  <si>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</si>
  <si>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</si>
  <si>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</si>
  <si>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</si>
  <si>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</si>
  <si>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</si>
  <si>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</si>
  <si>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</si>
  <si>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</si>
  <si>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</si>
  <si>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</si>
  <si>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</si>
  <si>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</si>
  <si>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</si>
  <si>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</si>
  <si>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</si>
  <si>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</si>
  <si>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</si>
  <si>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</si>
  <si>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</si>
  <si>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</si>
  <si>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</si>
  <si>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</si>
  <si>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</si>
  <si>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</si>
  <si>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</si>
  <si>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</si>
  <si>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</si>
  <si>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</si>
  <si>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</si>
  <si>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</si>
  <si>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</si>
  <si>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</si>
  <si>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</si>
  <si>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</si>
  <si>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</si>
  <si>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</si>
  <si>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</si>
  <si>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</si>
  <si>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</si>
  <si>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</si>
  <si>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</si>
  <si>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</si>
  <si>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</si>
  <si>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</si>
  <si>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</si>
  <si>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</si>
  <si>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</si>
  <si>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</si>
  <si>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</si>
  <si>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</si>
  <si>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</si>
  <si>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</si>
  <si>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</si>
  <si>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</si>
  <si>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</si>
  <si>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</si>
  <si>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</si>
  <si>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</si>
  <si>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</si>
  <si>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</si>
  <si>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</si>
  <si>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</si>
  <si>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</si>
  <si>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</si>
  <si>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</si>
  <si>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</si>
  <si>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</si>
  <si>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</si>
  <si>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</si>
  <si>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</si>
  <si>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</si>
  <si>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</si>
  <si>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</si>
  <si>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</si>
  <si>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</si>
  <si>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</si>
  <si>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</si>
  <si>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</si>
  <si>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</si>
  <si>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</si>
  <si>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</si>
  <si>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</si>
  <si>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</si>
  <si>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</si>
  <si>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</si>
  <si>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</si>
  <si>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</si>
  <si>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</si>
  <si>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</si>
  <si>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</si>
  <si>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</si>
  <si>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</si>
  <si>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</si>
  <si>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</si>
  <si>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</si>
  <si>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</si>
  <si>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</si>
  <si>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</si>
  <si>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</si>
  <si>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</si>
  <si>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</si>
  <si>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</si>
  <si>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</si>
  <si>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</si>
  <si>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</si>
  <si>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</si>
  <si>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</si>
  <si>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</si>
  <si>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</si>
  <si>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</si>
  <si>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</si>
  <si>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</si>
  <si>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</si>
  <si>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</si>
  <si>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</si>
  <si>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</si>
  <si>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</si>
  <si>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</si>
  <si>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</si>
  <si>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</si>
  <si>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</si>
  <si>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</si>
  <si>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</si>
  <si>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</si>
  <si>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</si>
  <si>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</si>
  <si>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</si>
  <si>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</si>
  <si>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</si>
  <si>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</si>
  <si>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</si>
  <si>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</si>
  <si>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</si>
  <si>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 xml:space="preserve">same store sales slower than expected in Q2 vs Q1 in YOY, comprising of majority of remaining variance </t>
  </si>
  <si>
    <t>- NAM client onboarding in Q2 2020 anniversaried in Q2 2021, slowing perceived growth</t>
  </si>
  <si>
    <t>Q2 2021 Overview</t>
  </si>
  <si>
    <t>All data as of 2/10/2022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</si>
  <si>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</si>
  <si>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</si>
  <si>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</si>
  <si>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</si>
  <si>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</si>
  <si>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</si>
  <si>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</si>
  <si>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 :</t>
  </si>
  <si>
    <t>Q2 YOY growth slowed from Q1 growth of 4% down to 2.7%, (~13k) in volume primarily driven by:</t>
  </si>
  <si>
    <t>- (~7k) volume, or 55% of the total decline from loss of two customers in LATAM, driving overall growth for region down from 9% in Q1 to flat in Q2 YoY</t>
  </si>
  <si>
    <t>- NAM client onboarding in Q2 2020 anniversaried in Q2 2021, slowing perceived growth and amplifying Q1 growth by ~5k units, or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</si>
</sst>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  <font>
      <sz val="11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0" fillId="0" borderId="0" xfId="0" quotePrefix="1" applyAlignment="1"/>
    <xf numFmtId="0" fontId="1" fillId="0" borderId="0" xfId="0" applyFont="1" applyAlignment="1"/>
    <xf numFmtId="0" fontId="6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horizontal="centerContinuous" vertical="center"/>
    </xf>
    <xf numFmtId="166" fontId="8" fillId="2" borderId="0" xfId="0" applyNumberFormat="1" applyFont="1" applyFill="1" applyAlignment="1">
      <alignment horizontal="centerContinuous" vertical="center"/>
    </xf>
    <xf numFmtId="166" fontId="6" fillId="2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/>
    <xf numFmtId="165" fontId="6" fillId="2" borderId="0" xfId="3" applyNumberFormat="1" applyFont="1" applyFill="1" applyAlignment="1">
      <alignment horizontal="center" vertical="center"/>
    </xf>
    <xf numFmtId="0" fontId="5" fillId="2" borderId="0" xfId="0" applyFont="1" applyFill="1" applyAlignment="1"/>
    <xf numFmtId="0" fontId="9" fillId="2" borderId="0" xfId="0" applyFont="1" applyFill="1" applyAlignment="1"/>
    <xf numFmtId="0" fontId="5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2" borderId="0" xfId="0" applyNumberFormat="1" applyFont="1" applyFill="1" applyAlignment="1">
      <alignment horizontal="centerContinuous" vertical="center"/>
    </xf>
    <xf numFmtId="0" fontId="6" fillId="2" borderId="0" xfId="0" applyNumberFormat="1" applyFont="1" applyFill="1" applyBorder="1" applyAlignment="1">
      <alignment horizontal="center" vertical="center"/>
    </xf>
    <xf numFmtId="9" fontId="6" fillId="2" borderId="0" xfId="3" applyNumberFormat="1" applyFont="1" applyFill="1" applyAlignment="1">
      <alignment horizontal="center" vertical="center"/>
    </xf>
    <xf numFmtId="167" fontId="1" fillId="0" borderId="0" xfId="3" applyNumberFormat="1" applyFont="1" applyFill="1" applyAlignment="1">
      <alignment horizontal="right" vertical="center"/>
    </xf>
    <xf numFmtId="167" fontId="4" fillId="0" borderId="1" xfId="3" applyNumberFormat="1" applyFont="1" applyFill="1" applyBorder="1" applyAlignment="1">
      <alignment horizontal="right" vertical="center"/>
    </xf>
    <xf numFmtId="0" fontId="10" fillId="0" borderId="0" xfId="0" applyFont="1" applyAlignment="1"/>
    <xf numFmtId="0" fontId="11" fillId="0" borderId="0" xfId="0" applyFont="1" applyAlignment="1"/>
    <xf numFmtId="164" fontId="0" fillId="4" borderId="0" xfId="2" applyNumberFormat="1" applyFont="1" applyFill="1" applyAlignment="1"/>
    <xf numFmtId="164" fontId="4" fillId="4" borderId="1" xfId="0" applyNumberFormat="1" applyFont="1" applyFill="1" applyBorder="1" applyAlignment="1"/>
    <xf numFmtId="0" fontId="2" fillId="0" borderId="0" xfId="0" applyFont="1" applyAlignment="1">
      <alignment horizontal="left" vertical="center" wrapText="1"/>
    </xf>
    <xf numFmtId="43" fontId="0" fillId="0" borderId="0" xfId="0" applyNumberFormat="1" applyAlignment="1"/>
    <xf numFmtId="0" fontId="1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2017163584892E-2"/>
          <c:y val="0.13717965330119458"/>
          <c:w val="0.60094637318062527"/>
          <c:h val="0.7396265769603646"/>
        </c:manualLayout>
      </c:layout>
      <c:doughnutChart>
        <c:varyColors val="1"/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C-4062-8CF4-E583810A0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C-4062-8CF4-E583810A05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C-4062-8CF4-E583810A05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C-4062-8CF4-E583810A0592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A-4165-A89D-0E98452E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84CC-4062-8CF4-E583810A059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4CC-4062-8CF4-E583810A059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4CC-4062-8CF4-E583810A059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4CC-4062-8CF4-E583810A059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0A-4165-A89D-0E98452E84B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4CC-4062-8CF4-E583810A059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4CC-4062-8CF4-E583810A059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4CC-4062-8CF4-E583810A059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4CC-4062-8CF4-E583810A059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Summary!$D$25:$D$28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0A-4165-A89D-0E98452E84B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4CC-4062-8CF4-E583810A059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84CC-4062-8CF4-E583810A059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4CC-4062-8CF4-E583810A059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4CC-4062-8CF4-E583810A059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0A-4165-A89D-0E98452E84B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4CC-4062-8CF4-E583810A059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4CC-4062-8CF4-E583810A059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4CC-4062-8CF4-E583810A059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4CC-4062-8CF4-E583810A059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0A-4165-A89D-0E98452E84B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4CC-4062-8CF4-E583810A059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4CC-4062-8CF4-E583810A059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4CC-4062-8CF4-E583810A059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4CC-4062-8CF4-E583810A059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A-4165-A89D-0E98452E84B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2427450805939"/>
          <c:y val="0.13717965330119458"/>
          <c:w val="0.58579485802911002"/>
          <c:h val="0.72097855146689849"/>
        </c:manualLayout>
      </c:layout>
      <c:doughnutChart>
        <c:varyColors val="1"/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0-40C2-A87E-D0B1CB522D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0-40C2-A87E-D0B1CB522D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F0-40C2-A87E-D0B1CB522D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F0-40C2-A87E-D0B1CB522DF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0-40C2-A87E-D0B1CB52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8F0-40C2-A87E-D0B1CB522DF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8F0-40C2-A87E-D0B1CB522DF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8F0-40C2-A87E-D0B1CB522DF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8F0-40C2-A87E-D0B1CB522DF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8F0-40C2-A87E-D0B1CB522DF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8F0-40C2-A87E-D0B1CB522DF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8F0-40C2-A87E-D0B1CB522DF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8F0-40C2-A87E-D0B1CB522DF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8F0-40C2-A87E-D0B1CB522DF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8F0-40C2-A87E-D0B1CB522DF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8F0-40C2-A87E-D0B1CB522DF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8F0-40C2-A87E-D0B1CB522DF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8F0-40C2-A87E-D0B1CB522DF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8F0-40C2-A87E-D0B1CB522DF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8F0-40C2-A87E-D0B1CB522DF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8F0-40C2-A87E-D0B1CB522DF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8F0-40C2-A87E-D0B1CB522DF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8F0-40C2-A87E-D0B1CB522DF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8F0-40C2-A87E-D0B1CB522DF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8F0-40C2-A87E-D0B1CB522DF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48F0-40C2-A87E-D0B1CB522DF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48F0-40C2-A87E-D0B1CB522DF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48F0-40C2-A87E-D0B1CB522DF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48F0-40C2-A87E-D0B1CB522DF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48F0-40C2-A87E-D0B1CB522DF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40E-47A9-9243-65ACB7DCCC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0E-47A9-9243-65ACB7DCCC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0E-47A9-9243-65ACB7DCCC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0E-47A9-9243-65ACB7DCCC5E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Summary!$D$25:$D$28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E-47A9-9243-65ACB7DCCC5E}"/>
            </c:ext>
          </c:extLst>
        </c:ser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40E-47A9-9243-65ACB7DCCC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0E-47A9-9243-65ACB7DCCC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40E-47A9-9243-65ACB7DCCC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0E-47A9-9243-65ACB7DCCC5E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0E-47A9-9243-65ACB7DC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505632"/>
        <c:axId val="159109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0E-47A9-9243-65ACB7DCCC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0E-47A9-9243-65ACB7DCCC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0E-47A9-9243-65ACB7DCCC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0E-47A9-9243-65ACB7DCCC5E}"/>
                  </c:ext>
                </c:extLst>
              </c15:ser>
            </c15:filteredBarSeries>
          </c:ext>
        </c:extLst>
      </c:barChart>
      <c:catAx>
        <c:axId val="159850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98160"/>
        <c:crosses val="autoZero"/>
        <c:auto val="1"/>
        <c:lblAlgn val="ctr"/>
        <c:lblOffset val="100"/>
        <c:noMultiLvlLbl val="0"/>
      </c:catAx>
      <c:valAx>
        <c:axId val="1591098160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5985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29587817762869"/>
          <c:y val="0.41992829511090124"/>
          <c:w val="0.13013283190168071"/>
          <c:h val="0.16014340977819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133351</xdr:rowOff>
    </xdr:from>
    <xdr:to>
      <xdr:col>5</xdr:col>
      <xdr:colOff>400050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F9451-9E8C-420C-A438-1F633E200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0</xdr:rowOff>
    </xdr:from>
    <xdr:to>
      <xdr:col>9</xdr:col>
      <xdr:colOff>419100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C9242-5205-4410-B890-19A19C1D5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6</xdr:row>
      <xdr:rowOff>95249</xdr:rowOff>
    </xdr:from>
    <xdr:to>
      <xdr:col>17</xdr:col>
      <xdr:colOff>423862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F67FD-65C1-4EE5-B5DA-6866F88F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Row" fieldPosition="0"/>
    </format>
    <format dxfId="37">
      <pivotArea field="8" type="button" dataOnly="0" labelOnly="1" outline="0" axis="axisRow" fieldPosition="1"/>
    </format>
    <format dxfId="36">
      <pivotArea field="1" type="button" dataOnly="0" labelOnly="1" outline="0" axis="axisRow" fieldPosition="2"/>
    </format>
    <format dxfId="35">
      <pivotArea field="5" type="button" dataOnly="0" labelOnly="1" outline="0" axis="axisCol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Col" fieldPosition="0"/>
    </format>
    <format dxfId="49">
      <pivotArea field="8" type="button" dataOnly="0" labelOnly="1" outline="0" axis="axisCol" fieldPosition="1"/>
    </format>
    <format dxfId="48">
      <pivotArea field="1" type="button" dataOnly="0" labelOnly="1" outline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8" type="button" dataOnly="0" labelOnly="1" outline="0" axis="axisCol" fieldPosition="1"/>
    </format>
    <format dxfId="60">
      <pivotArea field="1" type="button" dataOnly="0" labelOnly="1" outline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49" t="s">
        <v>897</v>
      </c>
      <c r="B1" s="49"/>
      <c r="C1" s="49"/>
      <c r="D1" s="49"/>
      <c r="E1" s="49"/>
      <c r="F1" s="49"/>
      <c r="G1" s="49"/>
    </row>
    <row r="2" spans="1:7" ht="13.15" customHeight="1" x14ac:dyDescent="0.2">
      <c r="A2" s="49"/>
      <c r="B2" s="49"/>
      <c r="C2" s="49"/>
      <c r="D2" s="49"/>
      <c r="E2" s="49"/>
      <c r="F2" s="49"/>
      <c r="G2" s="49"/>
    </row>
    <row r="3" spans="1:7" ht="13.15" customHeight="1" x14ac:dyDescent="0.2">
      <c r="A3" s="49"/>
      <c r="B3" s="49"/>
      <c r="C3" s="49"/>
      <c r="D3" s="49"/>
      <c r="E3" s="49"/>
      <c r="F3" s="49"/>
      <c r="G3" s="49"/>
    </row>
    <row r="4" spans="1:7" ht="13.15" customHeight="1" x14ac:dyDescent="0.2">
      <c r="A4" s="49"/>
      <c r="B4" s="49"/>
      <c r="C4" s="49"/>
      <c r="D4" s="49"/>
      <c r="E4" s="49"/>
      <c r="F4" s="49"/>
      <c r="G4" s="49"/>
    </row>
    <row r="5" spans="1:7" ht="13.15" customHeight="1" x14ac:dyDescent="0.2">
      <c r="A5" s="49"/>
      <c r="B5" s="49"/>
      <c r="C5" s="49"/>
      <c r="D5" s="49"/>
      <c r="E5" s="49"/>
      <c r="F5" s="49"/>
      <c r="G5" s="49"/>
    </row>
    <row r="6" spans="1:7" ht="13.15" customHeight="1" x14ac:dyDescent="0.2">
      <c r="A6" s="49"/>
      <c r="B6" s="49"/>
      <c r="C6" s="49"/>
      <c r="D6" s="49"/>
      <c r="E6" s="49"/>
      <c r="F6" s="49"/>
      <c r="G6" s="49"/>
    </row>
    <row r="7" spans="1:7" ht="13.15" customHeight="1" x14ac:dyDescent="0.2">
      <c r="A7" s="49"/>
      <c r="B7" s="49"/>
      <c r="C7" s="49"/>
      <c r="D7" s="49"/>
      <c r="E7" s="49"/>
      <c r="F7" s="49"/>
      <c r="G7" s="49"/>
    </row>
    <row r="8" spans="1:7" ht="13.15" customHeight="1" x14ac:dyDescent="0.2">
      <c r="A8" s="49"/>
      <c r="B8" s="49"/>
      <c r="C8" s="49"/>
      <c r="D8" s="49"/>
      <c r="E8" s="49"/>
      <c r="F8" s="49"/>
      <c r="G8" s="49"/>
    </row>
    <row r="9" spans="1:7" ht="13.15" customHeight="1" x14ac:dyDescent="0.2">
      <c r="A9" s="49"/>
      <c r="B9" s="49"/>
      <c r="C9" s="49"/>
      <c r="D9" s="49"/>
      <c r="E9" s="49"/>
      <c r="F9" s="49"/>
      <c r="G9" s="49"/>
    </row>
    <row r="10" spans="1:7" ht="13.15" customHeight="1" x14ac:dyDescent="0.2">
      <c r="A10" s="49"/>
      <c r="B10" s="49"/>
      <c r="C10" s="49"/>
      <c r="D10" s="49"/>
      <c r="E10" s="49"/>
      <c r="F10" s="49"/>
      <c r="G10" s="49"/>
    </row>
    <row r="11" spans="1:7" ht="13.15" customHeight="1" x14ac:dyDescent="0.2">
      <c r="A11" s="49"/>
      <c r="B11" s="49"/>
      <c r="C11" s="49"/>
      <c r="D11" s="49"/>
      <c r="E11" s="49"/>
      <c r="F11" s="49"/>
      <c r="G11" s="49"/>
    </row>
    <row r="12" spans="1:7" ht="13.15" customHeight="1" x14ac:dyDescent="0.2">
      <c r="A12" s="49"/>
      <c r="B12" s="49"/>
      <c r="C12" s="49"/>
      <c r="D12" s="49"/>
      <c r="E12" s="49"/>
      <c r="F12" s="49"/>
      <c r="G12" s="49"/>
    </row>
    <row r="13" spans="1:7" ht="13.15" customHeight="1" x14ac:dyDescent="0.2">
      <c r="A13" s="49"/>
      <c r="B13" s="49"/>
      <c r="C13" s="49"/>
      <c r="D13" s="49"/>
      <c r="E13" s="49"/>
      <c r="F13" s="49"/>
      <c r="G13" s="49"/>
    </row>
    <row r="14" spans="1:7" ht="13.15" customHeight="1" x14ac:dyDescent="0.2">
      <c r="A14" s="49"/>
      <c r="B14" s="49"/>
      <c r="C14" s="49"/>
      <c r="D14" s="49"/>
      <c r="E14" s="49"/>
      <c r="F14" s="49"/>
      <c r="G14" s="49"/>
    </row>
    <row r="15" spans="1:7" ht="13.15" customHeight="1" x14ac:dyDescent="0.2">
      <c r="A15" s="49"/>
      <c r="B15" s="49"/>
      <c r="C15" s="49"/>
      <c r="D15" s="49"/>
      <c r="E15" s="49"/>
      <c r="F15" s="49"/>
      <c r="G15" s="49"/>
    </row>
    <row r="16" spans="1:7" ht="12.75" x14ac:dyDescent="0.2">
      <c r="A16" s="49"/>
      <c r="B16" s="49"/>
      <c r="C16" s="49"/>
      <c r="D16" s="49"/>
      <c r="E16" s="49"/>
      <c r="F16" s="49"/>
      <c r="G16" s="4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75FF-8571-44E8-8591-11391A021DF3}">
  <dimension ref="B1:Q58"/>
  <sheetViews>
    <sheetView showGridLines="0" tabSelected="1" workbookViewId="0">
      <selection activeCell="B51" sqref="B51"/>
    </sheetView>
  </sheetViews>
  <sheetFormatPr defaultRowHeight="12.75" x14ac:dyDescent="0.2"/>
  <cols>
    <col min="1" max="1" width="4.140625" style="3" customWidth="1"/>
    <col min="2" max="2" width="10.140625" style="3" bestFit="1" customWidth="1"/>
    <col min="3" max="3" width="11.28515625" style="3" bestFit="1" customWidth="1"/>
    <col min="4" max="4" width="9.140625" style="3"/>
    <col min="5" max="6" width="10.28515625" style="3" customWidth="1"/>
    <col min="7" max="7" width="10" style="3" bestFit="1" customWidth="1"/>
    <col min="8" max="8" width="9.140625" style="3"/>
    <col min="9" max="9" width="4.42578125" style="3" customWidth="1"/>
    <col min="10" max="11" width="9.140625" style="3"/>
    <col min="12" max="12" width="4.42578125" style="3" customWidth="1"/>
    <col min="13" max="13" width="11.28515625" style="3" bestFit="1" customWidth="1"/>
    <col min="14" max="14" width="9.140625" style="3"/>
    <col min="15" max="15" width="4.42578125" style="3" customWidth="1"/>
    <col min="16" max="16384" width="9.140625" style="3"/>
  </cols>
  <sheetData>
    <row r="1" spans="2:7" ht="35.25" x14ac:dyDescent="0.5">
      <c r="B1" s="45" t="s">
        <v>951</v>
      </c>
    </row>
    <row r="2" spans="2:7" ht="15" x14ac:dyDescent="0.2">
      <c r="B2" s="46" t="s">
        <v>952</v>
      </c>
    </row>
    <row r="4" spans="2:7" ht="20.25" x14ac:dyDescent="0.2">
      <c r="B4" s="27" t="s">
        <v>958</v>
      </c>
      <c r="C4" s="24"/>
      <c r="F4" s="27" t="s">
        <v>959</v>
      </c>
      <c r="G4" s="24"/>
    </row>
    <row r="5" spans="2:7" ht="30" x14ac:dyDescent="0.2">
      <c r="B5" s="29">
        <f>H29</f>
        <v>965282</v>
      </c>
      <c r="C5" s="28"/>
      <c r="F5" s="40">
        <f>H37</f>
        <v>50</v>
      </c>
      <c r="G5" s="28"/>
    </row>
    <row r="6" spans="2:7" x14ac:dyDescent="0.2">
      <c r="B6" s="26" t="s">
        <v>954</v>
      </c>
      <c r="C6" s="25" t="s">
        <v>955</v>
      </c>
      <c r="F6" s="26" t="s">
        <v>954</v>
      </c>
      <c r="G6" s="25" t="s">
        <v>955</v>
      </c>
    </row>
    <row r="7" spans="2:7" x14ac:dyDescent="0.2">
      <c r="B7" s="30">
        <f>D29</f>
        <v>940140</v>
      </c>
      <c r="C7" s="32">
        <f>B5/B7-1</f>
        <v>2.6742825536622217E-2</v>
      </c>
      <c r="F7" s="41">
        <f>D37</f>
        <v>50</v>
      </c>
      <c r="G7" s="42">
        <f>F5/F7-1</f>
        <v>0</v>
      </c>
    </row>
    <row r="16" spans="2:7" ht="17.25" customHeight="1" x14ac:dyDescent="0.2"/>
    <row r="17" spans="2:17" ht="17.25" customHeight="1" x14ac:dyDescent="0.2"/>
    <row r="18" spans="2:17" ht="17.25" customHeight="1" x14ac:dyDescent="0.2"/>
    <row r="19" spans="2:17" ht="17.25" customHeight="1" x14ac:dyDescent="0.2"/>
    <row r="20" spans="2:17" ht="17.25" customHeight="1" x14ac:dyDescent="0.2"/>
    <row r="21" spans="2:17" ht="17.25" customHeight="1" x14ac:dyDescent="0.2"/>
    <row r="22" spans="2:17" ht="17.25" customHeight="1" x14ac:dyDescent="0.2"/>
    <row r="23" spans="2:17" ht="15" x14ac:dyDescent="0.25">
      <c r="B23" s="33" t="s">
        <v>906</v>
      </c>
      <c r="C23" s="34"/>
      <c r="D23" s="34"/>
      <c r="E23" s="34"/>
      <c r="F23" s="34"/>
      <c r="G23" s="34"/>
      <c r="H23" s="34"/>
      <c r="J23" s="35" t="s">
        <v>932</v>
      </c>
      <c r="K23" s="36"/>
      <c r="M23" s="35" t="s">
        <v>935</v>
      </c>
      <c r="N23" s="36"/>
      <c r="P23" s="35" t="s">
        <v>956</v>
      </c>
      <c r="Q23" s="36"/>
    </row>
    <row r="24" spans="2:17" x14ac:dyDescent="0.2">
      <c r="B24" s="37" t="s">
        <v>921</v>
      </c>
      <c r="C24" s="38" t="s">
        <v>914</v>
      </c>
      <c r="D24" s="38" t="s">
        <v>915</v>
      </c>
      <c r="E24" s="38" t="s">
        <v>916</v>
      </c>
      <c r="F24" s="38" t="s">
        <v>917</v>
      </c>
      <c r="G24" s="38" t="s">
        <v>918</v>
      </c>
      <c r="H24" s="38" t="s">
        <v>919</v>
      </c>
      <c r="J24" s="39" t="s">
        <v>933</v>
      </c>
      <c r="K24" s="39" t="s">
        <v>934</v>
      </c>
      <c r="M24" s="39" t="s">
        <v>933</v>
      </c>
      <c r="N24" s="39" t="s">
        <v>934</v>
      </c>
      <c r="P24" s="39" t="s">
        <v>933</v>
      </c>
      <c r="Q24" s="39" t="s">
        <v>934</v>
      </c>
    </row>
    <row r="25" spans="2:17" x14ac:dyDescent="0.2">
      <c r="B25" s="20" t="s">
        <v>898</v>
      </c>
      <c r="C25" s="5">
        <f>SUMIFS(VolumebyClient[Vol],VolumebyClient[Region Name],Summary!$B25,VolumebyClient[Quarter],Summary!C$24)</f>
        <v>509419</v>
      </c>
      <c r="D25" s="5">
        <f>SUMIFS(VolumebyClient[Vol],VolumebyClient[Region Name],Summary!$B25,VolumebyClient[Quarter],Summary!D$24)</f>
        <v>576618</v>
      </c>
      <c r="E25" s="5">
        <f>SUMIFS(VolumebyClient[Vol],VolumebyClient[Region Name],Summary!$B25,VolumebyClient[Quarter],Summary!E$24)</f>
        <v>363694</v>
      </c>
      <c r="F25" s="5">
        <f>SUMIFS(VolumebyClient[Vol],VolumebyClient[Region Name],Summary!$B25,VolumebyClient[Quarter],Summary!F$24)</f>
        <v>432034</v>
      </c>
      <c r="G25" s="5">
        <f>SUMIFS(VolumebyClient[Vol],VolumebyClient[Region Name],Summary!$B25,VolumebyClient[Quarter],Summary!G$24)</f>
        <v>530019</v>
      </c>
      <c r="H25" s="47">
        <f>SUMIFS(VolumebyClient[Vol],VolumebyClient[Region Name],Summary!$B25,VolumebyClient[Quarter],Summary!H$24)</f>
        <v>596502</v>
      </c>
      <c r="J25" s="9">
        <f>G25-C25</f>
        <v>20600</v>
      </c>
      <c r="K25" s="43">
        <f>G25/C25-1</f>
        <v>4.0438224722674221E-2</v>
      </c>
      <c r="M25" s="9">
        <f>H25-D25</f>
        <v>19884</v>
      </c>
      <c r="N25" s="43">
        <f>H25/D25-1</f>
        <v>3.4483835051975387E-2</v>
      </c>
      <c r="P25" s="9">
        <f>SUM(G25:H25)-SUM(C25:D25)</f>
        <v>40484</v>
      </c>
      <c r="Q25" s="43">
        <f>SUM(G25:H25)/SUM(C25:D25)-1</f>
        <v>3.7276814694158666E-2</v>
      </c>
    </row>
    <row r="26" spans="2:17" x14ac:dyDescent="0.2">
      <c r="B26" s="20" t="s">
        <v>899</v>
      </c>
      <c r="C26" s="5">
        <f>SUMIFS(VolumebyClient[Vol],VolumebyClient[Region Name],Summary!$B26,VolumebyClient[Quarter],Summary!C$24)</f>
        <v>147852</v>
      </c>
      <c r="D26" s="5">
        <f>SUMIFS(VolumebyClient[Vol],VolumebyClient[Region Name],Summary!$B26,VolumebyClient[Quarter],Summary!D$24)</f>
        <v>173566</v>
      </c>
      <c r="E26" s="5">
        <f>SUMIFS(VolumebyClient[Vol],VolumebyClient[Region Name],Summary!$B26,VolumebyClient[Quarter],Summary!E$24)</f>
        <v>103536</v>
      </c>
      <c r="F26" s="5">
        <f>SUMIFS(VolumebyClient[Vol],VolumebyClient[Region Name],Summary!$B26,VolumebyClient[Quarter],Summary!F$24)</f>
        <v>129264</v>
      </c>
      <c r="G26" s="5">
        <f>SUMIFS(VolumebyClient[Vol],VolumebyClient[Region Name],Summary!$B26,VolumebyClient[Quarter],Summary!G$24)</f>
        <v>150204</v>
      </c>
      <c r="H26" s="47">
        <f>SUMIFS(VolumebyClient[Vol],VolumebyClient[Region Name],Summary!$B26,VolumebyClient[Quarter],Summary!H$24)</f>
        <v>176338</v>
      </c>
      <c r="J26" s="9">
        <f t="shared" ref="J26:J29" si="0">G26-C26</f>
        <v>2352</v>
      </c>
      <c r="K26" s="43">
        <f t="shared" ref="K26:K29" si="1">G26/C26-1</f>
        <v>1.5907799691583513E-2</v>
      </c>
      <c r="M26" s="9">
        <f>H26-D26</f>
        <v>2772</v>
      </c>
      <c r="N26" s="43">
        <f>H26/D26-1</f>
        <v>1.5970869870827187E-2</v>
      </c>
      <c r="P26" s="9">
        <f>SUM(G26:H26)-SUM(C26:D26)</f>
        <v>5124</v>
      </c>
      <c r="Q26" s="43">
        <f>SUM(G26:H26)/SUM(C26:D26)-1</f>
        <v>1.5941857643318125E-2</v>
      </c>
    </row>
    <row r="27" spans="2:17" x14ac:dyDescent="0.2">
      <c r="B27" s="20" t="s">
        <v>908</v>
      </c>
      <c r="C27" s="5">
        <f>SUMIFS(VolumebyClient[Vol],VolumebyClient[Region Name],Summary!$B27,VolumebyClient[Quarter],Summary!C$24)</f>
        <v>95736</v>
      </c>
      <c r="D27" s="5">
        <f>SUMIFS(VolumebyClient[Vol],VolumebyClient[Region Name],Summary!$B27,VolumebyClient[Quarter],Summary!D$24)</f>
        <v>107338</v>
      </c>
      <c r="E27" s="5">
        <f>SUMIFS(VolumebyClient[Vol],VolumebyClient[Region Name],Summary!$B27,VolumebyClient[Quarter],Summary!E$24)</f>
        <v>69198</v>
      </c>
      <c r="F27" s="5">
        <f>SUMIFS(VolumebyClient[Vol],VolumebyClient[Region Name],Summary!$B27,VolumebyClient[Quarter],Summary!F$24)</f>
        <v>80144</v>
      </c>
      <c r="G27" s="5">
        <f>SUMIFS(VolumebyClient[Vol],VolumebyClient[Region Name],Summary!$B27,VolumebyClient[Quarter],Summary!G$24)</f>
        <v>99778</v>
      </c>
      <c r="H27" s="47">
        <f>SUMIFS(VolumebyClient[Vol],VolumebyClient[Region Name],Summary!$B27,VolumebyClient[Quarter],Summary!H$24)</f>
        <v>109811</v>
      </c>
      <c r="J27" s="9">
        <f t="shared" si="0"/>
        <v>4042</v>
      </c>
      <c r="K27" s="43">
        <f t="shared" si="1"/>
        <v>4.2220272415810056E-2</v>
      </c>
      <c r="M27" s="9">
        <f>H27-D27</f>
        <v>2473</v>
      </c>
      <c r="N27" s="43">
        <f>H27/D27-1</f>
        <v>2.3039370959026639E-2</v>
      </c>
      <c r="P27" s="9">
        <f>SUM(G27:H27)-SUM(C27:D27)</f>
        <v>6515</v>
      </c>
      <c r="Q27" s="43">
        <f>SUM(G27:H27)/SUM(C27:D27)-1</f>
        <v>3.2081901178880656E-2</v>
      </c>
    </row>
    <row r="28" spans="2:17" x14ac:dyDescent="0.2">
      <c r="B28" s="20" t="s">
        <v>907</v>
      </c>
      <c r="C28" s="5">
        <f>SUMIFS(VolumebyClient[Vol],VolumebyClient[Region Name],Summary!$B28,VolumebyClient[Quarter],Summary!C$24)</f>
        <v>69053</v>
      </c>
      <c r="D28" s="5">
        <f>SUMIFS(VolumebyClient[Vol],VolumebyClient[Region Name],Summary!$B28,VolumebyClient[Quarter],Summary!D$24)</f>
        <v>82618</v>
      </c>
      <c r="E28" s="5">
        <f>SUMIFS(VolumebyClient[Vol],VolumebyClient[Region Name],Summary!$B28,VolumebyClient[Quarter],Summary!E$24)</f>
        <v>50574</v>
      </c>
      <c r="F28" s="5">
        <f>SUMIFS(VolumebyClient[Vol],VolumebyClient[Region Name],Summary!$B28,VolumebyClient[Quarter],Summary!F$24)</f>
        <v>65121</v>
      </c>
      <c r="G28" s="5">
        <f>SUMIFS(VolumebyClient[Vol],VolumebyClient[Region Name],Summary!$B28,VolumebyClient[Quarter],Summary!G$24)</f>
        <v>75265</v>
      </c>
      <c r="H28" s="47">
        <f>SUMIFS(VolumebyClient[Vol],VolumebyClient[Region Name],Summary!$B28,VolumebyClient[Quarter],Summary!H$24)</f>
        <v>82631</v>
      </c>
      <c r="J28" s="9">
        <f t="shared" si="0"/>
        <v>6212</v>
      </c>
      <c r="K28" s="43">
        <f t="shared" si="1"/>
        <v>8.9959885884755231E-2</v>
      </c>
      <c r="M28" s="9">
        <f>H28-D28</f>
        <v>13</v>
      </c>
      <c r="N28" s="43">
        <f>H28/D28-1</f>
        <v>1.5735069839495353E-4</v>
      </c>
      <c r="P28" s="9">
        <f>SUM(G28:H28)-SUM(C28:D28)</f>
        <v>6225</v>
      </c>
      <c r="Q28" s="43">
        <f>SUM(G28:H28)/SUM(C28:D28)-1</f>
        <v>4.1042783393002047E-2</v>
      </c>
    </row>
    <row r="29" spans="2:17" x14ac:dyDescent="0.2">
      <c r="B29" s="19" t="s">
        <v>945</v>
      </c>
      <c r="C29" s="31">
        <f>SUM(C25:C28)</f>
        <v>822060</v>
      </c>
      <c r="D29" s="31">
        <f t="shared" ref="D29:H29" si="2">SUM(D25:D28)</f>
        <v>940140</v>
      </c>
      <c r="E29" s="31">
        <f t="shared" si="2"/>
        <v>587002</v>
      </c>
      <c r="F29" s="31">
        <f t="shared" si="2"/>
        <v>706563</v>
      </c>
      <c r="G29" s="31">
        <f t="shared" si="2"/>
        <v>855266</v>
      </c>
      <c r="H29" s="48">
        <f t="shared" si="2"/>
        <v>965282</v>
      </c>
      <c r="J29" s="31">
        <f t="shared" si="0"/>
        <v>33206</v>
      </c>
      <c r="K29" s="44">
        <f t="shared" si="1"/>
        <v>4.0393645232708053E-2</v>
      </c>
      <c r="M29" s="31">
        <f>H29-D29</f>
        <v>25142</v>
      </c>
      <c r="N29" s="44">
        <f>H29/D29-1</f>
        <v>2.6742825536622217E-2</v>
      </c>
      <c r="P29" s="31">
        <f>SUM(G29:H29)-SUM(C29:D29)</f>
        <v>58348</v>
      </c>
      <c r="Q29" s="44">
        <f>SUM(G29:H29)/SUM(C29:D29)-1</f>
        <v>3.3110884122120154E-2</v>
      </c>
    </row>
    <row r="31" spans="2:17" ht="15" x14ac:dyDescent="0.25">
      <c r="B31" s="33" t="s">
        <v>953</v>
      </c>
      <c r="C31" s="34"/>
      <c r="D31" s="34"/>
      <c r="E31" s="34"/>
      <c r="F31" s="34"/>
      <c r="G31" s="34"/>
      <c r="H31" s="34"/>
      <c r="J31" s="35" t="s">
        <v>932</v>
      </c>
      <c r="K31" s="36"/>
      <c r="M31" s="35" t="s">
        <v>935</v>
      </c>
      <c r="N31" s="36"/>
      <c r="P31" s="35" t="s">
        <v>956</v>
      </c>
      <c r="Q31" s="36"/>
    </row>
    <row r="32" spans="2:17" x14ac:dyDescent="0.2">
      <c r="B32" s="37" t="s">
        <v>921</v>
      </c>
      <c r="C32" s="38" t="s">
        <v>914</v>
      </c>
      <c r="D32" s="38" t="s">
        <v>915</v>
      </c>
      <c r="E32" s="38" t="s">
        <v>916</v>
      </c>
      <c r="F32" s="38" t="s">
        <v>917</v>
      </c>
      <c r="G32" s="38" t="s">
        <v>918</v>
      </c>
      <c r="H32" s="38" t="s">
        <v>919</v>
      </c>
      <c r="J32" s="39" t="s">
        <v>933</v>
      </c>
      <c r="K32" s="39" t="s">
        <v>934</v>
      </c>
      <c r="M32" s="39" t="s">
        <v>933</v>
      </c>
      <c r="N32" s="39" t="s">
        <v>934</v>
      </c>
      <c r="P32" s="39" t="s">
        <v>933</v>
      </c>
      <c r="Q32" s="39" t="s">
        <v>934</v>
      </c>
    </row>
    <row r="33" spans="2:17" x14ac:dyDescent="0.2">
      <c r="B33" s="20" t="s">
        <v>898</v>
      </c>
      <c r="C33" s="5">
        <f>ROUNDUP(COUNTIFS(VolumebyClient[Region Name],Summary!$B33,VolumebyClient[Quarter],Summary!C$32)/3,0)</f>
        <v>18</v>
      </c>
      <c r="D33" s="5">
        <f>ROUNDUP(COUNTIFS(VolumebyClient[Region Name],Summary!$B33,VolumebyClient[Quarter],Summary!D$32)/3,0)</f>
        <v>19</v>
      </c>
      <c r="E33" s="5">
        <f>ROUNDUP(COUNTIFS(VolumebyClient[Region Name],Summary!$B33,VolumebyClient[Quarter],Summary!E$32)/3,0)</f>
        <v>19</v>
      </c>
      <c r="F33" s="5">
        <f>ROUNDUP(COUNTIFS(VolumebyClient[Region Name],Summary!$B33,VolumebyClient[Quarter],Summary!F$32)/3,0)</f>
        <v>20</v>
      </c>
      <c r="G33" s="5">
        <f>ROUNDUP(COUNTIFS(VolumebyClient[Region Name],Summary!$B33,VolumebyClient[Quarter],Summary!G$32)/3,0)</f>
        <v>20</v>
      </c>
      <c r="H33" s="47">
        <f>ROUNDUP(COUNTIFS(VolumebyClient[Region Name],Summary!$B33,VolumebyClient[Quarter],Summary!H$32)/3,0)</f>
        <v>20</v>
      </c>
      <c r="J33" s="9">
        <f>G33-C33</f>
        <v>2</v>
      </c>
      <c r="K33" s="43">
        <f>G33/C33-1</f>
        <v>0.11111111111111116</v>
      </c>
      <c r="M33" s="9">
        <f>H33-D33</f>
        <v>1</v>
      </c>
      <c r="N33" s="43">
        <f>H33/D33-1</f>
        <v>5.2631578947368363E-2</v>
      </c>
      <c r="P33" s="9">
        <f>SUM(G33:H33)-SUM(C33:D33)</f>
        <v>3</v>
      </c>
      <c r="Q33" s="43">
        <f>SUM(G33:H33)/SUM(C33:D33)-1</f>
        <v>8.1081081081081141E-2</v>
      </c>
    </row>
    <row r="34" spans="2:17" x14ac:dyDescent="0.2">
      <c r="B34" s="20" t="s">
        <v>899</v>
      </c>
      <c r="C34" s="5">
        <f>ROUNDUP(COUNTIFS(VolumebyClient[Region Name],Summary!$B34,VolumebyClient[Quarter],Summary!C$32)/3,0)</f>
        <v>8</v>
      </c>
      <c r="D34" s="5">
        <f>ROUNDUP(COUNTIFS(VolumebyClient[Region Name],Summary!$B34,VolumebyClient[Quarter],Summary!D$32)/3,0)</f>
        <v>8</v>
      </c>
      <c r="E34" s="5">
        <f>ROUNDUP(COUNTIFS(VolumebyClient[Region Name],Summary!$B34,VolumebyClient[Quarter],Summary!E$32)/3,0)</f>
        <v>8</v>
      </c>
      <c r="F34" s="5">
        <f>ROUNDUP(COUNTIFS(VolumebyClient[Region Name],Summary!$B34,VolumebyClient[Quarter],Summary!F$32)/3,0)</f>
        <v>8</v>
      </c>
      <c r="G34" s="5">
        <f>ROUNDUP(COUNTIFS(VolumebyClient[Region Name],Summary!$B34,VolumebyClient[Quarter],Summary!G$32)/3,0)</f>
        <v>8</v>
      </c>
      <c r="H34" s="47">
        <f>ROUNDUP(COUNTIFS(VolumebyClient[Region Name],Summary!$B34,VolumebyClient[Quarter],Summary!H$32)/3,0)</f>
        <v>8</v>
      </c>
      <c r="J34" s="9">
        <f t="shared" ref="J34:J37" si="3">G34-C34</f>
        <v>0</v>
      </c>
      <c r="K34" s="43">
        <f t="shared" ref="K34:K37" si="4">G34/C34-1</f>
        <v>0</v>
      </c>
      <c r="M34" s="9">
        <f>H34-D34</f>
        <v>0</v>
      </c>
      <c r="N34" s="43">
        <f>H34/D34-1</f>
        <v>0</v>
      </c>
      <c r="P34" s="9">
        <f>SUM(G34:H34)-SUM(C34:D34)</f>
        <v>0</v>
      </c>
      <c r="Q34" s="43">
        <f>SUM(G34:H34)/SUM(C34:D34)-1</f>
        <v>0</v>
      </c>
    </row>
    <row r="35" spans="2:17" x14ac:dyDescent="0.2">
      <c r="B35" s="20" t="s">
        <v>908</v>
      </c>
      <c r="C35" s="5">
        <f>ROUNDUP(COUNTIFS(VolumebyClient[Region Name],Summary!$B35,VolumebyClient[Quarter],Summary!C$32)/3,0)</f>
        <v>13</v>
      </c>
      <c r="D35" s="5">
        <f>ROUNDUP(COUNTIFS(VolumebyClient[Region Name],Summary!$B35,VolumebyClient[Quarter],Summary!D$32)/3,0)</f>
        <v>13</v>
      </c>
      <c r="E35" s="5">
        <f>ROUNDUP(COUNTIFS(VolumebyClient[Region Name],Summary!$B35,VolumebyClient[Quarter],Summary!E$32)/3,0)</f>
        <v>14</v>
      </c>
      <c r="F35" s="5">
        <f>ROUNDUP(COUNTIFS(VolumebyClient[Region Name],Summary!$B35,VolumebyClient[Quarter],Summary!F$32)/3,0)</f>
        <v>14</v>
      </c>
      <c r="G35" s="5">
        <f>ROUNDUP(COUNTIFS(VolumebyClient[Region Name],Summary!$B35,VolumebyClient[Quarter],Summary!G$32)/3,0)</f>
        <v>14</v>
      </c>
      <c r="H35" s="47">
        <f>ROUNDUP(COUNTIFS(VolumebyClient[Region Name],Summary!$B35,VolumebyClient[Quarter],Summary!H$32)/3,0)</f>
        <v>13</v>
      </c>
      <c r="J35" s="9">
        <f t="shared" si="3"/>
        <v>1</v>
      </c>
      <c r="K35" s="43">
        <f t="shared" si="4"/>
        <v>7.6923076923076872E-2</v>
      </c>
      <c r="M35" s="9">
        <f>H35-D35</f>
        <v>0</v>
      </c>
      <c r="N35" s="43">
        <f>H35/D35-1</f>
        <v>0</v>
      </c>
      <c r="P35" s="9">
        <f>SUM(G35:H35)-SUM(C35:D35)</f>
        <v>1</v>
      </c>
      <c r="Q35" s="43">
        <f>SUM(G35:H35)/SUM(C35:D35)-1</f>
        <v>3.8461538461538547E-2</v>
      </c>
    </row>
    <row r="36" spans="2:17" x14ac:dyDescent="0.2">
      <c r="B36" s="20" t="s">
        <v>907</v>
      </c>
      <c r="C36" s="5">
        <f>ROUNDUP(COUNTIFS(VolumebyClient[Region Name],Summary!$B36,VolumebyClient[Quarter],Summary!C$32)/3,0)</f>
        <v>10</v>
      </c>
      <c r="D36" s="5">
        <f>ROUNDUP(COUNTIFS(VolumebyClient[Region Name],Summary!$B36,VolumebyClient[Quarter],Summary!D$32)/3,0)</f>
        <v>10</v>
      </c>
      <c r="E36" s="5">
        <f>ROUNDUP(COUNTIFS(VolumebyClient[Region Name],Summary!$B36,VolumebyClient[Quarter],Summary!E$32)/3,0)</f>
        <v>11</v>
      </c>
      <c r="F36" s="5">
        <f>ROUNDUP(COUNTIFS(VolumebyClient[Region Name],Summary!$B36,VolumebyClient[Quarter],Summary!F$32)/3,0)</f>
        <v>11</v>
      </c>
      <c r="G36" s="5">
        <f>ROUNDUP(COUNTIFS(VolumebyClient[Region Name],Summary!$B36,VolumebyClient[Quarter],Summary!G$32)/3,0)</f>
        <v>11</v>
      </c>
      <c r="H36" s="47">
        <f>ROUNDUP(COUNTIFS(VolumebyClient[Region Name],Summary!$B36,VolumebyClient[Quarter],Summary!H$32)/3,0)</f>
        <v>9</v>
      </c>
      <c r="J36" s="9">
        <f t="shared" si="3"/>
        <v>1</v>
      </c>
      <c r="K36" s="43">
        <f t="shared" si="4"/>
        <v>0.10000000000000009</v>
      </c>
      <c r="M36" s="9">
        <f>H36-D36</f>
        <v>-1</v>
      </c>
      <c r="N36" s="43">
        <f>H36/D36-1</f>
        <v>-9.9999999999999978E-2</v>
      </c>
      <c r="P36" s="9">
        <f>SUM(G36:H36)-SUM(C36:D36)</f>
        <v>0</v>
      </c>
      <c r="Q36" s="43">
        <f>SUM(G36:H36)/SUM(C36:D36)-1</f>
        <v>0</v>
      </c>
    </row>
    <row r="37" spans="2:17" x14ac:dyDescent="0.2">
      <c r="B37" s="19" t="s">
        <v>945</v>
      </c>
      <c r="C37" s="31">
        <f>SUM(C33:C36)</f>
        <v>49</v>
      </c>
      <c r="D37" s="31">
        <f t="shared" ref="D37:H37" si="5">SUM(D33:D36)</f>
        <v>50</v>
      </c>
      <c r="E37" s="31">
        <f t="shared" si="5"/>
        <v>52</v>
      </c>
      <c r="F37" s="31">
        <f t="shared" si="5"/>
        <v>53</v>
      </c>
      <c r="G37" s="31">
        <f t="shared" si="5"/>
        <v>53</v>
      </c>
      <c r="H37" s="48">
        <f t="shared" si="5"/>
        <v>50</v>
      </c>
      <c r="J37" s="31">
        <f t="shared" si="3"/>
        <v>4</v>
      </c>
      <c r="K37" s="44">
        <f t="shared" si="4"/>
        <v>8.163265306122458E-2</v>
      </c>
      <c r="M37" s="31">
        <f>H37-D37</f>
        <v>0</v>
      </c>
      <c r="N37" s="44">
        <f>H37/D37-1</f>
        <v>0</v>
      </c>
      <c r="P37" s="31">
        <f>SUM(G37:H37)-SUM(C37:D37)</f>
        <v>4</v>
      </c>
      <c r="Q37" s="44">
        <f>SUM(G37:H37)/SUM(C37:D37)-1</f>
        <v>4.0404040404040442E-2</v>
      </c>
    </row>
    <row r="39" spans="2:17" ht="15" x14ac:dyDescent="0.25">
      <c r="B39" s="33" t="s">
        <v>957</v>
      </c>
      <c r="C39" s="34"/>
      <c r="D39" s="34"/>
      <c r="E39" s="34"/>
      <c r="F39" s="34"/>
      <c r="G39" s="34"/>
      <c r="H39" s="34"/>
      <c r="J39" s="35" t="s">
        <v>932</v>
      </c>
      <c r="K39" s="36"/>
      <c r="M39" s="35" t="s">
        <v>935</v>
      </c>
      <c r="N39" s="36"/>
      <c r="P39" s="35" t="s">
        <v>956</v>
      </c>
      <c r="Q39" s="36"/>
    </row>
    <row r="40" spans="2:17" x14ac:dyDescent="0.2">
      <c r="B40" s="37" t="s">
        <v>921</v>
      </c>
      <c r="C40" s="38" t="s">
        <v>914</v>
      </c>
      <c r="D40" s="38" t="s">
        <v>915</v>
      </c>
      <c r="E40" s="38" t="s">
        <v>916</v>
      </c>
      <c r="F40" s="38" t="s">
        <v>917</v>
      </c>
      <c r="G40" s="38" t="s">
        <v>918</v>
      </c>
      <c r="H40" s="38" t="s">
        <v>919</v>
      </c>
      <c r="J40" s="39" t="s">
        <v>933</v>
      </c>
      <c r="K40" s="39" t="s">
        <v>934</v>
      </c>
      <c r="M40" s="39" t="s">
        <v>933</v>
      </c>
      <c r="N40" s="39" t="s">
        <v>934</v>
      </c>
      <c r="P40" s="39" t="s">
        <v>933</v>
      </c>
      <c r="Q40" s="39" t="s">
        <v>934</v>
      </c>
    </row>
    <row r="41" spans="2:17" x14ac:dyDescent="0.2">
      <c r="B41" s="20" t="s">
        <v>898</v>
      </c>
      <c r="C41" s="5">
        <f>C25/C33</f>
        <v>28301.055555555555</v>
      </c>
      <c r="D41" s="5">
        <f t="shared" ref="D41:H41" si="6">D25/D33</f>
        <v>30348.315789473683</v>
      </c>
      <c r="E41" s="5">
        <f t="shared" si="6"/>
        <v>19141.78947368421</v>
      </c>
      <c r="F41" s="5">
        <f t="shared" si="6"/>
        <v>21601.7</v>
      </c>
      <c r="G41" s="5">
        <f t="shared" si="6"/>
        <v>26500.95</v>
      </c>
      <c r="H41" s="47">
        <f t="shared" si="6"/>
        <v>29825.1</v>
      </c>
      <c r="J41" s="9">
        <f>G41-C41</f>
        <v>-1800.105555555554</v>
      </c>
      <c r="K41" s="43">
        <f>G41/C41-1</f>
        <v>-6.3605597749593068E-2</v>
      </c>
      <c r="M41" s="9">
        <f>H41-D41</f>
        <v>-523.21578947368471</v>
      </c>
      <c r="N41" s="43">
        <f>H41/D41-1</f>
        <v>-1.7240356700623294E-2</v>
      </c>
      <c r="P41" s="9">
        <f>SUM(G41:H41)-SUM(C41:D41)</f>
        <v>-2323.3213450292387</v>
      </c>
      <c r="Q41" s="43">
        <f>SUM(G41:H41)/SUM(C41:D41)-1</f>
        <v>-3.9613746775925995E-2</v>
      </c>
    </row>
    <row r="42" spans="2:17" x14ac:dyDescent="0.2">
      <c r="B42" s="20" t="s">
        <v>899</v>
      </c>
      <c r="C42" s="5">
        <f t="shared" ref="C42:H42" si="7">C26/C34</f>
        <v>18481.5</v>
      </c>
      <c r="D42" s="5">
        <f t="shared" si="7"/>
        <v>21695.75</v>
      </c>
      <c r="E42" s="5">
        <f t="shared" si="7"/>
        <v>12942</v>
      </c>
      <c r="F42" s="5">
        <f t="shared" si="7"/>
        <v>16158</v>
      </c>
      <c r="G42" s="5">
        <f t="shared" si="7"/>
        <v>18775.5</v>
      </c>
      <c r="H42" s="47">
        <f t="shared" si="7"/>
        <v>22042.25</v>
      </c>
      <c r="J42" s="9">
        <f t="shared" ref="J42:J45" si="8">G42-C42</f>
        <v>294</v>
      </c>
      <c r="K42" s="43">
        <f t="shared" ref="K42:K45" si="9">G42/C42-1</f>
        <v>1.5907799691583513E-2</v>
      </c>
      <c r="M42" s="9">
        <f>H42-D42</f>
        <v>346.5</v>
      </c>
      <c r="N42" s="43">
        <f>H42/D42-1</f>
        <v>1.5970869870827187E-2</v>
      </c>
      <c r="P42" s="9">
        <f>SUM(G42:H42)-SUM(C42:D42)</f>
        <v>640.5</v>
      </c>
      <c r="Q42" s="43">
        <f>SUM(G42:H42)/SUM(C42:D42)-1</f>
        <v>1.5941857643318125E-2</v>
      </c>
    </row>
    <row r="43" spans="2:17" x14ac:dyDescent="0.2">
      <c r="B43" s="20" t="s">
        <v>908</v>
      </c>
      <c r="C43" s="5">
        <f t="shared" ref="C43:H43" si="10">C27/C35</f>
        <v>7364.3076923076924</v>
      </c>
      <c r="D43" s="5">
        <f t="shared" si="10"/>
        <v>8256.7692307692305</v>
      </c>
      <c r="E43" s="5">
        <f t="shared" si="10"/>
        <v>4942.7142857142853</v>
      </c>
      <c r="F43" s="5">
        <f t="shared" si="10"/>
        <v>5724.5714285714284</v>
      </c>
      <c r="G43" s="5">
        <f t="shared" si="10"/>
        <v>7127</v>
      </c>
      <c r="H43" s="47">
        <f t="shared" si="10"/>
        <v>8447</v>
      </c>
      <c r="J43" s="9">
        <f t="shared" si="8"/>
        <v>-237.30769230769238</v>
      </c>
      <c r="K43" s="43">
        <f t="shared" si="9"/>
        <v>-3.2224032756747678E-2</v>
      </c>
      <c r="M43" s="9">
        <f>H43-D43</f>
        <v>190.23076923076951</v>
      </c>
      <c r="N43" s="43">
        <f>H43/D43-1</f>
        <v>2.3039370959026639E-2</v>
      </c>
      <c r="P43" s="9">
        <f>SUM(G43:H43)-SUM(C43:D43)</f>
        <v>-47.076923076921958</v>
      </c>
      <c r="Q43" s="43">
        <f>SUM(G43:H43)/SUM(C43:D43)-1</f>
        <v>-3.0136797423598871E-3</v>
      </c>
    </row>
    <row r="44" spans="2:17" x14ac:dyDescent="0.2">
      <c r="B44" s="20" t="s">
        <v>907</v>
      </c>
      <c r="C44" s="5">
        <f t="shared" ref="C44:H44" si="11">C28/C36</f>
        <v>6905.3</v>
      </c>
      <c r="D44" s="5">
        <f t="shared" si="11"/>
        <v>8261.7999999999993</v>
      </c>
      <c r="E44" s="5">
        <f t="shared" si="11"/>
        <v>4597.636363636364</v>
      </c>
      <c r="F44" s="5">
        <f t="shared" si="11"/>
        <v>5920.090909090909</v>
      </c>
      <c r="G44" s="5">
        <f t="shared" si="11"/>
        <v>6842.272727272727</v>
      </c>
      <c r="H44" s="47">
        <f t="shared" si="11"/>
        <v>9181.2222222222226</v>
      </c>
      <c r="J44" s="9">
        <f t="shared" si="8"/>
        <v>-63.027272727273157</v>
      </c>
      <c r="K44" s="43">
        <f t="shared" si="9"/>
        <v>-9.1273764684044467E-3</v>
      </c>
      <c r="M44" s="9">
        <f>H44-D44</f>
        <v>919.42222222222335</v>
      </c>
      <c r="N44" s="43">
        <f>H44/D44-1</f>
        <v>0.11128594522043911</v>
      </c>
      <c r="P44" s="9">
        <f>SUM(G44:H44)-SUM(C44:D44)</f>
        <v>856.39494949495202</v>
      </c>
      <c r="Q44" s="43">
        <f>SUM(G44:H44)/SUM(C44:D44)-1</f>
        <v>5.6463987808806682E-2</v>
      </c>
    </row>
    <row r="45" spans="2:17" x14ac:dyDescent="0.2">
      <c r="B45" s="19" t="s">
        <v>945</v>
      </c>
      <c r="C45" s="31">
        <f t="shared" ref="C45:H45" si="12">C29/C37</f>
        <v>16776.734693877552</v>
      </c>
      <c r="D45" s="31">
        <f t="shared" si="12"/>
        <v>18802.8</v>
      </c>
      <c r="E45" s="31">
        <f t="shared" si="12"/>
        <v>11288.5</v>
      </c>
      <c r="F45" s="31">
        <f t="shared" si="12"/>
        <v>13331.377358490567</v>
      </c>
      <c r="G45" s="31">
        <f t="shared" si="12"/>
        <v>16137.094339622641</v>
      </c>
      <c r="H45" s="48">
        <f t="shared" si="12"/>
        <v>19305.64</v>
      </c>
      <c r="J45" s="31">
        <f t="shared" si="8"/>
        <v>-639.64035425491056</v>
      </c>
      <c r="K45" s="44">
        <f t="shared" si="9"/>
        <v>-3.8126629879194462E-2</v>
      </c>
      <c r="M45" s="31">
        <f>H45-D45</f>
        <v>502.84000000000015</v>
      </c>
      <c r="N45" s="44">
        <f>H45/D45-1</f>
        <v>2.6742825536622217E-2</v>
      </c>
      <c r="P45" s="31">
        <f>SUM(G45:H45)-SUM(C45:D45)</f>
        <v>-136.80035425490496</v>
      </c>
      <c r="Q45" s="44">
        <f>SUM(G45:H45)/SUM(C45:D45)-1</f>
        <v>-3.8449169004575179E-3</v>
      </c>
    </row>
    <row r="47" spans="2:17" x14ac:dyDescent="0.2">
      <c r="B47" s="18" t="s">
        <v>960</v>
      </c>
      <c r="M47" s="50"/>
    </row>
    <row r="48" spans="2:17" x14ac:dyDescent="0.2">
      <c r="B48" s="18" t="s">
        <v>961</v>
      </c>
    </row>
    <row r="49" spans="2:2" x14ac:dyDescent="0.2">
      <c r="B49" s="51" t="s">
        <v>962</v>
      </c>
    </row>
    <row r="50" spans="2:2" x14ac:dyDescent="0.2">
      <c r="B50" s="51" t="s">
        <v>963</v>
      </c>
    </row>
    <row r="51" spans="2:2" x14ac:dyDescent="0.2">
      <c r="B51" s="51"/>
    </row>
    <row r="53" spans="2:2" x14ac:dyDescent="0.2">
      <c r="B53" s="23"/>
    </row>
    <row r="54" spans="2:2" x14ac:dyDescent="0.2">
      <c r="B54" s="23"/>
    </row>
    <row r="56" spans="2:2" x14ac:dyDescent="0.2">
      <c r="B56" s="23"/>
    </row>
    <row r="58" spans="2:2" x14ac:dyDescent="0.2">
      <c r="B58" s="23"/>
    </row>
  </sheetData>
  <pageMargins left="0.7" right="0.7" top="0.75" bottom="0.75" header="0.3" footer="0.3"/>
  <pageSetup paperSize="2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CEE82153-BA13-47BE-9239-ACC0A04E626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2" id="{E512727B-3884-4032-BCB0-D25858D03D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N25:N29</xm:sqref>
        </x14:conditionalFormatting>
        <x14:conditionalFormatting xmlns:xm="http://schemas.microsoft.com/office/excel/2006/main">
          <x14:cfRule type="iconSet" priority="11" id="{1FD74CE5-4633-4699-8E34-6E38153DA2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Q25:Q29</xm:sqref>
        </x14:conditionalFormatting>
        <x14:conditionalFormatting xmlns:xm="http://schemas.microsoft.com/office/excel/2006/main">
          <x14:cfRule type="iconSet" priority="10" id="{9E9F1AFB-4FF5-48FF-9A91-D8A980E62C7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N33:N37</xm:sqref>
        </x14:conditionalFormatting>
        <x14:conditionalFormatting xmlns:xm="http://schemas.microsoft.com/office/excel/2006/main">
          <x14:cfRule type="iconSet" priority="9" id="{FF421590-3484-46D9-AF4D-EA6620EC01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Q33:Q37</xm:sqref>
        </x14:conditionalFormatting>
        <x14:conditionalFormatting xmlns:xm="http://schemas.microsoft.com/office/excel/2006/main">
          <x14:cfRule type="iconSet" priority="8" id="{A980C32E-5FD8-404D-A7C8-7E3F5E1B242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7" id="{6C4D67D8-9DCA-4746-BC9F-C0B3A9107BF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N41:N45</xm:sqref>
        </x14:conditionalFormatting>
        <x14:conditionalFormatting xmlns:xm="http://schemas.microsoft.com/office/excel/2006/main">
          <x14:cfRule type="iconSet" priority="6" id="{E192AF3B-D71C-4D46-9813-A6B7A5A2F07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Q41:Q45</xm:sqref>
        </x14:conditionalFormatting>
        <x14:conditionalFormatting xmlns:xm="http://schemas.microsoft.com/office/excel/2006/main">
          <x14:cfRule type="iconSet" priority="5" id="{8C6D02BB-B37A-4CC9-9049-30E3DDA90B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K25:K29</xm:sqref>
        </x14:conditionalFormatting>
        <x14:conditionalFormatting xmlns:xm="http://schemas.microsoft.com/office/excel/2006/main">
          <x14:cfRule type="iconSet" priority="2" id="{8FA7640A-7FE8-45CA-8C2E-B2A03B1F53F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K33:K37</xm:sqref>
        </x14:conditionalFormatting>
        <x14:conditionalFormatting xmlns:xm="http://schemas.microsoft.com/office/excel/2006/main">
          <x14:cfRule type="iconSet" priority="1" id="{FD50ADC7-F05F-4AE8-9E42-303134169A3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K41:K45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36"/>
  <sheetViews>
    <sheetView topLeftCell="G16" workbookViewId="0">
      <selection activeCell="A35" sqref="A35:M40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6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3">
        <f>C36/(1-J36)</f>
        <v>600918.05953123746</v>
      </c>
      <c r="P36" s="14">
        <f>O36/$O$40</f>
        <v>0.61336055121642019</v>
      </c>
      <c r="Q36" s="13">
        <f>O36-G36</f>
        <v>4416.0595312374644</v>
      </c>
      <c r="R36" s="15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3">
        <f t="shared" ref="O37:O40" si="4">C37/(1-J37)</f>
        <v>176371.68544329898</v>
      </c>
      <c r="P37" s="14">
        <f>O37/$O$40</f>
        <v>0.18002360302976958</v>
      </c>
      <c r="Q37" s="13">
        <f>O37-G37</f>
        <v>33.685443298978498</v>
      </c>
      <c r="R37" s="14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3">
        <f t="shared" si="4"/>
        <v>112069.60944009421</v>
      </c>
      <c r="P38" s="14">
        <f>O38/$O$40</f>
        <v>0.11439010083073041</v>
      </c>
      <c r="Q38" s="13">
        <f>O38-G38</f>
        <v>2258.6094400942093</v>
      </c>
      <c r="R38" s="14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3">
        <f t="shared" si="4"/>
        <v>90785.009054598122</v>
      </c>
      <c r="P39" s="14">
        <f>O39/$O$40</f>
        <v>9.2664785677025227E-2</v>
      </c>
      <c r="Q39" s="13">
        <f>O39-G39</f>
        <v>8154.009054598122</v>
      </c>
      <c r="R39" s="14">
        <f>Q39/$Q$40</f>
        <v>0.56498611941039234</v>
      </c>
      <c r="S39" s="3" t="s">
        <v>946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3">
        <f t="shared" si="4"/>
        <v>979714.22899547953</v>
      </c>
      <c r="P40" s="14">
        <f>O40/$O$40</f>
        <v>1</v>
      </c>
      <c r="Q40" s="13">
        <f>O40-G40</f>
        <v>14432.228995479527</v>
      </c>
      <c r="R40" s="14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3" t="s">
        <v>947</v>
      </c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2" t="s">
        <v>948</v>
      </c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3" t="s">
        <v>949</v>
      </c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22" t="s">
        <v>950</v>
      </c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L54" s="3">
        <f>I54/D54-1</f>
        <v>3.2046377493967437E-2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  <c r="L55" s="3">
        <f t="shared" ref="L55:L56" si="5">I55/D55-1</f>
        <v>1.5301154541660811E-2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  <c r="L56" s="3">
        <f t="shared" si="5"/>
        <v>3.5687619433300899E-2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2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2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2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2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2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2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2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2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2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2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2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  <c r="L75" s="3">
        <f>I75/D75-1</f>
        <v>1.3716013418079154E-2</v>
      </c>
    </row>
    <row r="76" spans="1:12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  <c r="L76" s="3">
        <f t="shared" ref="L76:L77" si="6">I76/D76-1</f>
        <v>2.9999131718329464E-2</v>
      </c>
    </row>
    <row r="77" spans="1:12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  <c r="L77" s="3">
        <f t="shared" si="6"/>
        <v>-5.3475935828872778E-4</v>
      </c>
    </row>
    <row r="78" spans="1:12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2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2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2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2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2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2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  <c r="L84" s="3">
        <f>I84/D84-1</f>
        <v>9.1865011578027289E-3</v>
      </c>
    </row>
    <row r="85" spans="1:12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  <c r="L85" s="3">
        <f t="shared" ref="L85:L87" si="7">I85/D85-1</f>
        <v>2.2120414373141051E-2</v>
      </c>
    </row>
    <row r="86" spans="1:12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  <c r="L86" s="3">
        <f t="shared" si="7"/>
        <v>3.4714003944773086E-2</v>
      </c>
    </row>
    <row r="87" spans="1:12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  <c r="L87" s="3">
        <f t="shared" si="7"/>
        <v>1.6408181613845718E-2</v>
      </c>
    </row>
    <row r="88" spans="1:12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2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2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2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2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2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2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2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2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2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2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2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  <c r="L99" s="3">
        <f>I99/D99-1</f>
        <v>2.7674186382996124E-2</v>
      </c>
    </row>
    <row r="100" spans="1:12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  <c r="L100" s="3">
        <f t="shared" ref="L100:L102" si="8">I100/D100-1</f>
        <v>2.6335761991499673E-2</v>
      </c>
    </row>
    <row r="101" spans="1:12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  <c r="L101" s="3">
        <f t="shared" si="8"/>
        <v>1.0386965376782076E-2</v>
      </c>
    </row>
    <row r="102" spans="1:12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  <c r="L102" s="3">
        <f t="shared" si="8"/>
        <v>-4.2735042735042583E-4</v>
      </c>
    </row>
    <row r="103" spans="1:12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2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2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2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2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2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2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2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2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18" t="s">
        <v>925</v>
      </c>
      <c r="D115" s="18" t="s">
        <v>925</v>
      </c>
      <c r="E115" s="18" t="s">
        <v>925</v>
      </c>
      <c r="F115" s="18" t="s">
        <v>925</v>
      </c>
      <c r="G115" s="18"/>
      <c r="H115" s="18" t="s">
        <v>926</v>
      </c>
      <c r="I115" s="18" t="s">
        <v>926</v>
      </c>
    </row>
    <row r="116" spans="2:11" x14ac:dyDescent="0.2">
      <c r="C116" s="18" t="s">
        <v>927</v>
      </c>
      <c r="D116" s="18" t="s">
        <v>928</v>
      </c>
      <c r="E116" s="18" t="s">
        <v>929</v>
      </c>
      <c r="F116" s="18" t="s">
        <v>930</v>
      </c>
      <c r="G116" s="18"/>
      <c r="H116" s="18" t="s">
        <v>927</v>
      </c>
      <c r="I116" s="18" t="s">
        <v>928</v>
      </c>
    </row>
    <row r="117" spans="2:11" x14ac:dyDescent="0.2">
      <c r="B117" s="20" t="s">
        <v>898</v>
      </c>
      <c r="C117" s="3">
        <f>COUNTIFS(C$54:C$109,"&gt;0",$A$54:$A$109,$B117)</f>
        <v>18</v>
      </c>
      <c r="D117" s="3">
        <f t="shared" ref="D117:F120" si="9">COUNTIFS(D$54:D$109,"&gt;0",$A$54:$A$109,$B117)</f>
        <v>19</v>
      </c>
      <c r="E117" s="3">
        <f t="shared" si="9"/>
        <v>19</v>
      </c>
      <c r="F117" s="3">
        <f t="shared" si="9"/>
        <v>20</v>
      </c>
      <c r="H117" s="3">
        <f t="shared" ref="H117:I120" si="10">COUNTIFS(H$54:H$109,"&gt;0",$A$54:$A$109,$B117)</f>
        <v>20</v>
      </c>
      <c r="I117" s="3">
        <f t="shared" si="10"/>
        <v>20</v>
      </c>
      <c r="K117" s="3">
        <f>I117-D117</f>
        <v>1</v>
      </c>
    </row>
    <row r="118" spans="2:11" x14ac:dyDescent="0.2">
      <c r="B118" s="20" t="s">
        <v>899</v>
      </c>
      <c r="C118" s="3">
        <f t="shared" ref="C118:C120" si="11">COUNTIFS(C$54:C$109,"&gt;0",$A$54:$A$109,$B118)</f>
        <v>8</v>
      </c>
      <c r="D118" s="3">
        <f t="shared" si="9"/>
        <v>8</v>
      </c>
      <c r="E118" s="3">
        <f t="shared" si="9"/>
        <v>8</v>
      </c>
      <c r="F118" s="3">
        <f t="shared" si="9"/>
        <v>8</v>
      </c>
      <c r="H118" s="3">
        <f t="shared" si="10"/>
        <v>8</v>
      </c>
      <c r="I118" s="3">
        <f t="shared" si="10"/>
        <v>8</v>
      </c>
      <c r="K118" s="3">
        <f t="shared" ref="K118:K121" si="12">I118-D118</f>
        <v>0</v>
      </c>
    </row>
    <row r="119" spans="2:11" x14ac:dyDescent="0.2">
      <c r="B119" s="20" t="s">
        <v>908</v>
      </c>
      <c r="C119" s="3">
        <f t="shared" si="11"/>
        <v>13</v>
      </c>
      <c r="D119" s="3">
        <f t="shared" si="9"/>
        <v>13</v>
      </c>
      <c r="E119" s="3">
        <f t="shared" si="9"/>
        <v>14</v>
      </c>
      <c r="F119" s="3">
        <f t="shared" si="9"/>
        <v>14</v>
      </c>
      <c r="H119" s="3">
        <f t="shared" si="10"/>
        <v>14</v>
      </c>
      <c r="I119" s="3">
        <f t="shared" si="10"/>
        <v>13</v>
      </c>
      <c r="K119" s="3">
        <f t="shared" si="12"/>
        <v>0</v>
      </c>
    </row>
    <row r="120" spans="2:11" x14ac:dyDescent="0.2">
      <c r="B120" s="20" t="s">
        <v>907</v>
      </c>
      <c r="C120" s="3">
        <f t="shared" si="11"/>
        <v>10</v>
      </c>
      <c r="D120" s="3">
        <f t="shared" si="9"/>
        <v>10</v>
      </c>
      <c r="E120" s="3">
        <f t="shared" si="9"/>
        <v>11</v>
      </c>
      <c r="F120" s="3">
        <f t="shared" si="9"/>
        <v>11</v>
      </c>
      <c r="H120" s="3">
        <f t="shared" si="10"/>
        <v>11</v>
      </c>
      <c r="I120" s="3">
        <f t="shared" si="10"/>
        <v>9</v>
      </c>
      <c r="K120" s="3">
        <f t="shared" si="12"/>
        <v>-1</v>
      </c>
    </row>
    <row r="121" spans="2:11" x14ac:dyDescent="0.2">
      <c r="B121" s="19" t="s">
        <v>945</v>
      </c>
      <c r="C121" s="19">
        <f>SUM(C117:C120)</f>
        <v>49</v>
      </c>
      <c r="D121" s="19">
        <f t="shared" ref="D121:I121" si="13">SUM(D117:D120)</f>
        <v>50</v>
      </c>
      <c r="E121" s="19">
        <f t="shared" si="13"/>
        <v>52</v>
      </c>
      <c r="F121" s="19">
        <f t="shared" si="13"/>
        <v>53</v>
      </c>
      <c r="G121" s="17"/>
      <c r="H121" s="19">
        <f t="shared" si="13"/>
        <v>53</v>
      </c>
      <c r="I121" s="19">
        <f t="shared" si="13"/>
        <v>50</v>
      </c>
      <c r="K121" s="3">
        <f t="shared" si="12"/>
        <v>0</v>
      </c>
    </row>
    <row r="125" spans="2:11" x14ac:dyDescent="0.2">
      <c r="B125" s="20" t="s">
        <v>898</v>
      </c>
      <c r="C125" s="5">
        <f>B36/C117</f>
        <v>28301.055555555555</v>
      </c>
      <c r="D125" s="5">
        <f t="shared" ref="D125:F125" si="14">C36/D117</f>
        <v>30348.315789473683</v>
      </c>
      <c r="E125" s="5">
        <f t="shared" si="14"/>
        <v>19141.78947368421</v>
      </c>
      <c r="F125" s="5">
        <f t="shared" si="14"/>
        <v>21601.7</v>
      </c>
      <c r="H125" s="5">
        <f t="shared" ref="H125:I129" si="15">F36/H117</f>
        <v>26500.95</v>
      </c>
      <c r="I125" s="5">
        <f t="shared" si="15"/>
        <v>29825.1</v>
      </c>
      <c r="K125" s="21"/>
    </row>
    <row r="126" spans="2:11" x14ac:dyDescent="0.2">
      <c r="B126" s="20" t="s">
        <v>899</v>
      </c>
      <c r="C126" s="5">
        <f t="shared" ref="C126:F126" si="16">B37/C118</f>
        <v>18481.5</v>
      </c>
      <c r="D126" s="5">
        <f t="shared" si="16"/>
        <v>21695.75</v>
      </c>
      <c r="E126" s="5">
        <f t="shared" si="16"/>
        <v>12942</v>
      </c>
      <c r="F126" s="5">
        <f t="shared" si="16"/>
        <v>16158</v>
      </c>
      <c r="H126" s="5">
        <f t="shared" si="15"/>
        <v>18775.5</v>
      </c>
      <c r="I126" s="5">
        <f t="shared" si="15"/>
        <v>22042.25</v>
      </c>
      <c r="K126" s="21"/>
    </row>
    <row r="127" spans="2:11" x14ac:dyDescent="0.2">
      <c r="B127" s="20" t="s">
        <v>908</v>
      </c>
      <c r="C127" s="5">
        <f t="shared" ref="C127:F127" si="17">B38/C119</f>
        <v>7364.3076923076924</v>
      </c>
      <c r="D127" s="5">
        <f t="shared" si="17"/>
        <v>8256.7692307692305</v>
      </c>
      <c r="E127" s="5">
        <f t="shared" si="17"/>
        <v>4942.7142857142853</v>
      </c>
      <c r="F127" s="5">
        <f t="shared" si="17"/>
        <v>5724.5714285714284</v>
      </c>
      <c r="H127" s="5">
        <f t="shared" si="15"/>
        <v>7127</v>
      </c>
      <c r="I127" s="5">
        <f t="shared" si="15"/>
        <v>8447</v>
      </c>
      <c r="K127" s="21"/>
    </row>
    <row r="128" spans="2:11" x14ac:dyDescent="0.2">
      <c r="B128" s="20" t="s">
        <v>907</v>
      </c>
      <c r="C128" s="5">
        <f t="shared" ref="C128:F129" si="18">B39/C120</f>
        <v>6905.3</v>
      </c>
      <c r="D128" s="5">
        <f t="shared" si="18"/>
        <v>8261.7999999999993</v>
      </c>
      <c r="E128" s="5">
        <f t="shared" si="18"/>
        <v>4597.636363636364</v>
      </c>
      <c r="F128" s="5">
        <f t="shared" si="18"/>
        <v>5920.090909090909</v>
      </c>
      <c r="H128" s="5">
        <f t="shared" si="15"/>
        <v>6842.272727272727</v>
      </c>
      <c r="I128" s="5">
        <f t="shared" si="15"/>
        <v>9181.2222222222226</v>
      </c>
      <c r="K128" s="21"/>
    </row>
    <row r="129" spans="2:11" x14ac:dyDescent="0.2">
      <c r="B129" s="19" t="s">
        <v>945</v>
      </c>
      <c r="C129" s="5">
        <f>B40/C121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H129" s="5">
        <f t="shared" si="15"/>
        <v>16137.094339622641</v>
      </c>
      <c r="I129" s="5">
        <f t="shared" si="15"/>
        <v>19305.64</v>
      </c>
      <c r="K129" s="21"/>
    </row>
    <row r="132" spans="2:11" x14ac:dyDescent="0.2">
      <c r="B132" s="20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">
        <f>I132/D132-1</f>
        <v>2.6990139052197382E-2</v>
      </c>
    </row>
    <row r="133" spans="2:11" x14ac:dyDescent="0.2">
      <c r="B133" s="20" t="s">
        <v>899</v>
      </c>
      <c r="D133" s="3">
        <f>SUMIFS(D$54:D$109,$A$54:$A$109,$B133,$I$54:$I$109,"&gt;0")</f>
        <v>173566</v>
      </c>
      <c r="I133" s="3">
        <f t="shared" ref="I133:I135" si="19">SUMIFS(I$54:I$109,$A$54:$A$109,$B133,$D$54:$D$109,"&gt;0")</f>
        <v>176338</v>
      </c>
      <c r="J133" s="3">
        <f t="shared" ref="J133:J136" si="20">I133/D133-1</f>
        <v>1.5970869870827187E-2</v>
      </c>
    </row>
    <row r="134" spans="2:11" x14ac:dyDescent="0.2">
      <c r="B134" s="20" t="s">
        <v>908</v>
      </c>
      <c r="D134" s="3">
        <f>SUMIFS(D$54:D$109,$A$54:$A$109,$B134,$I$54:$I$109,"&gt;0")</f>
        <v>106878</v>
      </c>
      <c r="I134" s="3">
        <f t="shared" si="19"/>
        <v>108557</v>
      </c>
      <c r="J134" s="3">
        <f t="shared" si="20"/>
        <v>1.5709500552031352E-2</v>
      </c>
    </row>
    <row r="135" spans="2:11" x14ac:dyDescent="0.2">
      <c r="B135" s="20" t="s">
        <v>907</v>
      </c>
      <c r="D135" s="3">
        <f>SUMIFS(D$54:D$109,$A$54:$A$109,$B135,$I$54:$I$109,"&gt;0")</f>
        <v>80739</v>
      </c>
      <c r="I135" s="3">
        <f t="shared" si="19"/>
        <v>82631</v>
      </c>
      <c r="J135" s="3">
        <f t="shared" si="20"/>
        <v>2.3433532741302221E-2</v>
      </c>
    </row>
    <row r="136" spans="2:11" x14ac:dyDescent="0.2">
      <c r="B136" s="19" t="s">
        <v>945</v>
      </c>
      <c r="D136" s="3">
        <f>SUM(D132:D135)</f>
        <v>937801</v>
      </c>
      <c r="I136" s="3">
        <f>SUM(I132:I135)</f>
        <v>959707</v>
      </c>
      <c r="J136" s="3">
        <f t="shared" si="20"/>
        <v>2.3358900235764368E-2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815" workbookViewId="0">
      <selection activeCell="R2" sqref="R2:R7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Summary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2022-02-15T02:16:34Z</dcterms:modified>
</cp:coreProperties>
</file>