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PWORK 2022\Alexey Nikolayev - Dashboards\Finance\"/>
    </mc:Choice>
  </mc:AlternateContent>
  <xr:revisionPtr revIDLastSave="0" documentId="13_ncr:1_{D91FA152-E9AC-41F3-A236-5FF8688B31C8}" xr6:coauthVersionLast="47" xr6:coauthVersionMax="47" xr10:uidLastSave="{00000000-0000-0000-0000-000000000000}"/>
  <bookViews>
    <workbookView xWindow="-108" yWindow="-108" windowWidth="23256" windowHeight="12576" activeTab="2" xr2:uid="{1BAAF924-7F21-40F6-B1E8-558FD3773833}"/>
  </bookViews>
  <sheets>
    <sheet name="Data" sheetId="1" r:id="rId1"/>
    <sheet name="Calculations" sheetId="2" r:id="rId2"/>
    <sheet name="Dashboard" sheetId="3" r:id="rId3"/>
    <sheet name="©" sheetId="4" r:id="rId4"/>
  </sheets>
  <definedNames>
    <definedName name="Category">#REF!</definedName>
    <definedName name="Transaction">#REF!</definedName>
  </definedNames>
  <calcPr calcId="191029"/>
  <pivotCaches>
    <pivotCache cacheId="3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9" i="2" l="1"/>
  <c r="L39" i="2"/>
  <c r="K39" i="2"/>
  <c r="J39" i="2"/>
  <c r="I39" i="2"/>
  <c r="J9" i="2"/>
  <c r="E561" i="1" a="1"/>
  <c r="E561" i="1" s="1"/>
  <c r="F561" i="1" s="1"/>
  <c r="E562" i="1" a="1"/>
  <c r="E562" i="1" s="1"/>
  <c r="F562" i="1" s="1"/>
  <c r="E563" i="1" a="1"/>
  <c r="E563" i="1" s="1"/>
  <c r="F563" i="1" s="1"/>
  <c r="E564" i="1" a="1"/>
  <c r="E564" i="1" s="1"/>
  <c r="F564" i="1" s="1"/>
  <c r="E565" i="1" a="1"/>
  <c r="E565" i="1" s="1"/>
  <c r="F565" i="1" s="1"/>
  <c r="E460" i="1" a="1"/>
  <c r="E460" i="1" s="1"/>
  <c r="F460" i="1" s="1"/>
  <c r="E461" i="1" a="1"/>
  <c r="E461" i="1" s="1"/>
  <c r="F461" i="1" s="1"/>
  <c r="E462" i="1" a="1"/>
  <c r="E462" i="1" s="1"/>
  <c r="F462" i="1" s="1"/>
  <c r="E463" i="1" a="1"/>
  <c r="E463" i="1" s="1"/>
  <c r="F463" i="1" s="1"/>
  <c r="E464" i="1" a="1"/>
  <c r="E464" i="1" s="1"/>
  <c r="F464" i="1" s="1"/>
  <c r="E465" i="1" a="1"/>
  <c r="E465" i="1" s="1"/>
  <c r="F465" i="1" s="1"/>
  <c r="E466" i="1" a="1"/>
  <c r="E466" i="1" s="1"/>
  <c r="F466" i="1" s="1"/>
  <c r="E467" i="1" a="1"/>
  <c r="E467" i="1" s="1"/>
  <c r="F467" i="1" s="1"/>
  <c r="E468" i="1" a="1"/>
  <c r="E468" i="1" s="1"/>
  <c r="F468" i="1" s="1"/>
  <c r="E469" i="1" a="1"/>
  <c r="E469" i="1" s="1"/>
  <c r="F469" i="1" s="1"/>
  <c r="E470" i="1" a="1"/>
  <c r="E470" i="1" s="1"/>
  <c r="F470" i="1" s="1"/>
  <c r="E471" i="1" a="1"/>
  <c r="E471" i="1" s="1"/>
  <c r="F471" i="1" s="1"/>
  <c r="E472" i="1" a="1"/>
  <c r="E472" i="1" s="1"/>
  <c r="F472" i="1" s="1"/>
  <c r="E473" i="1" a="1"/>
  <c r="E473" i="1" s="1"/>
  <c r="F473" i="1" s="1"/>
  <c r="E474" i="1" a="1"/>
  <c r="E474" i="1" s="1"/>
  <c r="F474" i="1" s="1"/>
  <c r="E475" i="1" a="1"/>
  <c r="E475" i="1" s="1"/>
  <c r="F475" i="1" s="1"/>
  <c r="E476" i="1" a="1"/>
  <c r="E476" i="1" s="1"/>
  <c r="F476" i="1" s="1"/>
  <c r="E477" i="1" a="1"/>
  <c r="E477" i="1" s="1"/>
  <c r="F477" i="1" s="1"/>
  <c r="E478" i="1" a="1"/>
  <c r="E478" i="1" s="1"/>
  <c r="F478" i="1" s="1"/>
  <c r="E479" i="1" a="1"/>
  <c r="E479" i="1" s="1"/>
  <c r="F479" i="1" s="1"/>
  <c r="E480" i="1" a="1"/>
  <c r="E480" i="1" s="1"/>
  <c r="F480" i="1" s="1"/>
  <c r="E481" i="1" a="1"/>
  <c r="E481" i="1" s="1"/>
  <c r="F481" i="1" s="1"/>
  <c r="E482" i="1" a="1"/>
  <c r="E482" i="1" s="1"/>
  <c r="F482" i="1" s="1"/>
  <c r="E483" i="1" a="1"/>
  <c r="E483" i="1" s="1"/>
  <c r="F483" i="1" s="1"/>
  <c r="E484" i="1" a="1"/>
  <c r="E484" i="1" s="1"/>
  <c r="F484" i="1" s="1"/>
  <c r="E485" i="1" a="1"/>
  <c r="E485" i="1" s="1"/>
  <c r="F485" i="1" s="1"/>
  <c r="E486" i="1" a="1"/>
  <c r="E486" i="1" s="1"/>
  <c r="F486" i="1" s="1"/>
  <c r="E487" i="1" a="1"/>
  <c r="E487" i="1" s="1"/>
  <c r="F487" i="1" s="1"/>
  <c r="E488" i="1" a="1"/>
  <c r="E488" i="1" s="1"/>
  <c r="F488" i="1" s="1"/>
  <c r="E489" i="1" a="1"/>
  <c r="E489" i="1" s="1"/>
  <c r="F489" i="1" s="1"/>
  <c r="E490" i="1" a="1"/>
  <c r="E490" i="1" s="1"/>
  <c r="F490" i="1" s="1"/>
  <c r="E491" i="1" a="1"/>
  <c r="E491" i="1" s="1"/>
  <c r="F491" i="1" s="1"/>
  <c r="E492" i="1" a="1"/>
  <c r="E492" i="1" s="1"/>
  <c r="F492" i="1" s="1"/>
  <c r="E493" i="1" a="1"/>
  <c r="E493" i="1" s="1"/>
  <c r="F493" i="1" s="1"/>
  <c r="E494" i="1" a="1"/>
  <c r="E494" i="1"/>
  <c r="F494" i="1" s="1"/>
  <c r="E495" i="1" a="1"/>
  <c r="E495" i="1" s="1"/>
  <c r="F495" i="1" s="1"/>
  <c r="E496" i="1" a="1"/>
  <c r="E496" i="1" s="1"/>
  <c r="F496" i="1" s="1"/>
  <c r="E497" i="1" a="1"/>
  <c r="E497" i="1" s="1"/>
  <c r="F497" i="1" s="1"/>
  <c r="E498" i="1" a="1"/>
  <c r="E498" i="1" s="1"/>
  <c r="F498" i="1" s="1"/>
  <c r="E499" i="1" a="1"/>
  <c r="E499" i="1" s="1"/>
  <c r="F499" i="1" s="1"/>
  <c r="E500" i="1" a="1"/>
  <c r="E500" i="1" s="1"/>
  <c r="F500" i="1" s="1"/>
  <c r="E501" i="1" a="1"/>
  <c r="E501" i="1" s="1"/>
  <c r="F501" i="1" s="1"/>
  <c r="E502" i="1" a="1"/>
  <c r="E502" i="1" s="1"/>
  <c r="F502" i="1" s="1"/>
  <c r="E503" i="1" a="1"/>
  <c r="E503" i="1" s="1"/>
  <c r="F503" i="1" s="1"/>
  <c r="E504" i="1" a="1"/>
  <c r="E504" i="1" s="1"/>
  <c r="F504" i="1" s="1"/>
  <c r="E505" i="1" a="1"/>
  <c r="E505" i="1" s="1"/>
  <c r="F505" i="1" s="1"/>
  <c r="E506" i="1" a="1"/>
  <c r="E506" i="1" s="1"/>
  <c r="F506" i="1" s="1"/>
  <c r="E507" i="1" a="1"/>
  <c r="E507" i="1" s="1"/>
  <c r="F507" i="1" s="1"/>
  <c r="E508" i="1" a="1"/>
  <c r="E508" i="1" s="1"/>
  <c r="F508" i="1" s="1"/>
  <c r="E509" i="1" a="1"/>
  <c r="E509" i="1" s="1"/>
  <c r="F509" i="1" s="1"/>
  <c r="E510" i="1" a="1"/>
  <c r="E510" i="1" s="1"/>
  <c r="F510" i="1" s="1"/>
  <c r="E511" i="1" a="1"/>
  <c r="E511" i="1" s="1"/>
  <c r="F511" i="1" s="1"/>
  <c r="E512" i="1" a="1"/>
  <c r="E512" i="1" s="1"/>
  <c r="F512" i="1" s="1"/>
  <c r="E513" i="1" a="1"/>
  <c r="E513" i="1" s="1"/>
  <c r="F513" i="1" s="1"/>
  <c r="E514" i="1" a="1"/>
  <c r="E514" i="1" s="1"/>
  <c r="F514" i="1" s="1"/>
  <c r="E515" i="1" a="1"/>
  <c r="E515" i="1" s="1"/>
  <c r="F515" i="1" s="1"/>
  <c r="E516" i="1" a="1"/>
  <c r="E516" i="1" s="1"/>
  <c r="F516" i="1" s="1"/>
  <c r="E517" i="1" a="1"/>
  <c r="E517" i="1" s="1"/>
  <c r="F517" i="1" s="1"/>
  <c r="E518" i="1" a="1"/>
  <c r="E518" i="1" s="1"/>
  <c r="F518" i="1" s="1"/>
  <c r="E519" i="1" a="1"/>
  <c r="E519" i="1" s="1"/>
  <c r="F519" i="1" s="1"/>
  <c r="E520" i="1" a="1"/>
  <c r="E520" i="1" s="1"/>
  <c r="F520" i="1" s="1"/>
  <c r="E521" i="1" a="1"/>
  <c r="E521" i="1" s="1"/>
  <c r="F521" i="1" s="1"/>
  <c r="E522" i="1" a="1"/>
  <c r="E522" i="1" s="1"/>
  <c r="F522" i="1" s="1"/>
  <c r="E523" i="1" a="1"/>
  <c r="E523" i="1" s="1"/>
  <c r="F523" i="1" s="1"/>
  <c r="E524" i="1" a="1"/>
  <c r="E524" i="1" s="1"/>
  <c r="F524" i="1" s="1"/>
  <c r="E525" i="1" a="1"/>
  <c r="E525" i="1" s="1"/>
  <c r="F525" i="1" s="1"/>
  <c r="E526" i="1" a="1"/>
  <c r="E526" i="1" s="1"/>
  <c r="F526" i="1" s="1"/>
  <c r="E527" i="1" a="1"/>
  <c r="E527" i="1" s="1"/>
  <c r="F527" i="1" s="1"/>
  <c r="E528" i="1" a="1"/>
  <c r="E528" i="1" s="1"/>
  <c r="F528" i="1" s="1"/>
  <c r="E529" i="1" a="1"/>
  <c r="E529" i="1" s="1"/>
  <c r="F529" i="1" s="1"/>
  <c r="E530" i="1" a="1"/>
  <c r="E530" i="1"/>
  <c r="F530" i="1" s="1"/>
  <c r="E531" i="1" a="1"/>
  <c r="E531" i="1" s="1"/>
  <c r="F531" i="1" s="1"/>
  <c r="E532" i="1" a="1"/>
  <c r="E532" i="1" s="1"/>
  <c r="F532" i="1" s="1"/>
  <c r="E533" i="1" a="1"/>
  <c r="E533" i="1" s="1"/>
  <c r="F533" i="1" s="1"/>
  <c r="E534" i="1" a="1"/>
  <c r="E534" i="1" s="1"/>
  <c r="F534" i="1" s="1"/>
  <c r="E535" i="1" a="1"/>
  <c r="E535" i="1" s="1"/>
  <c r="F535" i="1" s="1"/>
  <c r="E536" i="1" a="1"/>
  <c r="E536" i="1" s="1"/>
  <c r="F536" i="1" s="1"/>
  <c r="E537" i="1" a="1"/>
  <c r="E537" i="1" s="1"/>
  <c r="F537" i="1" s="1"/>
  <c r="E538" i="1" a="1"/>
  <c r="E538" i="1" s="1"/>
  <c r="F538" i="1" s="1"/>
  <c r="E539" i="1" a="1"/>
  <c r="E539" i="1" s="1"/>
  <c r="F539" i="1" s="1"/>
  <c r="E540" i="1" a="1"/>
  <c r="E540" i="1" s="1"/>
  <c r="F540" i="1" s="1"/>
  <c r="E541" i="1" a="1"/>
  <c r="E541" i="1" s="1"/>
  <c r="F541" i="1" s="1"/>
  <c r="E542" i="1" a="1"/>
  <c r="E542" i="1" s="1"/>
  <c r="F542" i="1" s="1"/>
  <c r="E543" i="1" a="1"/>
  <c r="E543" i="1" s="1"/>
  <c r="F543" i="1" s="1"/>
  <c r="E544" i="1" a="1"/>
  <c r="E544" i="1" s="1"/>
  <c r="F544" i="1" s="1"/>
  <c r="E545" i="1" a="1"/>
  <c r="E545" i="1" s="1"/>
  <c r="F545" i="1" s="1"/>
  <c r="E546" i="1" a="1"/>
  <c r="E546" i="1" s="1"/>
  <c r="F546" i="1" s="1"/>
  <c r="E547" i="1" a="1"/>
  <c r="E547" i="1" s="1"/>
  <c r="F547" i="1" s="1"/>
  <c r="E548" i="1" a="1"/>
  <c r="E548" i="1" s="1"/>
  <c r="F548" i="1" s="1"/>
  <c r="E549" i="1" a="1"/>
  <c r="E549" i="1" s="1"/>
  <c r="F549" i="1" s="1"/>
  <c r="E550" i="1" a="1"/>
  <c r="E550" i="1" s="1"/>
  <c r="F550" i="1" s="1"/>
  <c r="E551" i="1" a="1"/>
  <c r="E551" i="1" s="1"/>
  <c r="F551" i="1" s="1"/>
  <c r="E552" i="1" a="1"/>
  <c r="E552" i="1" s="1"/>
  <c r="F552" i="1" s="1"/>
  <c r="E553" i="1" a="1"/>
  <c r="E553" i="1" s="1"/>
  <c r="F553" i="1" s="1"/>
  <c r="E554" i="1" a="1"/>
  <c r="E554" i="1"/>
  <c r="F554" i="1" s="1"/>
  <c r="E555" i="1" a="1"/>
  <c r="E555" i="1" s="1"/>
  <c r="F555" i="1" s="1"/>
  <c r="E556" i="1" a="1"/>
  <c r="E556" i="1" s="1"/>
  <c r="F556" i="1" s="1"/>
  <c r="E557" i="1" a="1"/>
  <c r="E557" i="1" s="1"/>
  <c r="F557" i="1" s="1"/>
  <c r="E558" i="1" a="1"/>
  <c r="E558" i="1" s="1"/>
  <c r="F558" i="1" s="1"/>
  <c r="E559" i="1" a="1"/>
  <c r="E559" i="1" s="1"/>
  <c r="F559" i="1" s="1"/>
  <c r="E560" i="1" a="1"/>
  <c r="E560" i="1" s="1"/>
  <c r="F560" i="1" s="1"/>
  <c r="I34" i="2"/>
  <c r="I33" i="2"/>
  <c r="I32" i="2"/>
  <c r="I31" i="2"/>
  <c r="H28" i="2"/>
  <c r="I28" i="2" s="1"/>
  <c r="H27" i="2"/>
  <c r="I27" i="2" s="1"/>
  <c r="H26" i="2"/>
  <c r="I26" i="2" s="1"/>
  <c r="H25" i="2"/>
  <c r="I25" i="2" s="1"/>
  <c r="E457" i="1" a="1"/>
  <c r="E457" i="1" s="1"/>
  <c r="F457" i="1" s="1"/>
  <c r="E458" i="1" a="1"/>
  <c r="E458" i="1" s="1"/>
  <c r="F458" i="1" s="1"/>
  <c r="E459" i="1" a="1"/>
  <c r="E459" i="1" s="1"/>
  <c r="F459" i="1" s="1"/>
  <c r="E456" i="1" a="1"/>
  <c r="E456" i="1" s="1"/>
  <c r="F456" i="1" s="1"/>
  <c r="J20" i="2"/>
  <c r="J19" i="2"/>
  <c r="J18" i="2"/>
  <c r="J17" i="2"/>
  <c r="J16" i="2"/>
  <c r="J15" i="2"/>
  <c r="J14" i="2"/>
  <c r="J13" i="2"/>
  <c r="J12" i="2"/>
  <c r="J11" i="2"/>
  <c r="J10" i="2"/>
  <c r="I20" i="2"/>
  <c r="I19" i="2"/>
  <c r="I18" i="2"/>
  <c r="I17" i="2"/>
  <c r="I16" i="2"/>
  <c r="I15" i="2"/>
  <c r="I14" i="2"/>
  <c r="I13" i="2"/>
  <c r="I12" i="2"/>
  <c r="I11" i="2"/>
  <c r="I10" i="2"/>
  <c r="I9" i="2"/>
  <c r="L20" i="2"/>
  <c r="L19" i="2"/>
  <c r="L18" i="2"/>
  <c r="L17" i="2"/>
  <c r="L16" i="2"/>
  <c r="L15" i="2"/>
  <c r="L14" i="2"/>
  <c r="L13" i="2"/>
  <c r="L12" i="2"/>
  <c r="L11" i="2"/>
  <c r="L10" i="2"/>
  <c r="L9" i="2"/>
  <c r="N12" i="2" l="1"/>
  <c r="N16" i="2"/>
  <c r="N20" i="2"/>
  <c r="L21" i="2"/>
  <c r="N17" i="2"/>
  <c r="N9" i="2"/>
  <c r="N13" i="2"/>
  <c r="N10" i="2"/>
  <c r="N14" i="2"/>
  <c r="N18" i="2"/>
  <c r="N11" i="2"/>
  <c r="N15" i="2"/>
  <c r="N19" i="2"/>
  <c r="I21" i="2"/>
  <c r="K15" i="1"/>
  <c r="B3" i="2"/>
  <c r="B2" i="3" s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I50" i="2" s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K49" i="2" s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K48" i="2" s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M44" i="2" s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M43" i="2" l="1"/>
  <c r="I46" i="2"/>
  <c r="M51" i="2"/>
  <c r="J40" i="2"/>
  <c r="L40" i="2"/>
  <c r="J45" i="2"/>
  <c r="L45" i="2"/>
  <c r="J41" i="2"/>
  <c r="L41" i="2"/>
  <c r="I44" i="2"/>
  <c r="M40" i="2"/>
  <c r="K45" i="2"/>
  <c r="K41" i="2"/>
  <c r="I40" i="2"/>
  <c r="J44" i="2"/>
  <c r="L44" i="2"/>
  <c r="J47" i="2"/>
  <c r="L47" i="2"/>
  <c r="J50" i="2"/>
  <c r="L50" i="2"/>
  <c r="I41" i="2"/>
  <c r="M47" i="2"/>
  <c r="I51" i="2"/>
  <c r="K44" i="2"/>
  <c r="K40" i="2"/>
  <c r="J48" i="2"/>
  <c r="L48" i="2"/>
  <c r="M48" i="2"/>
  <c r="J42" i="2"/>
  <c r="L42" i="2"/>
  <c r="J43" i="2"/>
  <c r="L43" i="2"/>
  <c r="J46" i="2"/>
  <c r="L46" i="2"/>
  <c r="J49" i="2"/>
  <c r="L49" i="2"/>
  <c r="J51" i="2"/>
  <c r="L51" i="2"/>
  <c r="M50" i="2"/>
  <c r="M46" i="2"/>
  <c r="M42" i="2"/>
  <c r="I47" i="2"/>
  <c r="I42" i="2"/>
  <c r="K47" i="2"/>
  <c r="K43" i="2"/>
  <c r="I49" i="2"/>
  <c r="I48" i="2"/>
  <c r="M49" i="2"/>
  <c r="M45" i="2"/>
  <c r="M41" i="2"/>
  <c r="I43" i="2"/>
  <c r="K50" i="2"/>
  <c r="K46" i="2"/>
  <c r="K42" i="2"/>
  <c r="I45" i="2"/>
  <c r="K51" i="2"/>
  <c r="M20" i="2"/>
  <c r="M19" i="2"/>
  <c r="M15" i="2"/>
  <c r="M11" i="2"/>
  <c r="M18" i="2"/>
  <c r="M14" i="2"/>
  <c r="M10" i="2"/>
  <c r="M17" i="2"/>
  <c r="M13" i="2"/>
  <c r="M9" i="2"/>
  <c r="M16" i="2"/>
  <c r="M12" i="2"/>
  <c r="J21" i="2"/>
  <c r="K13" i="2" s="1"/>
  <c r="M52" i="2" l="1"/>
  <c r="I52" i="2"/>
  <c r="K52" i="2"/>
  <c r="L52" i="2"/>
  <c r="J52" i="2"/>
  <c r="K17" i="2"/>
  <c r="K12" i="2"/>
  <c r="K16" i="2"/>
  <c r="K20" i="2"/>
  <c r="D3" i="2"/>
  <c r="K19" i="2"/>
  <c r="K15" i="2"/>
  <c r="K11" i="2"/>
  <c r="K18" i="2"/>
  <c r="K14" i="2"/>
  <c r="K10" i="2"/>
  <c r="K9" i="2"/>
  <c r="N52" i="2" l="1"/>
  <c r="D2" i="3"/>
  <c r="F3" i="2"/>
  <c r="F2" i="3" s="1"/>
  <c r="I3" i="2"/>
  <c r="H2" i="3" s="1"/>
  <c r="K21" i="2"/>
</calcChain>
</file>

<file path=xl/sharedStrings.xml><?xml version="1.0" encoding="utf-8"?>
<sst xmlns="http://schemas.openxmlformats.org/spreadsheetml/2006/main" count="1901" uniqueCount="160">
  <si>
    <t xml:space="preserve">Month </t>
  </si>
  <si>
    <t>Year</t>
  </si>
  <si>
    <t>Customer</t>
  </si>
  <si>
    <t>Country</t>
  </si>
  <si>
    <t>Company Size</t>
  </si>
  <si>
    <t>Industry</t>
  </si>
  <si>
    <t>Revenue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</si>
  <si>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</si>
  <si>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</si>
  <si>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</si>
  <si>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</si>
  <si>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</si>
  <si>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</si>
  <si>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</si>
  <si>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</si>
  <si>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</si>
  <si>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</si>
  <si>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</si>
  <si>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</si>
  <si>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</si>
  <si>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Customer #1</t>
  </si>
  <si>
    <t>Customer #2</t>
  </si>
  <si>
    <t>Customer #3</t>
  </si>
  <si>
    <t>Customer #4</t>
  </si>
  <si>
    <t>Customer #5</t>
  </si>
  <si>
    <t>Customer #6</t>
  </si>
  <si>
    <t>Customer #7</t>
  </si>
  <si>
    <t>Customer #8</t>
  </si>
  <si>
    <t>Customer #9</t>
  </si>
  <si>
    <t>Customer #10</t>
  </si>
  <si>
    <t>Germany</t>
  </si>
  <si>
    <t>USA</t>
  </si>
  <si>
    <t>France</t>
  </si>
  <si>
    <t>Italy</t>
  </si>
  <si>
    <t>Norway</t>
  </si>
  <si>
    <t>1-10 Employees</t>
  </si>
  <si>
    <t>11-50 Employees</t>
  </si>
  <si>
    <t>51-100 Employees</t>
  </si>
  <si>
    <t>100-1000 Employees</t>
  </si>
  <si>
    <t>Customer #39</t>
  </si>
  <si>
    <t>Customer #76</t>
  </si>
  <si>
    <t>Customer #100</t>
  </si>
  <si>
    <t>Customer #106</t>
  </si>
  <si>
    <t>Customer #85</t>
  </si>
  <si>
    <t>Customer #101</t>
  </si>
  <si>
    <t>Customer #33</t>
  </si>
  <si>
    <t>Customer #107</t>
  </si>
  <si>
    <t>Customer #52</t>
  </si>
  <si>
    <t>Customer #103</t>
  </si>
  <si>
    <t>Customer #17</t>
  </si>
  <si>
    <t>Customer #50</t>
  </si>
  <si>
    <t>Customer #70</t>
  </si>
  <si>
    <t>Customer #88</t>
  </si>
  <si>
    <t>Customer #63</t>
  </si>
  <si>
    <t>Customer #23</t>
  </si>
  <si>
    <t>Customer #82</t>
  </si>
  <si>
    <t>Customer #92</t>
  </si>
  <si>
    <t>Customer #93</t>
  </si>
  <si>
    <t>Customer #22</t>
  </si>
  <si>
    <t>Customer #61</t>
  </si>
  <si>
    <t>Customer #26</t>
  </si>
  <si>
    <t>Customer #62</t>
  </si>
  <si>
    <t>Customer #45</t>
  </si>
  <si>
    <t>Customer #55</t>
  </si>
  <si>
    <t>Customer #14</t>
  </si>
  <si>
    <t>Customer #20</t>
  </si>
  <si>
    <t>Customer #44</t>
  </si>
  <si>
    <t>Customer #40</t>
  </si>
  <si>
    <t>Customer #42</t>
  </si>
  <si>
    <t>Customer #86</t>
  </si>
  <si>
    <t>Customer #104</t>
  </si>
  <si>
    <t>Customer #47</t>
  </si>
  <si>
    <t>Customer #35</t>
  </si>
  <si>
    <t>Customer #90</t>
  </si>
  <si>
    <t>Customer #48</t>
  </si>
  <si>
    <t>Customer #64</t>
  </si>
  <si>
    <t>Customer #27</t>
  </si>
  <si>
    <t>Customer #94</t>
  </si>
  <si>
    <t>Customer #65</t>
  </si>
  <si>
    <t>Customer #16</t>
  </si>
  <si>
    <t>Customer #74</t>
  </si>
  <si>
    <t>Customer #56</t>
  </si>
  <si>
    <t>Customer #18</t>
  </si>
  <si>
    <t>Customer #84</t>
  </si>
  <si>
    <t>Customer #46</t>
  </si>
  <si>
    <t>Customer #30</t>
  </si>
  <si>
    <t>Customer #38</t>
  </si>
  <si>
    <t>Customer #49</t>
  </si>
  <si>
    <t>Customer #95</t>
  </si>
  <si>
    <t>Customer #75</t>
  </si>
  <si>
    <t>Customer #99</t>
  </si>
  <si>
    <t>Customer #96</t>
  </si>
  <si>
    <t>Customer #72</t>
  </si>
  <si>
    <t>Customer #59</t>
  </si>
  <si>
    <t>Customer #97</t>
  </si>
  <si>
    <t>Customer #80</t>
  </si>
  <si>
    <t>Customer #71</t>
  </si>
  <si>
    <t>Customer #77</t>
  </si>
  <si>
    <t>Customer #79</t>
  </si>
  <si>
    <t>Customer #36</t>
  </si>
  <si>
    <t>Customer #69</t>
  </si>
  <si>
    <t>Customer #83</t>
  </si>
  <si>
    <t>Customer #51</t>
  </si>
  <si>
    <t>Customer #15</t>
  </si>
  <si>
    <t>Customer #87</t>
  </si>
  <si>
    <t>Customer #81</t>
  </si>
  <si>
    <t>Customer #66</t>
  </si>
  <si>
    <t>Customer #37</t>
  </si>
  <si>
    <t>Customer #41</t>
  </si>
  <si>
    <t>Customer #98</t>
  </si>
  <si>
    <t>Customer #54</t>
  </si>
  <si>
    <t>Customer #21</t>
  </si>
  <si>
    <t>Customer #11</t>
  </si>
  <si>
    <t>Customer #12</t>
  </si>
  <si>
    <t>Customer #102</t>
  </si>
  <si>
    <t>Customer #28</t>
  </si>
  <si>
    <t>Customer #34</t>
  </si>
  <si>
    <t>Customer #53</t>
  </si>
  <si>
    <t>Customer #57</t>
  </si>
  <si>
    <t>Customer #29</t>
  </si>
  <si>
    <t>Customer #58</t>
  </si>
  <si>
    <t>Customer #105</t>
  </si>
  <si>
    <t>Customer #19</t>
  </si>
  <si>
    <t>Customer #24</t>
  </si>
  <si>
    <t>Customer #60</t>
  </si>
  <si>
    <t>Customer #31</t>
  </si>
  <si>
    <t>Customer #43</t>
  </si>
  <si>
    <t>Customer #73</t>
  </si>
  <si>
    <t>Customer #67</t>
  </si>
  <si>
    <t>Customer #89</t>
  </si>
  <si>
    <t>Customer #32</t>
  </si>
  <si>
    <t>Customer #91</t>
  </si>
  <si>
    <t>Customer #25</t>
  </si>
  <si>
    <t>Customer #13</t>
  </si>
  <si>
    <t>Chemical</t>
  </si>
  <si>
    <t>Food</t>
  </si>
  <si>
    <t>Bevarage</t>
  </si>
  <si>
    <t>Other</t>
  </si>
  <si>
    <t>Total Revenue</t>
  </si>
  <si>
    <t>Revenue per Customer</t>
  </si>
  <si>
    <t>Different Customers</t>
  </si>
  <si>
    <t>Target Revenue</t>
  </si>
  <si>
    <t>Target Achieved</t>
  </si>
  <si>
    <t>Row Labels</t>
  </si>
  <si>
    <t>Grand Total</t>
  </si>
  <si>
    <t>Sum of Revenue</t>
  </si>
  <si>
    <t>Month</t>
  </si>
  <si>
    <t>Previous Year</t>
  </si>
  <si>
    <t>Current Year</t>
  </si>
  <si>
    <t>Revenue per customer</t>
  </si>
  <si>
    <r>
      <t xml:space="preserve">Current Year </t>
    </r>
    <r>
      <rPr>
        <sz val="11"/>
        <color theme="1"/>
        <rFont val="Calibri Light"/>
        <family val="2"/>
      </rPr>
      <t>[%]</t>
    </r>
  </si>
  <si>
    <t>Target</t>
  </si>
  <si>
    <t>Acumulation through months</t>
  </si>
  <si>
    <t>Top 4
Customers</t>
  </si>
  <si>
    <t>Companies by size</t>
  </si>
  <si>
    <t>Count</t>
  </si>
  <si>
    <t>Companies by industry</t>
  </si>
  <si>
    <t>TOTAL</t>
  </si>
  <si>
    <t>Customers portfolio</t>
  </si>
  <si>
    <t>© TemplateLab.com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</si>
</sst>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83C]#,##0.00"/>
    <numFmt numFmtId="165" formatCode="[$€-83C]#,##0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sz val="10"/>
      <color theme="1"/>
      <name val="Bahnschrift"/>
      <family val="2"/>
    </font>
    <font>
      <sz val="8"/>
      <name val="Calibri"/>
      <family val="2"/>
      <scheme val="minor"/>
    </font>
    <font>
      <b/>
      <sz val="10"/>
      <color theme="1"/>
      <name val="Bahnschrif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"/>
      <family val="2"/>
    </font>
    <font>
      <b/>
      <sz val="11"/>
      <color theme="0"/>
      <name val="Bahnschrift"/>
      <family val="2"/>
    </font>
    <font>
      <b/>
      <sz val="24"/>
      <color theme="0"/>
      <name val="Bahnschrift"/>
      <family val="2"/>
    </font>
    <font>
      <b/>
      <sz val="10"/>
      <color theme="0"/>
      <name val="Bahnschrift"/>
      <family val="2"/>
    </font>
    <font>
      <sz val="11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8168F6"/>
        <bgColor indexed="64"/>
      </patternFill>
    </fill>
    <fill>
      <patternFill patternType="solid">
        <fgColor rgb="FFEF7A7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844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9" fontId="6" fillId="4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indent="1"/>
    </xf>
    <xf numFmtId="165" fontId="8" fillId="3" borderId="0" xfId="0" applyNumberFormat="1" applyFont="1" applyFill="1" applyAlignment="1">
      <alignment horizontal="left" indent="1"/>
    </xf>
    <xf numFmtId="0" fontId="9" fillId="3" borderId="0" xfId="0" applyFont="1" applyFill="1" applyAlignment="1">
      <alignment horizontal="left" vertical="center" indent="1"/>
    </xf>
    <xf numFmtId="9" fontId="8" fillId="3" borderId="0" xfId="0" applyNumberFormat="1" applyFont="1" applyFill="1" applyAlignment="1">
      <alignment horizontal="left" indent="1"/>
    </xf>
    <xf numFmtId="0" fontId="1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" fillId="0" borderId="0" xfId="0" pivotButton="1" applyFont="1"/>
    <xf numFmtId="164" fontId="1" fillId="0" borderId="0" xfId="0" applyNumberFormat="1" applyFont="1"/>
    <xf numFmtId="164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5" fillId="0" borderId="0" xfId="1"/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2">
    <dxf>
      <numFmt numFmtId="164" formatCode="[$€-83C]#,##0.00"/>
    </dxf>
    <dxf>
      <numFmt numFmtId="164" formatCode="[$€-83C]#,##0.00"/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numFmt numFmtId="164" formatCode="[$€-83C]#,##0.00"/>
    </dxf>
    <dxf>
      <numFmt numFmtId="164" formatCode="[$€-83C]#,##0.00"/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numFmt numFmtId="164" formatCode="[$€-83C]#,##0.00"/>
    </dxf>
    <dxf>
      <numFmt numFmtId="164" formatCode="[$€-83C]#,##0.00"/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font>
        <name val="Bahnschrift"/>
        <scheme val="none"/>
      </font>
    </dxf>
    <dxf>
      <numFmt numFmtId="164" formatCode="[$€-83C]#,##0.00"/>
    </dxf>
    <dxf>
      <numFmt numFmtId="164" formatCode="[$€-83C]#,##0.00"/>
    </dxf>
  </dxfs>
  <tableStyles count="0" defaultTableStyle="TableStyleMedium2" defaultPivotStyle="PivotStyleLight16"/>
  <colors>
    <mruColors>
      <color rgb="FF8168F6"/>
      <color rgb="FFEF7A7D"/>
      <color rgb="FFE84448"/>
      <color rgb="FF250A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Calculations!$I$8</c:f>
              <c:strCache>
                <c:ptCount val="1"/>
                <c:pt idx="0">
                  <c:v>Previous Year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Calculations!$H$9:$H$20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Calculations!$I$9:$I$20</c:f>
              <c:numCache>
                <c:formatCode>[$€-83C]#,##0.00</c:formatCode>
                <c:ptCount val="12"/>
                <c:pt idx="0">
                  <c:v>153984</c:v>
                </c:pt>
                <c:pt idx="1">
                  <c:v>114830</c:v>
                </c:pt>
                <c:pt idx="2">
                  <c:v>237556</c:v>
                </c:pt>
                <c:pt idx="3">
                  <c:v>143986</c:v>
                </c:pt>
                <c:pt idx="4">
                  <c:v>167641</c:v>
                </c:pt>
                <c:pt idx="5">
                  <c:v>107904</c:v>
                </c:pt>
                <c:pt idx="6">
                  <c:v>81203</c:v>
                </c:pt>
                <c:pt idx="7">
                  <c:v>211475</c:v>
                </c:pt>
                <c:pt idx="8">
                  <c:v>175700</c:v>
                </c:pt>
                <c:pt idx="9">
                  <c:v>180287</c:v>
                </c:pt>
                <c:pt idx="10">
                  <c:v>219265</c:v>
                </c:pt>
                <c:pt idx="11">
                  <c:v>178928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A-497C-99F4-E16C890490E4}"/>
            </c:ext>
          </c:extLst>
        </c:ser>
        <c:ser>
          <c:idx val="1"/>
          <c:order val="1"/>
          <c:tx>
            <c:strRef>
              <c:f>Calculations!$J$8</c:f>
              <c:strCache>
                <c:ptCount val="1"/>
                <c:pt idx="0">
                  <c:v>Current Year</c:v>
                </c:pt>
              </c:strCache>
            </c:strRef>
          </c:tx>
          <c:spPr>
            <a:ln w="19050" cap="rnd">
              <a:solidFill>
                <a:srgbClr val="8168F6"/>
              </a:solidFill>
              <a:round/>
            </a:ln>
            <a:effectLst/>
          </c:spPr>
          <c:marker>
            <c:symbol val="none"/>
          </c:marker>
          <c:cat>
            <c:strRef>
              <c:f>Calculations!$H$9:$H$20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Calculations!$J$9:$J$20</c:f>
              <c:numCache>
                <c:formatCode>[$€-83C]#,##0.00</c:formatCode>
                <c:ptCount val="12"/>
                <c:pt idx="0">
                  <c:v>105103</c:v>
                </c:pt>
                <c:pt idx="1">
                  <c:v>243271</c:v>
                </c:pt>
                <c:pt idx="2">
                  <c:v>312458</c:v>
                </c:pt>
                <c:pt idx="3">
                  <c:v>129701</c:v>
                </c:pt>
                <c:pt idx="4">
                  <c:v>166286</c:v>
                </c:pt>
                <c:pt idx="5">
                  <c:v>76713</c:v>
                </c:pt>
                <c:pt idx="6">
                  <c:v>90496</c:v>
                </c:pt>
                <c:pt idx="7">
                  <c:v>167439</c:v>
                </c:pt>
                <c:pt idx="8">
                  <c:v>90389</c:v>
                </c:pt>
                <c:pt idx="9">
                  <c:v>347092</c:v>
                </c:pt>
                <c:pt idx="10">
                  <c:v>293132</c:v>
                </c:pt>
                <c:pt idx="11">
                  <c:v>88944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A-497C-99F4-E16C89049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19792"/>
        <c:axId val="952909808"/>
      </c:lineChart>
      <c:catAx>
        <c:axId val="9529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52909808"/>
        <c:crosses val="autoZero"/>
        <c:auto val="1"/>
        <c:lblAlgn val="ctr"/>
        <c:lblOffset val="50"/>
        <c:tickMarkSkip val="1"/>
        <c:noMultiLvlLbl val="0"/>
      </c:catAx>
      <c:valAx>
        <c:axId val="9529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&quot;K&quot;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52919792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951455973543304"/>
          <c:y val="5.7649494840934325E-2"/>
          <c:w val="0.726430458531516"/>
          <c:h val="0.113241452991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Calculations!$K$8</c:f>
              <c:strCache>
                <c:ptCount val="1"/>
                <c:pt idx="0">
                  <c:v>Current Year [%]</c:v>
                </c:pt>
              </c:strCache>
            </c:strRef>
          </c:tx>
          <c:spPr>
            <a:solidFill>
              <a:srgbClr val="8168F6"/>
            </a:solidFill>
            <a:ln>
              <a:noFill/>
            </a:ln>
            <a:effectLst/>
          </c:spPr>
          <c:invertIfNegative val="0"/>
          <c:cat>
            <c:strRef>
              <c:f>Calculations!$H$9:$H$20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Calculations!$K$9:$K$20</c:f>
              <c:numCache>
                <c:formatCode>0.0%</c:formatCode>
                <c:ptCount val="12"/>
                <c:pt idx="0">
                  <c:v>4.9787685976095016E-2</c:v>
                </c:pt>
                <c:pt idx="1">
                  <c:v>0.11523838667869242</c:v>
                </c:pt>
                <c:pt idx="2">
                  <c:v>0.14801252851696617</c:v>
                </c:pt>
                <c:pt idx="3">
                  <c:v>6.1439850991746182E-2</c:v>
                </c:pt>
                <c:pt idx="4">
                  <c:v>7.8770302943026699E-2</c:v>
                </c:pt>
                <c:pt idx="5">
                  <c:v>3.633923631375105E-2</c:v>
                </c:pt>
                <c:pt idx="6">
                  <c:v>4.2868295197022864E-2</c:v>
                </c:pt>
                <c:pt idx="7">
                  <c:v>7.9316483374892943E-2</c:v>
                </c:pt>
                <c:pt idx="8">
                  <c:v>4.281760889501967E-2</c:v>
                </c:pt>
                <c:pt idx="9">
                  <c:v>0.16441878443826313</c:v>
                </c:pt>
                <c:pt idx="10">
                  <c:v>0.13885772970842586</c:v>
                </c:pt>
                <c:pt idx="11">
                  <c:v>4.2133106966097969E-2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8-4D23-9F27-355A5857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68896"/>
        <c:axId val="1352065152"/>
      </c:barChart>
      <c:catAx>
        <c:axId val="13520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352065152"/>
        <c:crosses val="autoZero"/>
        <c:auto val="1"/>
        <c:lblAlgn val="ctr"/>
        <c:lblOffset val="100"/>
        <c:noMultiLvlLbl val="0"/>
      </c:catAx>
      <c:valAx>
        <c:axId val="13520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35206889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Calculations!$M$8</c:f>
              <c:strCache>
                <c:ptCount val="1"/>
                <c:pt idx="0">
                  <c:v>Current Year</c:v>
                </c:pt>
              </c:strCache>
            </c:strRef>
          </c:tx>
          <c:spPr>
            <a:ln w="28575" cap="rnd">
              <a:solidFill>
                <a:srgbClr val="8168F6"/>
              </a:solidFill>
              <a:round/>
            </a:ln>
            <a:effectLst/>
          </c:spPr>
          <c:marker>
            <c:symbol val="none"/>
          </c:marker>
          <c:cat>
            <c:strRef>
              <c:f>Calculations!$H$9:$H$20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Calculations!$M$9:$M$20</c:f>
              <c:numCache>
                <c:formatCode>[$€-83C]#,##0.00</c:formatCode>
                <c:ptCount val="12"/>
                <c:pt idx="0">
                  <c:v>105103</c:v>
                </c:pt>
                <c:pt idx="1">
                  <c:v>348374</c:v>
                </c:pt>
                <c:pt idx="2">
                  <c:v>660832</c:v>
                </c:pt>
                <c:pt idx="3">
                  <c:v>790533</c:v>
                </c:pt>
                <c:pt idx="4">
                  <c:v>956819</c:v>
                </c:pt>
                <c:pt idx="5">
                  <c:v>1033532</c:v>
                </c:pt>
                <c:pt idx="6">
                  <c:v>1124028</c:v>
                </c:pt>
                <c:pt idx="7">
                  <c:v>1291467</c:v>
                </c:pt>
                <c:pt idx="8">
                  <c:v>1381856</c:v>
                </c:pt>
                <c:pt idx="9">
                  <c:v>1728948</c:v>
                </c:pt>
                <c:pt idx="10">
                  <c:v>2022080</c:v>
                </c:pt>
                <c:pt idx="11">
                  <c:v>2111024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4-41E5-B252-0D33EC54756B}"/>
            </c:ext>
          </c:extLst>
        </c:ser>
        <c:ser>
          <c:idx val="1"/>
          <c:order val="1"/>
          <c:tx>
            <c:strRef>
              <c:f>Calculations!$N$8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Calculations!$H$9:$H$20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Calculations!$N$9:$N$20</c:f>
              <c:numCache>
                <c:formatCode>[$€-83C]#,##0.00</c:formatCode>
                <c:ptCount val="12"/>
                <c:pt idx="0">
                  <c:v>160000</c:v>
                </c:pt>
                <c:pt idx="1">
                  <c:v>315000</c:v>
                </c:pt>
                <c:pt idx="2">
                  <c:v>490000</c:v>
                </c:pt>
                <c:pt idx="3">
                  <c:v>630000</c:v>
                </c:pt>
                <c:pt idx="4">
                  <c:v>805000</c:v>
                </c:pt>
                <c:pt idx="5">
                  <c:v>930000</c:v>
                </c:pt>
                <c:pt idx="6">
                  <c:v>1060000</c:v>
                </c:pt>
                <c:pt idx="7">
                  <c:v>1220000</c:v>
                </c:pt>
                <c:pt idx="8">
                  <c:v>1440000</c:v>
                </c:pt>
                <c:pt idx="9">
                  <c:v>1640000</c:v>
                </c:pt>
                <c:pt idx="10">
                  <c:v>1810000</c:v>
                </c:pt>
                <c:pt idx="11">
                  <c:v>1950000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4-41E5-B252-0D33EC547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19792"/>
        <c:axId val="952909808"/>
      </c:lineChart>
      <c:catAx>
        <c:axId val="9529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52909808"/>
        <c:crosses val="autoZero"/>
        <c:auto val="1"/>
        <c:lblAlgn val="ctr"/>
        <c:lblOffset val="50"/>
        <c:tickMarkSkip val="1"/>
        <c:noMultiLvlLbl val="0"/>
      </c:catAx>
      <c:valAx>
        <c:axId val="9529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&quot;K&quot;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52919792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177114115633741"/>
          <c:y val="5.092568817102399E-2"/>
          <c:w val="0.60142442110991956"/>
          <c:h val="0.113241452991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297738596548337E-2"/>
          <c:y val="9.2995142551501805E-2"/>
          <c:w val="0.92071196905893848"/>
          <c:h val="0.81400971489699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8168F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Data!$E$456:$E$459</c:f>
              <c:strCache>
                <c:ptCount val="4"/>
                <c:pt idx="0">
                  <c:v>Customer #100</c:v>
                </c:pt>
                <c:pt idx="1">
                  <c:v>Customer #7</c:v>
                </c:pt>
                <c:pt idx="2">
                  <c:v>Customer #35</c:v>
                </c:pt>
                <c:pt idx="3">
                  <c:v>Customer #44</c:v>
                </c:pt>
              </c:strCache>
            </c:strRef>
          </c:cat>
          <c:val>
            <c:numRef>
              <c:f>Data!$F$456:$F$459</c:f>
              <c:numCache>
                <c:formatCode>[$€-83C]#,##0.00</c:formatCode>
                <c:ptCount val="4"/>
                <c:pt idx="0">
                  <c:v>100485</c:v>
                </c:pt>
                <c:pt idx="1">
                  <c:v>100101</c:v>
                </c:pt>
                <c:pt idx="2">
                  <c:v>98230</c:v>
                </c:pt>
                <c:pt idx="3">
                  <c:v>86723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3-43A5-BB42-AA48D81D7D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70"/>
        <c:axId val="1107610368"/>
        <c:axId val="1107610784"/>
      </c:barChart>
      <c:catAx>
        <c:axId val="1107610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7610784"/>
        <c:crosses val="autoZero"/>
        <c:auto val="1"/>
        <c:lblAlgn val="ctr"/>
        <c:lblOffset val="100"/>
        <c:noMultiLvlLbl val="0"/>
      </c:catAx>
      <c:valAx>
        <c:axId val="1107610784"/>
        <c:scaling>
          <c:orientation val="minMax"/>
        </c:scaling>
        <c:delete val="1"/>
        <c:axPos val="b"/>
        <c:numFmt formatCode="0,\ &quot;K&quot;" sourceLinked="0"/>
        <c:majorTickMark val="none"/>
        <c:minorTickMark val="none"/>
        <c:tickLblPos val="nextTo"/>
        <c:crossAx val="11076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297738596548337E-2"/>
          <c:y val="9.2995142551501805E-2"/>
          <c:w val="0.92071196905893848"/>
          <c:h val="0.81400971489699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Calculations!$H$25:$H$28</c:f>
              <c:strCache>
                <c:ptCount val="4"/>
                <c:pt idx="0">
                  <c:v>1-10 Employees</c:v>
                </c:pt>
                <c:pt idx="1">
                  <c:v>11-50 Employees</c:v>
                </c:pt>
                <c:pt idx="2">
                  <c:v>51-100 Employees</c:v>
                </c:pt>
                <c:pt idx="3">
                  <c:v>100-1000 Employees</c:v>
                </c:pt>
              </c:strCache>
            </c:strRef>
          </c:cat>
          <c:val>
            <c:numRef>
              <c:f>Calculations!$I$25:$I$28</c:f>
              <c:numCache>
                <c:formatCode>General</c:formatCode>
                <c:ptCount val="4"/>
                <c:pt idx="0">
                  <c:v>47</c:v>
                </c:pt>
                <c:pt idx="1">
                  <c:v>266</c:v>
                </c:pt>
                <c:pt idx="2">
                  <c:v>81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1-4093-B01E-1CA27D3F01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70"/>
        <c:axId val="1107610368"/>
        <c:axId val="1107610784"/>
      </c:barChart>
      <c:catAx>
        <c:axId val="1107610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7610784"/>
        <c:crosses val="autoZero"/>
        <c:auto val="1"/>
        <c:lblAlgn val="ctr"/>
        <c:lblOffset val="100"/>
        <c:noMultiLvlLbl val="0"/>
      </c:catAx>
      <c:valAx>
        <c:axId val="1107610784"/>
        <c:scaling>
          <c:orientation val="minMax"/>
        </c:scaling>
        <c:delete val="1"/>
        <c:axPos val="b"/>
        <c:numFmt formatCode="0,\ &quot;K&quot;" sourceLinked="0"/>
        <c:majorTickMark val="none"/>
        <c:minorTickMark val="none"/>
        <c:tickLblPos val="nextTo"/>
        <c:crossAx val="11076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297738596548337E-2"/>
          <c:y val="9.2995142551501805E-2"/>
          <c:w val="0.92071196905893848"/>
          <c:h val="0.81400971489699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Calculations!$H$31:$H$34</c:f>
              <c:strCache>
                <c:ptCount val="4"/>
                <c:pt idx="0">
                  <c:v>Chemical</c:v>
                </c:pt>
                <c:pt idx="1">
                  <c:v>Food</c:v>
                </c:pt>
                <c:pt idx="2">
                  <c:v>Bevarage</c:v>
                </c:pt>
                <c:pt idx="3">
                  <c:v>Other</c:v>
                </c:pt>
              </c:strCache>
            </c:strRef>
          </c:cat>
          <c:val>
            <c:numRef>
              <c:f>Calculations!$I$31:$I$34</c:f>
              <c:numCache>
                <c:formatCode>General</c:formatCode>
                <c:ptCount val="4"/>
                <c:pt idx="0">
                  <c:v>83</c:v>
                </c:pt>
                <c:pt idx="1">
                  <c:v>143</c:v>
                </c:pt>
                <c:pt idx="2">
                  <c:v>208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3-48A4-8867-50B0C30528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70"/>
        <c:axId val="1107610368"/>
        <c:axId val="1107610784"/>
      </c:barChart>
      <c:catAx>
        <c:axId val="1107610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7610784"/>
        <c:crosses val="autoZero"/>
        <c:auto val="1"/>
        <c:lblAlgn val="ctr"/>
        <c:lblOffset val="100"/>
        <c:noMultiLvlLbl val="0"/>
      </c:catAx>
      <c:valAx>
        <c:axId val="1107610784"/>
        <c:scaling>
          <c:orientation val="minMax"/>
        </c:scaling>
        <c:delete val="1"/>
        <c:axPos val="b"/>
        <c:numFmt formatCode="0,\ &quot;K&quot;" sourceLinked="0"/>
        <c:majorTickMark val="none"/>
        <c:minorTickMark val="none"/>
        <c:tickLblPos val="nextTo"/>
        <c:crossAx val="11076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Calculations!$I$39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Calculations!$H$40:$H$51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Calculations!$I$40:$I$51</c:f>
              <c:numCache>
                <c:formatCode>[$€-83C]#,##0.00</c:formatCode>
                <c:ptCount val="12"/>
                <c:pt idx="0">
                  <c:v>48688</c:v>
                </c:pt>
                <c:pt idx="1">
                  <c:v>70667</c:v>
                </c:pt>
                <c:pt idx="2">
                  <c:v>37433</c:v>
                </c:pt>
                <c:pt idx="3">
                  <c:v>10942</c:v>
                </c:pt>
                <c:pt idx="4">
                  <c:v>27962</c:v>
                </c:pt>
                <c:pt idx="5">
                  <c:v>25807</c:v>
                </c:pt>
                <c:pt idx="6">
                  <c:v>16920</c:v>
                </c:pt>
                <c:pt idx="7">
                  <c:v>74402</c:v>
                </c:pt>
                <c:pt idx="8">
                  <c:v>29366</c:v>
                </c:pt>
                <c:pt idx="9">
                  <c:v>34081</c:v>
                </c:pt>
                <c:pt idx="10">
                  <c:v>55847</c:v>
                </c:pt>
                <c:pt idx="11">
                  <c:v>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E-4399-8031-C4E49A64002A}"/>
            </c:ext>
          </c:extLst>
        </c:ser>
        <c:ser>
          <c:idx val="1"/>
          <c:order val="1"/>
          <c:tx>
            <c:strRef>
              <c:f>Calculations!$J$39</c:f>
              <c:strCache>
                <c:ptCount val="1"/>
                <c:pt idx="0">
                  <c:v>USA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Calculations!$H$40:$H$51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Calculations!$J$40:$J$51</c:f>
              <c:numCache>
                <c:formatCode>[$€-83C]#,##0.00</c:formatCode>
                <c:ptCount val="12"/>
                <c:pt idx="0">
                  <c:v>16907</c:v>
                </c:pt>
                <c:pt idx="1">
                  <c:v>8349</c:v>
                </c:pt>
                <c:pt idx="2">
                  <c:v>30120</c:v>
                </c:pt>
                <c:pt idx="3">
                  <c:v>16161</c:v>
                </c:pt>
                <c:pt idx="4">
                  <c:v>57318</c:v>
                </c:pt>
                <c:pt idx="5">
                  <c:v>61968</c:v>
                </c:pt>
                <c:pt idx="6">
                  <c:v>1603</c:v>
                </c:pt>
                <c:pt idx="7">
                  <c:v>19000</c:v>
                </c:pt>
                <c:pt idx="8">
                  <c:v>18078</c:v>
                </c:pt>
                <c:pt idx="9">
                  <c:v>83660</c:v>
                </c:pt>
                <c:pt idx="10">
                  <c:v>18124</c:v>
                </c:pt>
                <c:pt idx="11">
                  <c:v>10157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E-4399-8031-C4E49A64002A}"/>
            </c:ext>
          </c:extLst>
        </c:ser>
        <c:ser>
          <c:idx val="2"/>
          <c:order val="2"/>
          <c:tx>
            <c:strRef>
              <c:f>Calculations!$K$39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Calculations!$H$40:$H$51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Calculations!$K$40:$K$51</c:f>
              <c:numCache>
                <c:formatCode>[$€-83C]#,##0.00</c:formatCode>
                <c:ptCount val="12"/>
                <c:pt idx="0">
                  <c:v>49652</c:v>
                </c:pt>
                <c:pt idx="1">
                  <c:v>16173</c:v>
                </c:pt>
                <c:pt idx="2">
                  <c:v>44875</c:v>
                </c:pt>
                <c:pt idx="3">
                  <c:v>23572</c:v>
                </c:pt>
                <c:pt idx="4">
                  <c:v>27213</c:v>
                </c:pt>
                <c:pt idx="5">
                  <c:v>15257</c:v>
                </c:pt>
                <c:pt idx="6">
                  <c:v>0</c:v>
                </c:pt>
                <c:pt idx="7">
                  <c:v>50852</c:v>
                </c:pt>
                <c:pt idx="8">
                  <c:v>41228</c:v>
                </c:pt>
                <c:pt idx="9">
                  <c:v>51472</c:v>
                </c:pt>
                <c:pt idx="10">
                  <c:v>62872</c:v>
                </c:pt>
                <c:pt idx="11">
                  <c:v>77093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6E-4399-8031-C4E49A64002A}"/>
            </c:ext>
          </c:extLst>
        </c:ser>
        <c:ser>
          <c:idx val="3"/>
          <c:order val="3"/>
          <c:tx>
            <c:strRef>
              <c:f>Calculations!$L$39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Calculations!$H$40:$H$51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Calculations!$L$40:$L$51</c:f>
              <c:numCache>
                <c:formatCode>[$€-83C]#,##0.00</c:formatCode>
                <c:ptCount val="12"/>
                <c:pt idx="0">
                  <c:v>95240</c:v>
                </c:pt>
                <c:pt idx="1">
                  <c:v>251415</c:v>
                </c:pt>
                <c:pt idx="2">
                  <c:v>363771</c:v>
                </c:pt>
                <c:pt idx="3">
                  <c:v>203945</c:v>
                </c:pt>
                <c:pt idx="4">
                  <c:v>177849</c:v>
                </c:pt>
                <c:pt idx="5">
                  <c:v>71034</c:v>
                </c:pt>
                <c:pt idx="6">
                  <c:v>153176</c:v>
                </c:pt>
                <c:pt idx="7">
                  <c:v>176995</c:v>
                </c:pt>
                <c:pt idx="8">
                  <c:v>145350</c:v>
                </c:pt>
                <c:pt idx="9">
                  <c:v>353094</c:v>
                </c:pt>
                <c:pt idx="10">
                  <c:v>302046</c:v>
                </c:pt>
                <c:pt idx="11">
                  <c:v>153456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6E-4399-8031-C4E49A64002A}"/>
            </c:ext>
          </c:extLst>
        </c:ser>
        <c:ser>
          <c:idx val="4"/>
          <c:order val="4"/>
          <c:tx>
            <c:strRef>
              <c:f>Calculations!$M$39</c:f>
              <c:strCache>
                <c:ptCount val="1"/>
                <c:pt idx="0">
                  <c:v>Norway</c:v>
                </c:pt>
              </c:strCache>
            </c:strRef>
          </c:tx>
          <c:spPr>
            <a:ln w="22225" cap="rnd">
              <a:solidFill>
                <a:srgbClr val="8168F6"/>
              </a:solidFill>
              <a:round/>
            </a:ln>
            <a:effectLst/>
          </c:spPr>
          <c:marker>
            <c:symbol val="none"/>
          </c:marker>
          <c:cat>
            <c:strRef>
              <c:f>Calculations!$H$40:$H$51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Calculations!$M$40:$M$51</c:f>
              <c:numCache>
                <c:formatCode>[$€-83C]#,##0.00</c:formatCode>
                <c:ptCount val="12"/>
                <c:pt idx="0">
                  <c:v>48600</c:v>
                </c:pt>
                <c:pt idx="1">
                  <c:v>11497</c:v>
                </c:pt>
                <c:pt idx="2">
                  <c:v>73815</c:v>
                </c:pt>
                <c:pt idx="3">
                  <c:v>19067</c:v>
                </c:pt>
                <c:pt idx="4">
                  <c:v>43585</c:v>
                </c:pt>
                <c:pt idx="5">
                  <c:v>10551</c:v>
                </c:pt>
                <c:pt idx="6">
                  <c:v>0</c:v>
                </c:pt>
                <c:pt idx="7">
                  <c:v>57665</c:v>
                </c:pt>
                <c:pt idx="8">
                  <c:v>32067</c:v>
                </c:pt>
                <c:pt idx="9">
                  <c:v>5072</c:v>
                </c:pt>
                <c:pt idx="10">
                  <c:v>73508</c:v>
                </c:pt>
                <c:pt idx="11">
                  <c:v>25667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6E-4399-8031-C4E49A640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165984"/>
        <c:axId val="847171392"/>
      </c:lineChart>
      <c:catAx>
        <c:axId val="84716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847171392"/>
        <c:crosses val="autoZero"/>
        <c:auto val="1"/>
        <c:lblAlgn val="ctr"/>
        <c:lblOffset val="100"/>
        <c:noMultiLvlLbl val="0"/>
      </c:catAx>
      <c:valAx>
        <c:axId val="8471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\ 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847165984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152400</xdr:rowOff>
    </xdr:from>
    <xdr:to>
      <xdr:col>8</xdr:col>
      <xdr:colOff>15240</xdr:colOff>
      <xdr:row>21</xdr:row>
      <xdr:rowOff>88980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5078DBB1-A19E-1052-7E2E-01C0585283AD}"/>
            </a:ext>
          </a:extLst>
        </xdr:cNvPr>
        <xdr:cNvSpPr/>
      </xdr:nvSpPr>
      <xdr:spPr>
        <a:xfrm>
          <a:off x="190500" y="1290638"/>
          <a:ext cx="6482715" cy="2932192"/>
        </a:xfrm>
        <a:prstGeom prst="rect">
          <a:avLst/>
        </a:prstGeom>
        <a:solidFill>
          <a:srgbClr val="EF7A7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43542</xdr:colOff>
      <xdr:row>0</xdr:row>
      <xdr:rowOff>163286</xdr:rowOff>
    </xdr:from>
    <xdr:to>
      <xdr:col>10</xdr:col>
      <xdr:colOff>43800</xdr:colOff>
      <xdr:row>39</xdr:row>
      <xdr:rowOff>21772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19DCF0A8-51B7-6ACB-DE2B-E4D585B17A14}"/>
            </a:ext>
          </a:extLst>
        </xdr:cNvPr>
        <xdr:cNvGrpSpPr/>
      </xdr:nvGrpSpPr>
      <xdr:grpSpPr>
        <a:xfrm>
          <a:off x="6860902" y="163286"/>
          <a:ext cx="3200658" cy="7031446"/>
          <a:chOff x="6857999" y="163286"/>
          <a:chExt cx="3200658" cy="708660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1DED5DC-C963-4C59-0C05-8DE9EF17E971}"/>
              </a:ext>
            </a:extLst>
          </xdr:cNvPr>
          <xdr:cNvSpPr/>
        </xdr:nvSpPr>
        <xdr:spPr>
          <a:xfrm>
            <a:off x="6857999" y="163286"/>
            <a:ext cx="3189515" cy="7086600"/>
          </a:xfrm>
          <a:prstGeom prst="rect">
            <a:avLst/>
          </a:prstGeom>
          <a:solidFill>
            <a:srgbClr val="EF7A7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7D31AAFB-9106-ACB8-2425-350DBB08EF54}"/>
              </a:ext>
            </a:extLst>
          </xdr:cNvPr>
          <xdr:cNvGrpSpPr/>
        </xdr:nvGrpSpPr>
        <xdr:grpSpPr>
          <a:xfrm>
            <a:off x="6879767" y="206830"/>
            <a:ext cx="3167743" cy="2155032"/>
            <a:chOff x="6857996" y="283030"/>
            <a:chExt cx="3167743" cy="2155032"/>
          </a:xfrm>
        </xdr:grpSpPr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1D6D281-2260-4A64-AD38-06542442464D}"/>
                </a:ext>
              </a:extLst>
            </xdr:cNvPr>
            <xdr:cNvGraphicFramePr>
              <a:graphicFrameLocks/>
            </xdr:cNvGraphicFramePr>
          </xdr:nvGraphicFramePr>
          <xdr:xfrm>
            <a:off x="6857996" y="566062"/>
            <a:ext cx="3167743" cy="1872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FFE42A1-F954-5FAD-E3AB-32DEDD677426}"/>
                </a:ext>
              </a:extLst>
            </xdr:cNvPr>
            <xdr:cNvSpPr txBox="1"/>
          </xdr:nvSpPr>
          <xdr:spPr>
            <a:xfrm>
              <a:off x="6868886" y="283030"/>
              <a:ext cx="2353016" cy="2616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sr-Latn-RS" sz="1100" b="1">
                  <a:solidFill>
                    <a:schemeClr val="bg1"/>
                  </a:solidFill>
                  <a:latin typeface="Bahnschrift" panose="020B0502040204020203" pitchFamily="34" charset="0"/>
                </a:rPr>
                <a:t>Revenue Current</a:t>
              </a:r>
              <a:r>
                <a:rPr lang="sr-Latn-RS" sz="1100" b="1" baseline="0">
                  <a:solidFill>
                    <a:schemeClr val="bg1"/>
                  </a:solidFill>
                  <a:latin typeface="Bahnschrift" panose="020B0502040204020203" pitchFamily="34" charset="0"/>
                </a:rPr>
                <a:t> vs Previous Year</a:t>
              </a:r>
              <a:endParaRPr lang="en-GB" sz="1100" b="1">
                <a:solidFill>
                  <a:schemeClr val="bg1"/>
                </a:solidFill>
                <a:latin typeface="Bahnschrift" panose="020B0502040204020203" pitchFamily="34" charset="0"/>
              </a:endParaRPr>
            </a:p>
          </xdr:txBody>
        </xdr:sp>
      </xdr:grp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7EBF3EE6-91AD-464D-88E5-699AD8741987}"/>
              </a:ext>
            </a:extLst>
          </xdr:cNvPr>
          <xdr:cNvSpPr txBox="1"/>
        </xdr:nvSpPr>
        <xdr:spPr>
          <a:xfrm>
            <a:off x="6977746" y="2558146"/>
            <a:ext cx="2353016" cy="2616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sr-Latn-RS" sz="1100" b="1">
                <a:solidFill>
                  <a:schemeClr val="bg1"/>
                </a:solidFill>
                <a:latin typeface="Bahnschrift" panose="020B0502040204020203" pitchFamily="34" charset="0"/>
              </a:rPr>
              <a:t>Revenue %</a:t>
            </a:r>
            <a:r>
              <a:rPr lang="sr-Latn-RS" sz="1100" b="1" baseline="0">
                <a:solidFill>
                  <a:schemeClr val="bg1"/>
                </a:solidFill>
                <a:latin typeface="Bahnschrift" panose="020B0502040204020203" pitchFamily="34" charset="0"/>
              </a:rPr>
              <a:t> by Months</a:t>
            </a:r>
            <a:endParaRPr lang="en-GB" sz="11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4089E5CA-CF7A-48F0-A474-E68604A6D655}"/>
              </a:ext>
            </a:extLst>
          </xdr:cNvPr>
          <xdr:cNvGraphicFramePr>
            <a:graphicFrameLocks/>
          </xdr:cNvGraphicFramePr>
        </xdr:nvGraphicFramePr>
        <xdr:xfrm>
          <a:off x="6890657" y="2862946"/>
          <a:ext cx="3168000" cy="18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74CDD37E-6C00-4314-B2A4-37536DC743AD}"/>
              </a:ext>
            </a:extLst>
          </xdr:cNvPr>
          <xdr:cNvGraphicFramePr>
            <a:graphicFrameLocks/>
          </xdr:cNvGraphicFramePr>
        </xdr:nvGraphicFramePr>
        <xdr:xfrm>
          <a:off x="6868885" y="5290457"/>
          <a:ext cx="3167743" cy="18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B6ECE70D-B765-412A-B956-6DCD0EB73077}"/>
              </a:ext>
            </a:extLst>
          </xdr:cNvPr>
          <xdr:cNvSpPr txBox="1"/>
        </xdr:nvSpPr>
        <xdr:spPr>
          <a:xfrm>
            <a:off x="6879775" y="5029199"/>
            <a:ext cx="3047996" cy="23948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sr-Latn-RS" sz="1100" b="1">
                <a:solidFill>
                  <a:schemeClr val="bg1"/>
                </a:solidFill>
                <a:latin typeface="Bahnschrift" panose="020B0502040204020203" pitchFamily="34" charset="0"/>
              </a:rPr>
              <a:t>Revenue Actual</a:t>
            </a:r>
            <a:r>
              <a:rPr lang="sr-Latn-RS" sz="1100" b="1" baseline="0">
                <a:solidFill>
                  <a:schemeClr val="bg1"/>
                </a:solidFill>
                <a:latin typeface="Bahnschrift" panose="020B0502040204020203" pitchFamily="34" charset="0"/>
              </a:rPr>
              <a:t> vs Target Through Year</a:t>
            </a:r>
            <a:endParaRPr lang="en-GB" sz="1100" b="1">
              <a:solidFill>
                <a:schemeClr val="bg1"/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37460</xdr:colOff>
      <xdr:row>10</xdr:row>
      <xdr:rowOff>135066</xdr:rowOff>
    </xdr:from>
    <xdr:to>
      <xdr:col>3</xdr:col>
      <xdr:colOff>626378</xdr:colOff>
      <xdr:row>19</xdr:row>
      <xdr:rowOff>67882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287AE160-9621-7BE4-5C07-A910EBCBC9EA}"/>
            </a:ext>
          </a:extLst>
        </xdr:cNvPr>
        <xdr:cNvGrpSpPr/>
      </xdr:nvGrpSpPr>
      <xdr:grpSpPr>
        <a:xfrm>
          <a:off x="230500" y="2299146"/>
          <a:ext cx="2244998" cy="1487296"/>
          <a:chOff x="2149002" y="3027755"/>
          <a:chExt cx="2241255" cy="1518002"/>
        </a:xfrm>
      </xdr:grpSpPr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D54F61BC-E9C9-3690-9D6E-B5C5A96A6431}"/>
              </a:ext>
            </a:extLst>
          </xdr:cNvPr>
          <xdr:cNvGrpSpPr/>
        </xdr:nvGrpSpPr>
        <xdr:grpSpPr>
          <a:xfrm>
            <a:off x="2269462" y="3135233"/>
            <a:ext cx="1929276" cy="1144601"/>
            <a:chOff x="2269462" y="3135233"/>
            <a:chExt cx="1929276" cy="1144601"/>
          </a:xfrm>
        </xdr:grpSpPr>
        <xdr:sp macro="" textlink="">
          <xdr:nvSpPr>
            <xdr:cNvPr id="18" name="Rectangle 17">
              <a:extLst>
                <a:ext uri="{FF2B5EF4-FFF2-40B4-BE49-F238E27FC236}">
                  <a16:creationId xmlns:a16="http://schemas.microsoft.com/office/drawing/2014/main" id="{FD0D31EB-0CDC-8A9D-64A7-EABB4A9C8959}"/>
                </a:ext>
              </a:extLst>
            </xdr:cNvPr>
            <xdr:cNvSpPr/>
          </xdr:nvSpPr>
          <xdr:spPr>
            <a:xfrm>
              <a:off x="2289739" y="3288375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FEA4E84A-E557-4737-8A95-BD2861874D1A}"/>
                </a:ext>
              </a:extLst>
            </xdr:cNvPr>
            <xdr:cNvSpPr/>
          </xdr:nvSpPr>
          <xdr:spPr>
            <a:xfrm>
              <a:off x="2289739" y="3597261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BD22979F-2533-42CC-9FB8-6F5964AC10CE}"/>
                </a:ext>
              </a:extLst>
            </xdr:cNvPr>
            <xdr:cNvSpPr/>
          </xdr:nvSpPr>
          <xdr:spPr>
            <a:xfrm>
              <a:off x="2289739" y="3906147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C5BB3626-37AE-4B1D-AA70-9A5930DF1E25}"/>
                </a:ext>
              </a:extLst>
            </xdr:cNvPr>
            <xdr:cNvSpPr/>
          </xdr:nvSpPr>
          <xdr:spPr>
            <a:xfrm>
              <a:off x="2289739" y="4215033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pSp>
          <xdr:nvGrpSpPr>
            <xdr:cNvPr id="26" name="Group 25">
              <a:extLst>
                <a:ext uri="{FF2B5EF4-FFF2-40B4-BE49-F238E27FC236}">
                  <a16:creationId xmlns:a16="http://schemas.microsoft.com/office/drawing/2014/main" id="{6FF2C5A7-BB20-46ED-9B9A-801CF5FC1AAE}"/>
                </a:ext>
              </a:extLst>
            </xdr:cNvPr>
            <xdr:cNvGrpSpPr/>
          </xdr:nvGrpSpPr>
          <xdr:grpSpPr>
            <a:xfrm>
              <a:off x="2269462" y="3135233"/>
              <a:ext cx="1929276" cy="156086"/>
              <a:chOff x="2838439" y="2510636"/>
              <a:chExt cx="1933572" cy="156283"/>
            </a:xfrm>
          </xdr:grpSpPr>
          <xdr:sp macro="" textlink="Data!E459">
            <xdr:nvSpPr>
              <xdr:cNvPr id="27" name="TextBox 26">
                <a:extLst>
                  <a:ext uri="{FF2B5EF4-FFF2-40B4-BE49-F238E27FC236}">
                    <a16:creationId xmlns:a16="http://schemas.microsoft.com/office/drawing/2014/main" id="{A55759E7-36C2-C577-B730-C90EF2EA0F55}"/>
                  </a:ext>
                </a:extLst>
              </xdr:cNvPr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538EA78F-2D2D-45FC-95A3-31504312AFCE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Customer #44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Data!F459">
            <xdr:nvSpPr>
              <xdr:cNvPr id="28" name="TextBox 27">
                <a:extLst>
                  <a:ext uri="{FF2B5EF4-FFF2-40B4-BE49-F238E27FC236}">
                    <a16:creationId xmlns:a16="http://schemas.microsoft.com/office/drawing/2014/main" id="{4B5A145D-AAD4-9B64-8F61-988E37D8E35E}"/>
                  </a:ext>
                </a:extLst>
              </xdr:cNvPr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7F97015A-3A5C-4C54-814A-2FF7AB2D1583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€86,723.00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29" name="Group 28">
              <a:extLst>
                <a:ext uri="{FF2B5EF4-FFF2-40B4-BE49-F238E27FC236}">
                  <a16:creationId xmlns:a16="http://schemas.microsoft.com/office/drawing/2014/main" id="{DA244FFD-A633-42FA-A2B7-87E0C7E44B0A}"/>
                </a:ext>
              </a:extLst>
            </xdr:cNvPr>
            <xdr:cNvGrpSpPr/>
          </xdr:nvGrpSpPr>
          <xdr:grpSpPr>
            <a:xfrm>
              <a:off x="2269462" y="3444307"/>
              <a:ext cx="1929276" cy="156087"/>
              <a:chOff x="2838439" y="2510638"/>
              <a:chExt cx="1933572" cy="156283"/>
            </a:xfrm>
          </xdr:grpSpPr>
          <xdr:sp macro="" textlink="Data!E458">
            <xdr:nvSpPr>
              <xdr:cNvPr id="30" name="TextBox 29">
                <a:extLst>
                  <a:ext uri="{FF2B5EF4-FFF2-40B4-BE49-F238E27FC236}">
                    <a16:creationId xmlns:a16="http://schemas.microsoft.com/office/drawing/2014/main" id="{80F86028-CEB9-A371-01B9-F51238156AB3}"/>
                  </a:ext>
                </a:extLst>
              </xdr:cNvPr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8BB70ADB-1826-4335-9DF8-C8D598589A87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Customer #35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Data!F458">
            <xdr:nvSpPr>
              <xdr:cNvPr id="31" name="TextBox 30">
                <a:extLst>
                  <a:ext uri="{FF2B5EF4-FFF2-40B4-BE49-F238E27FC236}">
                    <a16:creationId xmlns:a16="http://schemas.microsoft.com/office/drawing/2014/main" id="{682837E3-A922-78A3-FED6-8C9ED4DE7DCC}"/>
                  </a:ext>
                </a:extLst>
              </xdr:cNvPr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93308F7C-EE05-4D66-A4E4-1A839864AAA3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€98,230.00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32" name="Group 31">
              <a:extLst>
                <a:ext uri="{FF2B5EF4-FFF2-40B4-BE49-F238E27FC236}">
                  <a16:creationId xmlns:a16="http://schemas.microsoft.com/office/drawing/2014/main" id="{D30CCEE8-752A-4931-96A1-715736C105EF}"/>
                </a:ext>
              </a:extLst>
            </xdr:cNvPr>
            <xdr:cNvGrpSpPr/>
          </xdr:nvGrpSpPr>
          <xdr:grpSpPr>
            <a:xfrm>
              <a:off x="2269462" y="3753382"/>
              <a:ext cx="1929276" cy="156087"/>
              <a:chOff x="2838439" y="2510638"/>
              <a:chExt cx="1933572" cy="156283"/>
            </a:xfrm>
          </xdr:grpSpPr>
          <xdr:sp macro="" textlink="Data!E457">
            <xdr:nvSpPr>
              <xdr:cNvPr id="33" name="TextBox 32">
                <a:extLst>
                  <a:ext uri="{FF2B5EF4-FFF2-40B4-BE49-F238E27FC236}">
                    <a16:creationId xmlns:a16="http://schemas.microsoft.com/office/drawing/2014/main" id="{3F10CE9C-A5E0-6782-176D-638900954D3F}"/>
                  </a:ext>
                </a:extLst>
              </xdr:cNvPr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B29E1497-D581-4A69-AB0F-511AF43B2DEF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Customer #7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Data!F457">
            <xdr:nvSpPr>
              <xdr:cNvPr id="34" name="TextBox 33">
                <a:extLst>
                  <a:ext uri="{FF2B5EF4-FFF2-40B4-BE49-F238E27FC236}">
                    <a16:creationId xmlns:a16="http://schemas.microsoft.com/office/drawing/2014/main" id="{A10609E5-7796-9740-2A11-A34C5C18E42D}"/>
                  </a:ext>
                </a:extLst>
              </xdr:cNvPr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6FAFED6E-62D2-4CE0-AFF3-C1E6447FAE44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€100,101.00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35" name="Group 34">
              <a:extLst>
                <a:ext uri="{FF2B5EF4-FFF2-40B4-BE49-F238E27FC236}">
                  <a16:creationId xmlns:a16="http://schemas.microsoft.com/office/drawing/2014/main" id="{3639238B-91BF-4E88-BEB5-1DDFC233445D}"/>
                </a:ext>
              </a:extLst>
            </xdr:cNvPr>
            <xdr:cNvGrpSpPr/>
          </xdr:nvGrpSpPr>
          <xdr:grpSpPr>
            <a:xfrm>
              <a:off x="2269462" y="4062456"/>
              <a:ext cx="1929276" cy="156086"/>
              <a:chOff x="2838439" y="2510636"/>
              <a:chExt cx="1933572" cy="156283"/>
            </a:xfrm>
          </xdr:grpSpPr>
          <xdr:sp macro="" textlink="Data!E456">
            <xdr:nvSpPr>
              <xdr:cNvPr id="36" name="TextBox 35">
                <a:extLst>
                  <a:ext uri="{FF2B5EF4-FFF2-40B4-BE49-F238E27FC236}">
                    <a16:creationId xmlns:a16="http://schemas.microsoft.com/office/drawing/2014/main" id="{4663D0EE-AEBF-BD84-AB59-D28269F8822E}"/>
                  </a:ext>
                </a:extLst>
              </xdr:cNvPr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D011471E-8544-483C-9795-0290602BA6ED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Customer #100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Data!F456">
            <xdr:nvSpPr>
              <xdr:cNvPr id="37" name="TextBox 36">
                <a:extLst>
                  <a:ext uri="{FF2B5EF4-FFF2-40B4-BE49-F238E27FC236}">
                    <a16:creationId xmlns:a16="http://schemas.microsoft.com/office/drawing/2014/main" id="{37ECAC37-262E-B806-F967-A7387749C443}"/>
                  </a:ext>
                </a:extLst>
              </xdr:cNvPr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5A5B0F12-29AD-4C9E-8215-0A2A55CBBEAE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€100,485.00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</xdr:grpSp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4E0F8DD3-8BFC-43B1-ACC5-AEAD91CB2951}"/>
              </a:ext>
            </a:extLst>
          </xdr:cNvPr>
          <xdr:cNvGraphicFramePr>
            <a:graphicFrameLocks/>
          </xdr:cNvGraphicFramePr>
        </xdr:nvGraphicFramePr>
        <xdr:xfrm>
          <a:off x="2149002" y="3027755"/>
          <a:ext cx="2241255" cy="15180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</xdr:col>
      <xdr:colOff>60627</xdr:colOff>
      <xdr:row>5</xdr:row>
      <xdr:rowOff>114300</xdr:rowOff>
    </xdr:from>
    <xdr:to>
      <xdr:col>3</xdr:col>
      <xdr:colOff>761760</xdr:colOff>
      <xdr:row>7</xdr:row>
      <xdr:rowOff>26917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71072E50-2855-431E-85E1-16E112A4EFC8}"/>
            </a:ext>
          </a:extLst>
        </xdr:cNvPr>
        <xdr:cNvSpPr txBox="1"/>
      </xdr:nvSpPr>
      <xdr:spPr>
        <a:xfrm>
          <a:off x="251127" y="1424940"/>
          <a:ext cx="2354673" cy="263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sr-Latn-RS" sz="1100" b="1">
              <a:solidFill>
                <a:schemeClr val="bg1"/>
              </a:solidFill>
              <a:latin typeface="Bahnschrift" panose="020B0502040204020203" pitchFamily="34" charset="0"/>
            </a:rPr>
            <a:t>Customers Overview</a:t>
          </a:r>
          <a:endParaRPr lang="en-GB" sz="11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2981</xdr:colOff>
      <xdr:row>22</xdr:row>
      <xdr:rowOff>76200</xdr:rowOff>
    </xdr:from>
    <xdr:to>
      <xdr:col>8</xdr:col>
      <xdr:colOff>19878</xdr:colOff>
      <xdr:row>39</xdr:row>
      <xdr:rowOff>12780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E25B74A-AE22-40DB-B48A-83243E25621F}"/>
            </a:ext>
          </a:extLst>
        </xdr:cNvPr>
        <xdr:cNvSpPr/>
      </xdr:nvSpPr>
      <xdr:spPr>
        <a:xfrm>
          <a:off x="195138" y="4310270"/>
          <a:ext cx="6457453" cy="2865310"/>
        </a:xfrm>
        <a:prstGeom prst="rect">
          <a:avLst/>
        </a:prstGeom>
        <a:solidFill>
          <a:srgbClr val="EF7A7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518471</xdr:colOff>
      <xdr:row>10</xdr:row>
      <xdr:rowOff>133379</xdr:rowOff>
    </xdr:from>
    <xdr:to>
      <xdr:col>5</xdr:col>
      <xdr:colOff>1107389</xdr:colOff>
      <xdr:row>19</xdr:row>
      <xdr:rowOff>66779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0E9ADAD2-7D90-AE5D-A6D7-BF60C438B0BC}"/>
            </a:ext>
          </a:extLst>
        </xdr:cNvPr>
        <xdr:cNvGrpSpPr/>
      </xdr:nvGrpSpPr>
      <xdr:grpSpPr>
        <a:xfrm>
          <a:off x="2367591" y="2297459"/>
          <a:ext cx="2244998" cy="1487880"/>
          <a:chOff x="2364856" y="2246082"/>
          <a:chExt cx="2241871" cy="1512448"/>
        </a:xfrm>
      </xdr:grpSpPr>
      <xdr:grpSp>
        <xdr:nvGrpSpPr>
          <xdr:cNvPr id="91" name="Group 90">
            <a:extLst>
              <a:ext uri="{FF2B5EF4-FFF2-40B4-BE49-F238E27FC236}">
                <a16:creationId xmlns:a16="http://schemas.microsoft.com/office/drawing/2014/main" id="{4958995C-71AC-7292-4DF0-B09F6DCC99D2}"/>
              </a:ext>
            </a:extLst>
          </xdr:cNvPr>
          <xdr:cNvGrpSpPr/>
        </xdr:nvGrpSpPr>
        <xdr:grpSpPr>
          <a:xfrm>
            <a:off x="2480824" y="2355020"/>
            <a:ext cx="1929194" cy="1139618"/>
            <a:chOff x="2482289" y="2358318"/>
            <a:chExt cx="1933591" cy="1142182"/>
          </a:xfrm>
        </xdr:grpSpPr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C7115DB8-A8AA-B26D-D077-AFCFD2A53616}"/>
                </a:ext>
              </a:extLst>
            </xdr:cNvPr>
            <xdr:cNvSpPr/>
          </xdr:nvSpPr>
          <xdr:spPr>
            <a:xfrm>
              <a:off x="2502611" y="2511136"/>
              <a:ext cx="1881189" cy="64664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FD6DFC44-16B7-BF1C-9672-FDBE7015D031}"/>
                </a:ext>
              </a:extLst>
            </xdr:cNvPr>
            <xdr:cNvSpPr/>
          </xdr:nvSpPr>
          <xdr:spPr>
            <a:xfrm>
              <a:off x="2502611" y="2819370"/>
              <a:ext cx="1881189" cy="64664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24961332-7A23-ACEC-967A-5DE92928DABE}"/>
                </a:ext>
              </a:extLst>
            </xdr:cNvPr>
            <xdr:cNvSpPr/>
          </xdr:nvSpPr>
          <xdr:spPr>
            <a:xfrm>
              <a:off x="2502611" y="3127603"/>
              <a:ext cx="1881189" cy="64664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D6CE682D-FAA9-85D4-A598-94C4F27BBA6C}"/>
                </a:ext>
              </a:extLst>
            </xdr:cNvPr>
            <xdr:cNvSpPr/>
          </xdr:nvSpPr>
          <xdr:spPr>
            <a:xfrm>
              <a:off x="2502611" y="3435836"/>
              <a:ext cx="1881189" cy="64664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pSp>
          <xdr:nvGrpSpPr>
            <xdr:cNvPr id="56" name="Group 55">
              <a:extLst>
                <a:ext uri="{FF2B5EF4-FFF2-40B4-BE49-F238E27FC236}">
                  <a16:creationId xmlns:a16="http://schemas.microsoft.com/office/drawing/2014/main" id="{36476180-7C68-6A17-F917-EE36ECE89697}"/>
                </a:ext>
              </a:extLst>
            </xdr:cNvPr>
            <xdr:cNvGrpSpPr/>
          </xdr:nvGrpSpPr>
          <xdr:grpSpPr>
            <a:xfrm>
              <a:off x="2482289" y="2358318"/>
              <a:ext cx="1933591" cy="155756"/>
              <a:chOff x="2838439" y="2510636"/>
              <a:chExt cx="1933572" cy="156283"/>
            </a:xfrm>
          </xdr:grpSpPr>
          <xdr:sp macro="" textlink="Calculations!H25">
            <xdr:nvSpPr>
              <xdr:cNvPr id="66" name="TextBox 65">
                <a:extLst>
                  <a:ext uri="{FF2B5EF4-FFF2-40B4-BE49-F238E27FC236}">
                    <a16:creationId xmlns:a16="http://schemas.microsoft.com/office/drawing/2014/main" id="{E993DCEC-B95E-27C4-9119-03E11F9F08F3}"/>
                  </a:ext>
                </a:extLst>
              </xdr:cNvPr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D7AFC26E-5681-4002-9013-67A20FCA1964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1-10 Employees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25">
            <xdr:nvSpPr>
              <xdr:cNvPr id="67" name="TextBox 66">
                <a:extLst>
                  <a:ext uri="{FF2B5EF4-FFF2-40B4-BE49-F238E27FC236}">
                    <a16:creationId xmlns:a16="http://schemas.microsoft.com/office/drawing/2014/main" id="{35D6E2D8-4D4F-2EA7-1E4D-7ABF8DFCC3D4}"/>
                  </a:ext>
                </a:extLst>
              </xdr:cNvPr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A9F399EE-D435-4B73-A1D6-B6CB9504EC0E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47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57" name="Group 56">
              <a:extLst>
                <a:ext uri="{FF2B5EF4-FFF2-40B4-BE49-F238E27FC236}">
                  <a16:creationId xmlns:a16="http://schemas.microsoft.com/office/drawing/2014/main" id="{C5E5560C-23C7-0171-B34D-94810342B354}"/>
                </a:ext>
              </a:extLst>
            </xdr:cNvPr>
            <xdr:cNvGrpSpPr/>
          </xdr:nvGrpSpPr>
          <xdr:grpSpPr>
            <a:xfrm>
              <a:off x="2482289" y="2666739"/>
              <a:ext cx="1933591" cy="155757"/>
              <a:chOff x="2838439" y="2510638"/>
              <a:chExt cx="1933572" cy="156283"/>
            </a:xfrm>
          </xdr:grpSpPr>
          <xdr:sp macro="" textlink="Calculations!H26">
            <xdr:nvSpPr>
              <xdr:cNvPr id="64" name="TextBox 63">
                <a:extLst>
                  <a:ext uri="{FF2B5EF4-FFF2-40B4-BE49-F238E27FC236}">
                    <a16:creationId xmlns:a16="http://schemas.microsoft.com/office/drawing/2014/main" id="{88A329C2-FC2A-7905-BF7F-9B1533A75DF9}"/>
                  </a:ext>
                </a:extLst>
              </xdr:cNvPr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DE516DBA-237A-4187-96E4-15C4B5A62F91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11-50 Employees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26">
            <xdr:nvSpPr>
              <xdr:cNvPr id="65" name="TextBox 64">
                <a:extLst>
                  <a:ext uri="{FF2B5EF4-FFF2-40B4-BE49-F238E27FC236}">
                    <a16:creationId xmlns:a16="http://schemas.microsoft.com/office/drawing/2014/main" id="{0EB8DFC6-8E05-B58D-8599-1C3DA3F97670}"/>
                  </a:ext>
                </a:extLst>
              </xdr:cNvPr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300E600B-0199-4BD3-9741-6D6B1A5AB6B0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266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58" name="Group 57">
              <a:extLst>
                <a:ext uri="{FF2B5EF4-FFF2-40B4-BE49-F238E27FC236}">
                  <a16:creationId xmlns:a16="http://schemas.microsoft.com/office/drawing/2014/main" id="{45AD73F3-C65C-B735-46DD-92B18E2DE69F}"/>
                </a:ext>
              </a:extLst>
            </xdr:cNvPr>
            <xdr:cNvGrpSpPr/>
          </xdr:nvGrpSpPr>
          <xdr:grpSpPr>
            <a:xfrm>
              <a:off x="2482289" y="2975161"/>
              <a:ext cx="1933591" cy="155757"/>
              <a:chOff x="2838439" y="2510638"/>
              <a:chExt cx="1933572" cy="156283"/>
            </a:xfrm>
          </xdr:grpSpPr>
          <xdr:sp macro="" textlink="Calculations!H27">
            <xdr:nvSpPr>
              <xdr:cNvPr id="62" name="TextBox 61">
                <a:extLst>
                  <a:ext uri="{FF2B5EF4-FFF2-40B4-BE49-F238E27FC236}">
                    <a16:creationId xmlns:a16="http://schemas.microsoft.com/office/drawing/2014/main" id="{C7A3A573-0135-4A71-0E6D-005ECFB3933E}"/>
                  </a:ext>
                </a:extLst>
              </xdr:cNvPr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DBA6A3A2-00A6-4221-9974-CEB5B79F348A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51-100 Employees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27">
            <xdr:nvSpPr>
              <xdr:cNvPr id="63" name="TextBox 62">
                <a:extLst>
                  <a:ext uri="{FF2B5EF4-FFF2-40B4-BE49-F238E27FC236}">
                    <a16:creationId xmlns:a16="http://schemas.microsoft.com/office/drawing/2014/main" id="{BDFC06BD-72B7-1048-D238-EAE9AC134BE2}"/>
                  </a:ext>
                </a:extLst>
              </xdr:cNvPr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3CB37B59-961C-4FF7-BCDE-CA2A24286ED1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81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59" name="Group 58">
              <a:extLst>
                <a:ext uri="{FF2B5EF4-FFF2-40B4-BE49-F238E27FC236}">
                  <a16:creationId xmlns:a16="http://schemas.microsoft.com/office/drawing/2014/main" id="{B195EF61-1F17-D3E6-DCDB-2042387543C8}"/>
                </a:ext>
              </a:extLst>
            </xdr:cNvPr>
            <xdr:cNvGrpSpPr/>
          </xdr:nvGrpSpPr>
          <xdr:grpSpPr>
            <a:xfrm>
              <a:off x="2482289" y="3283581"/>
              <a:ext cx="1933591" cy="155756"/>
              <a:chOff x="2838439" y="2510636"/>
              <a:chExt cx="1933572" cy="156283"/>
            </a:xfrm>
          </xdr:grpSpPr>
          <xdr:sp macro="" textlink="Calculations!H28">
            <xdr:nvSpPr>
              <xdr:cNvPr id="60" name="TextBox 59">
                <a:extLst>
                  <a:ext uri="{FF2B5EF4-FFF2-40B4-BE49-F238E27FC236}">
                    <a16:creationId xmlns:a16="http://schemas.microsoft.com/office/drawing/2014/main" id="{89FACA1F-D1E2-B813-AB34-4791E67E25A2}"/>
                  </a:ext>
                </a:extLst>
              </xdr:cNvPr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24766EA1-27E0-4721-BA3B-C7841C19E80A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100-1000 Employees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28">
            <xdr:nvSpPr>
              <xdr:cNvPr id="61" name="TextBox 60">
                <a:extLst>
                  <a:ext uri="{FF2B5EF4-FFF2-40B4-BE49-F238E27FC236}">
                    <a16:creationId xmlns:a16="http://schemas.microsoft.com/office/drawing/2014/main" id="{586BFC55-4DC2-B769-7E29-3316F8C5E0F3}"/>
                  </a:ext>
                </a:extLst>
              </xdr:cNvPr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A5095556-BEB5-4E58-90BB-29D06BBD36B1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50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</xdr:grpSp>
      <xdr:graphicFrame macro="">
        <xdr:nvGraphicFramePr>
          <xdr:cNvPr id="51" name="Chart 50">
            <a:extLst>
              <a:ext uri="{FF2B5EF4-FFF2-40B4-BE49-F238E27FC236}">
                <a16:creationId xmlns:a16="http://schemas.microsoft.com/office/drawing/2014/main" id="{B0A85B75-9C54-3A14-54C2-212239D24626}"/>
              </a:ext>
            </a:extLst>
          </xdr:cNvPr>
          <xdr:cNvGraphicFramePr>
            <a:graphicFrameLocks/>
          </xdr:cNvGraphicFramePr>
        </xdr:nvGraphicFramePr>
        <xdr:xfrm>
          <a:off x="2364856" y="2246082"/>
          <a:ext cx="2241871" cy="151244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5</xdr:col>
      <xdr:colOff>989959</xdr:colOff>
      <xdr:row>10</xdr:row>
      <xdr:rowOff>129206</xdr:rowOff>
    </xdr:from>
    <xdr:to>
      <xdr:col>8</xdr:col>
      <xdr:colOff>85357</xdr:colOff>
      <xdr:row>19</xdr:row>
      <xdr:rowOff>62022</xdr:rowOff>
    </xdr:to>
    <xdr:grpSp>
      <xdr:nvGrpSpPr>
        <xdr:cNvPr id="92" name="Group 91">
          <a:extLst>
            <a:ext uri="{FF2B5EF4-FFF2-40B4-BE49-F238E27FC236}">
              <a16:creationId xmlns:a16="http://schemas.microsoft.com/office/drawing/2014/main" id="{46014A79-864C-E2AE-A16E-94A58577DF5E}"/>
            </a:ext>
          </a:extLst>
        </xdr:cNvPr>
        <xdr:cNvGrpSpPr/>
      </xdr:nvGrpSpPr>
      <xdr:grpSpPr>
        <a:xfrm>
          <a:off x="4495159" y="2293286"/>
          <a:ext cx="2244998" cy="1487296"/>
          <a:chOff x="4489297" y="2241909"/>
          <a:chExt cx="2243045" cy="1511864"/>
        </a:xfrm>
      </xdr:grpSpPr>
      <xdr:grpSp>
        <xdr:nvGrpSpPr>
          <xdr:cNvPr id="69" name="Group 68">
            <a:extLst>
              <a:ext uri="{FF2B5EF4-FFF2-40B4-BE49-F238E27FC236}">
                <a16:creationId xmlns:a16="http://schemas.microsoft.com/office/drawing/2014/main" id="{592CCCD0-B39F-D9F8-5108-BBB91771F3FC}"/>
              </a:ext>
            </a:extLst>
          </xdr:cNvPr>
          <xdr:cNvGrpSpPr/>
        </xdr:nvGrpSpPr>
        <xdr:grpSpPr>
          <a:xfrm>
            <a:off x="4609854" y="2354812"/>
            <a:ext cx="1930817" cy="1139973"/>
            <a:chOff x="2269462" y="3135233"/>
            <a:chExt cx="1929276" cy="1144601"/>
          </a:xfrm>
        </xdr:grpSpPr>
        <xdr:sp macro="" textlink="">
          <xdr:nvSpPr>
            <xdr:cNvPr id="71" name="Rectangle 70">
              <a:extLst>
                <a:ext uri="{FF2B5EF4-FFF2-40B4-BE49-F238E27FC236}">
                  <a16:creationId xmlns:a16="http://schemas.microsoft.com/office/drawing/2014/main" id="{379D7552-C866-35AD-ADDF-862AC4D79FD0}"/>
                </a:ext>
              </a:extLst>
            </xdr:cNvPr>
            <xdr:cNvSpPr/>
          </xdr:nvSpPr>
          <xdr:spPr>
            <a:xfrm>
              <a:off x="2289739" y="3288375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72" name="Rectangle 71">
              <a:extLst>
                <a:ext uri="{FF2B5EF4-FFF2-40B4-BE49-F238E27FC236}">
                  <a16:creationId xmlns:a16="http://schemas.microsoft.com/office/drawing/2014/main" id="{FCE72CE3-C786-D11B-8DCE-279AAD21AA80}"/>
                </a:ext>
              </a:extLst>
            </xdr:cNvPr>
            <xdr:cNvSpPr/>
          </xdr:nvSpPr>
          <xdr:spPr>
            <a:xfrm>
              <a:off x="2289739" y="3597261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73" name="Rectangle 72">
              <a:extLst>
                <a:ext uri="{FF2B5EF4-FFF2-40B4-BE49-F238E27FC236}">
                  <a16:creationId xmlns:a16="http://schemas.microsoft.com/office/drawing/2014/main" id="{020CB469-7706-8675-D377-4C843F51013C}"/>
                </a:ext>
              </a:extLst>
            </xdr:cNvPr>
            <xdr:cNvSpPr/>
          </xdr:nvSpPr>
          <xdr:spPr>
            <a:xfrm>
              <a:off x="2289739" y="3906147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74" name="Rectangle 73">
              <a:extLst>
                <a:ext uri="{FF2B5EF4-FFF2-40B4-BE49-F238E27FC236}">
                  <a16:creationId xmlns:a16="http://schemas.microsoft.com/office/drawing/2014/main" id="{94A8E7C9-AFBE-764C-893B-D191D89EA812}"/>
                </a:ext>
              </a:extLst>
            </xdr:cNvPr>
            <xdr:cNvSpPr/>
          </xdr:nvSpPr>
          <xdr:spPr>
            <a:xfrm>
              <a:off x="2289739" y="4215033"/>
              <a:ext cx="1876991" cy="64801"/>
            </a:xfrm>
            <a:prstGeom prst="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grpSp>
          <xdr:nvGrpSpPr>
            <xdr:cNvPr id="75" name="Group 74">
              <a:extLst>
                <a:ext uri="{FF2B5EF4-FFF2-40B4-BE49-F238E27FC236}">
                  <a16:creationId xmlns:a16="http://schemas.microsoft.com/office/drawing/2014/main" id="{C00DF266-15FC-B4F3-060A-EAD3FAFB83BF}"/>
                </a:ext>
              </a:extLst>
            </xdr:cNvPr>
            <xdr:cNvGrpSpPr/>
          </xdr:nvGrpSpPr>
          <xdr:grpSpPr>
            <a:xfrm>
              <a:off x="2269462" y="3135233"/>
              <a:ext cx="1929276" cy="156086"/>
              <a:chOff x="2838439" y="2510636"/>
              <a:chExt cx="1933572" cy="156283"/>
            </a:xfrm>
          </xdr:grpSpPr>
          <xdr:sp macro="" textlink="Calculations!H34">
            <xdr:nvSpPr>
              <xdr:cNvPr id="85" name="TextBox 84">
                <a:extLst>
                  <a:ext uri="{FF2B5EF4-FFF2-40B4-BE49-F238E27FC236}">
                    <a16:creationId xmlns:a16="http://schemas.microsoft.com/office/drawing/2014/main" id="{572CC55B-F892-11B8-13CB-D9B6DA7D3EEC}"/>
                  </a:ext>
                </a:extLst>
              </xdr:cNvPr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3FC5F05E-ACBB-44A6-9721-E0AD90219683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Other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34">
            <xdr:nvSpPr>
              <xdr:cNvPr id="86" name="TextBox 85">
                <a:extLst>
                  <a:ext uri="{FF2B5EF4-FFF2-40B4-BE49-F238E27FC236}">
                    <a16:creationId xmlns:a16="http://schemas.microsoft.com/office/drawing/2014/main" id="{78DEEE20-BC5F-1BD7-7EA4-D85A5A27E1EE}"/>
                  </a:ext>
                </a:extLst>
              </xdr:cNvPr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79563D10-4115-4241-8E38-5304C6AEB7C1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10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76" name="Group 75">
              <a:extLst>
                <a:ext uri="{FF2B5EF4-FFF2-40B4-BE49-F238E27FC236}">
                  <a16:creationId xmlns:a16="http://schemas.microsoft.com/office/drawing/2014/main" id="{8F21ECF0-6728-0FFB-734E-FDA8F6C427D9}"/>
                </a:ext>
              </a:extLst>
            </xdr:cNvPr>
            <xdr:cNvGrpSpPr/>
          </xdr:nvGrpSpPr>
          <xdr:grpSpPr>
            <a:xfrm>
              <a:off x="2269462" y="3444307"/>
              <a:ext cx="1929276" cy="156087"/>
              <a:chOff x="2838439" y="2510638"/>
              <a:chExt cx="1933572" cy="156283"/>
            </a:xfrm>
          </xdr:grpSpPr>
          <xdr:sp macro="" textlink="Calculations!H33">
            <xdr:nvSpPr>
              <xdr:cNvPr id="83" name="TextBox 82">
                <a:extLst>
                  <a:ext uri="{FF2B5EF4-FFF2-40B4-BE49-F238E27FC236}">
                    <a16:creationId xmlns:a16="http://schemas.microsoft.com/office/drawing/2014/main" id="{9CBD6AC9-0A64-63AC-ADB5-99BF85FE8E18}"/>
                  </a:ext>
                </a:extLst>
              </xdr:cNvPr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9191785F-1B33-46B6-93F9-F2DFF6AB2C41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Bevarage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33">
            <xdr:nvSpPr>
              <xdr:cNvPr id="84" name="TextBox 83">
                <a:extLst>
                  <a:ext uri="{FF2B5EF4-FFF2-40B4-BE49-F238E27FC236}">
                    <a16:creationId xmlns:a16="http://schemas.microsoft.com/office/drawing/2014/main" id="{1D0E99C8-933E-F981-6D99-B7B05075A70E}"/>
                  </a:ext>
                </a:extLst>
              </xdr:cNvPr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E35DA9CF-574E-463A-B34B-3A9512F62350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208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77" name="Group 76">
              <a:extLst>
                <a:ext uri="{FF2B5EF4-FFF2-40B4-BE49-F238E27FC236}">
                  <a16:creationId xmlns:a16="http://schemas.microsoft.com/office/drawing/2014/main" id="{3D4ED1EE-E69E-DAC9-B1F3-D61869A3686F}"/>
                </a:ext>
              </a:extLst>
            </xdr:cNvPr>
            <xdr:cNvGrpSpPr/>
          </xdr:nvGrpSpPr>
          <xdr:grpSpPr>
            <a:xfrm>
              <a:off x="2269462" y="3753382"/>
              <a:ext cx="1929276" cy="156087"/>
              <a:chOff x="2838439" y="2510638"/>
              <a:chExt cx="1933572" cy="156283"/>
            </a:xfrm>
          </xdr:grpSpPr>
          <xdr:sp macro="" textlink="Calculations!H32">
            <xdr:nvSpPr>
              <xdr:cNvPr id="81" name="TextBox 80">
                <a:extLst>
                  <a:ext uri="{FF2B5EF4-FFF2-40B4-BE49-F238E27FC236}">
                    <a16:creationId xmlns:a16="http://schemas.microsoft.com/office/drawing/2014/main" id="{EB93402B-9176-9BDA-A6C5-C43E4611FBF7}"/>
                  </a:ext>
                </a:extLst>
              </xdr:cNvPr>
              <xdr:cNvSpPr txBox="1"/>
            </xdr:nvSpPr>
            <xdr:spPr>
              <a:xfrm>
                <a:off x="2838439" y="2510638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D825167C-9872-49C5-B85E-DAD4741CB284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Food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32">
            <xdr:nvSpPr>
              <xdr:cNvPr id="82" name="TextBox 81">
                <a:extLst>
                  <a:ext uri="{FF2B5EF4-FFF2-40B4-BE49-F238E27FC236}">
                    <a16:creationId xmlns:a16="http://schemas.microsoft.com/office/drawing/2014/main" id="{4302656F-A0F5-66CC-56B6-F9D5A3B7FCA7}"/>
                  </a:ext>
                </a:extLst>
              </xdr:cNvPr>
              <xdr:cNvSpPr txBox="1"/>
            </xdr:nvSpPr>
            <xdr:spPr>
              <a:xfrm>
                <a:off x="4148123" y="2510638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49B01CE4-D36D-4065-99B7-9ECEE9994E8B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143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78" name="Group 77">
              <a:extLst>
                <a:ext uri="{FF2B5EF4-FFF2-40B4-BE49-F238E27FC236}">
                  <a16:creationId xmlns:a16="http://schemas.microsoft.com/office/drawing/2014/main" id="{63DFB131-A231-BDD4-862B-97A84AF45D91}"/>
                </a:ext>
              </a:extLst>
            </xdr:cNvPr>
            <xdr:cNvGrpSpPr/>
          </xdr:nvGrpSpPr>
          <xdr:grpSpPr>
            <a:xfrm>
              <a:off x="2269462" y="4062456"/>
              <a:ext cx="1929276" cy="156086"/>
              <a:chOff x="2838439" y="2510636"/>
              <a:chExt cx="1933572" cy="156283"/>
            </a:xfrm>
          </xdr:grpSpPr>
          <xdr:sp macro="" textlink="Calculations!H31">
            <xdr:nvSpPr>
              <xdr:cNvPr id="79" name="TextBox 78">
                <a:extLst>
                  <a:ext uri="{FF2B5EF4-FFF2-40B4-BE49-F238E27FC236}">
                    <a16:creationId xmlns:a16="http://schemas.microsoft.com/office/drawing/2014/main" id="{0BE4989C-91A9-E933-3CD5-03D037651612}"/>
                  </a:ext>
                </a:extLst>
              </xdr:cNvPr>
              <xdr:cNvSpPr txBox="1"/>
            </xdr:nvSpPr>
            <xdr:spPr>
              <a:xfrm>
                <a:off x="2838439" y="2510636"/>
                <a:ext cx="1004889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l"/>
                <a:fld id="{CAD5F8EF-EBA4-4983-BFCC-1EFAC7F7F020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l"/>
                  <a:t>Chemical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  <xdr:sp macro="" textlink="Calculations!I31">
            <xdr:nvSpPr>
              <xdr:cNvPr id="80" name="TextBox 79">
                <a:extLst>
                  <a:ext uri="{FF2B5EF4-FFF2-40B4-BE49-F238E27FC236}">
                    <a16:creationId xmlns:a16="http://schemas.microsoft.com/office/drawing/2014/main" id="{1316474D-2D77-DFE0-5AAB-7988DA1898B2}"/>
                  </a:ext>
                </a:extLst>
              </xdr:cNvPr>
              <xdr:cNvSpPr txBox="1"/>
            </xdr:nvSpPr>
            <xdr:spPr>
              <a:xfrm>
                <a:off x="4148123" y="2510636"/>
                <a:ext cx="623888" cy="15628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36000" tIns="36000" rIns="36000" bIns="36000" rtlCol="0" anchor="ctr">
                <a:noAutofit/>
              </a:bodyPr>
              <a:lstStyle/>
              <a:p>
                <a:pPr marL="0" indent="0" algn="r"/>
                <a:fld id="{E4BADE41-C6C6-4413-B5F1-BED1A14F3368}" type="TxLink">
                  <a:rPr lang="en-US" sz="700" b="0" i="0" u="none" strike="noStrike">
                    <a:solidFill>
                      <a:schemeClr val="bg1"/>
                    </a:solidFill>
                    <a:latin typeface="Bahnschrift"/>
                    <a:ea typeface="+mn-ea"/>
                    <a:cs typeface="+mn-cs"/>
                  </a:rPr>
                  <a:pPr marL="0" indent="0" algn="r"/>
                  <a:t>83</a:t>
                </a:fld>
                <a:endParaRPr lang="en-GB" sz="700" b="0" i="0" u="none" strike="noStrike">
                  <a:solidFill>
                    <a:schemeClr val="bg1"/>
                  </a:solidFill>
                  <a:latin typeface="Bahnschrift"/>
                  <a:ea typeface="+mn-ea"/>
                  <a:cs typeface="+mn-cs"/>
                </a:endParaRPr>
              </a:p>
            </xdr:txBody>
          </xdr:sp>
        </xdr:grpSp>
      </xdr:grpSp>
      <xdr:graphicFrame macro="">
        <xdr:nvGraphicFramePr>
          <xdr:cNvPr id="70" name="Chart 69">
            <a:extLst>
              <a:ext uri="{FF2B5EF4-FFF2-40B4-BE49-F238E27FC236}">
                <a16:creationId xmlns:a16="http://schemas.microsoft.com/office/drawing/2014/main" id="{A8421967-BF53-FE24-B284-45AB59FC4DFC}"/>
              </a:ext>
            </a:extLst>
          </xdr:cNvPr>
          <xdr:cNvGraphicFramePr>
            <a:graphicFrameLocks/>
          </xdr:cNvGraphicFramePr>
        </xdr:nvGraphicFramePr>
        <xdr:xfrm>
          <a:off x="4489297" y="2241909"/>
          <a:ext cx="2243045" cy="15118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</xdr:col>
      <xdr:colOff>166643</xdr:colOff>
      <xdr:row>9</xdr:row>
      <xdr:rowOff>48661</xdr:rowOff>
    </xdr:from>
    <xdr:to>
      <xdr:col>3</xdr:col>
      <xdr:colOff>457199</xdr:colOff>
      <xdr:row>10</xdr:row>
      <xdr:rowOff>129522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C906ECCE-E442-426A-9A0C-77C7EC5E0AEF}"/>
            </a:ext>
          </a:extLst>
        </xdr:cNvPr>
        <xdr:cNvSpPr txBox="1"/>
      </xdr:nvSpPr>
      <xdr:spPr>
        <a:xfrm>
          <a:off x="358800" y="2043113"/>
          <a:ext cx="1940451" cy="25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noAutofit/>
        </a:bodyPr>
        <a:lstStyle/>
        <a:p>
          <a:r>
            <a:rPr lang="sr-Latn-RS" sz="900" b="1">
              <a:solidFill>
                <a:schemeClr val="bg1"/>
              </a:solidFill>
              <a:latin typeface="Bahnschrift" panose="020B0502040204020203" pitchFamily="34" charset="0"/>
            </a:rPr>
            <a:t>Customers</a:t>
          </a:r>
          <a:r>
            <a:rPr lang="sr-Latn-RS" sz="900" b="1" baseline="0">
              <a:solidFill>
                <a:schemeClr val="bg1"/>
              </a:solidFill>
              <a:latin typeface="Bahnschrift" panose="020B0502040204020203" pitchFamily="34" charset="0"/>
            </a:rPr>
            <a:t> with Max. Revenue</a:t>
          </a:r>
          <a:endParaRPr lang="en-GB" sz="9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640409</xdr:colOff>
      <xdr:row>9</xdr:row>
      <xdr:rowOff>48661</xdr:rowOff>
    </xdr:from>
    <xdr:to>
      <xdr:col>5</xdr:col>
      <xdr:colOff>930964</xdr:colOff>
      <xdr:row>10</xdr:row>
      <xdr:rowOff>129522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BAF8ED25-D5AD-4207-8ACB-C4032030B1B3}"/>
            </a:ext>
          </a:extLst>
        </xdr:cNvPr>
        <xdr:cNvSpPr txBox="1"/>
      </xdr:nvSpPr>
      <xdr:spPr>
        <a:xfrm>
          <a:off x="2482461" y="2043113"/>
          <a:ext cx="1940451" cy="25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noAutofit/>
        </a:bodyPr>
        <a:lstStyle/>
        <a:p>
          <a:r>
            <a:rPr lang="sr-Latn-RS" sz="900" b="1">
              <a:solidFill>
                <a:schemeClr val="bg1"/>
              </a:solidFill>
              <a:latin typeface="Bahnschrift" panose="020B0502040204020203" pitchFamily="34" charset="0"/>
            </a:rPr>
            <a:t>Customers</a:t>
          </a:r>
          <a:r>
            <a:rPr lang="sr-Latn-RS" sz="900" b="1" baseline="0">
              <a:solidFill>
                <a:schemeClr val="bg1"/>
              </a:solidFill>
              <a:latin typeface="Bahnschrift" panose="020B0502040204020203" pitchFamily="34" charset="0"/>
            </a:rPr>
            <a:t> by Size</a:t>
          </a:r>
          <a:endParaRPr lang="en-GB" sz="9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5</xdr:col>
      <xdr:colOff>1114173</xdr:colOff>
      <xdr:row>9</xdr:row>
      <xdr:rowOff>48661</xdr:rowOff>
    </xdr:from>
    <xdr:to>
      <xdr:col>7</xdr:col>
      <xdr:colOff>1404729</xdr:colOff>
      <xdr:row>10</xdr:row>
      <xdr:rowOff>129522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D4C05FA7-DA91-4358-BA03-74766BF9B559}"/>
            </a:ext>
          </a:extLst>
        </xdr:cNvPr>
        <xdr:cNvSpPr txBox="1"/>
      </xdr:nvSpPr>
      <xdr:spPr>
        <a:xfrm>
          <a:off x="4606121" y="2043113"/>
          <a:ext cx="1940451" cy="253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noAutofit/>
        </a:bodyPr>
        <a:lstStyle/>
        <a:p>
          <a:r>
            <a:rPr lang="sr-Latn-RS" sz="900" b="1">
              <a:solidFill>
                <a:schemeClr val="bg1"/>
              </a:solidFill>
              <a:latin typeface="Bahnschrift" panose="020B0502040204020203" pitchFamily="34" charset="0"/>
            </a:rPr>
            <a:t>Customers</a:t>
          </a:r>
          <a:r>
            <a:rPr lang="sr-Latn-RS" sz="900" b="1" baseline="0">
              <a:solidFill>
                <a:schemeClr val="bg1"/>
              </a:solidFill>
              <a:latin typeface="Bahnschrift" panose="020B0502040204020203" pitchFamily="34" charset="0"/>
            </a:rPr>
            <a:t> by Industry</a:t>
          </a:r>
          <a:endParaRPr lang="en-GB" sz="9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125621</xdr:colOff>
      <xdr:row>23</xdr:row>
      <xdr:rowOff>82028</xdr:rowOff>
    </xdr:from>
    <xdr:to>
      <xdr:col>3</xdr:col>
      <xdr:colOff>826754</xdr:colOff>
      <xdr:row>24</xdr:row>
      <xdr:rowOff>169905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B651D19-B04E-463D-98FF-3674258EC216}"/>
            </a:ext>
          </a:extLst>
        </xdr:cNvPr>
        <xdr:cNvSpPr txBox="1"/>
      </xdr:nvSpPr>
      <xdr:spPr>
        <a:xfrm>
          <a:off x="316121" y="4547348"/>
          <a:ext cx="2354673" cy="263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sr-Latn-RS" sz="1100" b="1">
              <a:solidFill>
                <a:schemeClr val="bg1"/>
              </a:solidFill>
              <a:latin typeface="Bahnschrift" panose="020B0502040204020203" pitchFamily="34" charset="0"/>
            </a:rPr>
            <a:t>Countries Overview</a:t>
          </a:r>
          <a:endParaRPr lang="en-GB" sz="11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197436</xdr:colOff>
      <xdr:row>25</xdr:row>
      <xdr:rowOff>102702</xdr:rowOff>
    </xdr:from>
    <xdr:to>
      <xdr:col>3</xdr:col>
      <xdr:colOff>487992</xdr:colOff>
      <xdr:row>27</xdr:row>
      <xdr:rowOff>8303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9CD9484E-995B-416A-8922-5C8163C51938}"/>
            </a:ext>
          </a:extLst>
        </xdr:cNvPr>
        <xdr:cNvSpPr txBox="1"/>
      </xdr:nvSpPr>
      <xdr:spPr>
        <a:xfrm>
          <a:off x="387936" y="4918542"/>
          <a:ext cx="1944096" cy="2561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noAutofit/>
        </a:bodyPr>
        <a:lstStyle/>
        <a:p>
          <a:r>
            <a:rPr lang="sr-Latn-RS" sz="900" b="1">
              <a:solidFill>
                <a:schemeClr val="bg1"/>
              </a:solidFill>
              <a:latin typeface="Bahnschrift" panose="020B0502040204020203" pitchFamily="34" charset="0"/>
            </a:rPr>
            <a:t>Revenue</a:t>
          </a:r>
          <a:r>
            <a:rPr lang="sr-Latn-RS" sz="900" b="1" baseline="0">
              <a:solidFill>
                <a:schemeClr val="bg1"/>
              </a:solidFill>
              <a:latin typeface="Bahnschrift" panose="020B0502040204020203" pitchFamily="34" charset="0"/>
            </a:rPr>
            <a:t> by Countries</a:t>
          </a:r>
          <a:endParaRPr lang="en-GB" sz="900" b="1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205740</xdr:colOff>
      <xdr:row>27</xdr:row>
      <xdr:rowOff>38100</xdr:rowOff>
    </xdr:from>
    <xdr:to>
      <xdr:col>7</xdr:col>
      <xdr:colOff>1325880</xdr:colOff>
      <xdr:row>38</xdr:row>
      <xdr:rowOff>30480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2E2F6311-F8C2-4F52-B8E6-B35D8AE3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15C14-3BCE-4C4A-8C21-4103CC311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ratislav Milojevic | ELMED d.o.o." refreshedDate="44856.047046527776" createdVersion="8" refreshedVersion="8" minRefreshableVersion="3" recordCount="444" xr:uid="{EA4CB7A2-5BFB-46CA-AFB5-65CC34EBD729}">
  <cacheSource type="worksheet">
    <worksheetSource ref="B6:H450" sheet="Data"/>
  </cacheSource>
  <cacheFields count="7">
    <cacheField name="Month 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" numFmtId="0">
      <sharedItems containsSemiMixedTypes="0" containsString="0" containsNumber="1" containsInteger="1" minValue="2022" maxValue="2023" count="2">
        <n v="2022"/>
        <n v="2023"/>
      </sharedItems>
    </cacheField>
    <cacheField name="Customer" numFmtId="0">
      <sharedItems/>
    </cacheField>
    <cacheField name="Country" numFmtId="0">
      <sharedItems/>
    </cacheField>
    <cacheField name="Company Size" numFmtId="0">
      <sharedItems/>
    </cacheField>
    <cacheField name="Industry" numFmtId="0">
      <sharedItems/>
    </cacheField>
    <cacheField name="Revenue" numFmtId="164">
      <sharedItems containsSemiMixedTypes="0" containsString="0" containsNumber="1" containsInteger="1" minValue="1094" maxValue="195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">
  <r>
    <x v="0"/>
    <x v="0"/>
    <s v="Customer #39"/>
    <s v="Italy"/>
    <s v="11-50 Employees"/>
    <s v="Bevarage"/>
    <n v="3200"/>
  </r>
  <r>
    <x v="0"/>
    <x v="0"/>
    <s v="Customer #76"/>
    <s v="Italy"/>
    <s v="100-1000 Employees"/>
    <s v="Food"/>
    <n v="5315"/>
  </r>
  <r>
    <x v="0"/>
    <x v="0"/>
    <s v="Customer #100"/>
    <s v="Germany"/>
    <s v="1-10 Employees"/>
    <s v="Food"/>
    <n v="15499"/>
  </r>
  <r>
    <x v="0"/>
    <x v="0"/>
    <s v="Customer #106"/>
    <s v="Italy"/>
    <s v="100-1000 Employees"/>
    <s v="Food"/>
    <n v="13290"/>
  </r>
  <r>
    <x v="0"/>
    <x v="0"/>
    <s v="Customer #85"/>
    <s v="Italy"/>
    <s v="51-100 Employees"/>
    <s v="Chemical"/>
    <n v="7327"/>
  </r>
  <r>
    <x v="0"/>
    <x v="0"/>
    <s v="Customer #101"/>
    <s v="USA"/>
    <s v="51-100 Employees"/>
    <s v="Bevarage"/>
    <n v="5315"/>
  </r>
  <r>
    <x v="0"/>
    <x v="0"/>
    <s v="Customer #33"/>
    <s v="France"/>
    <s v="11-50 Employees"/>
    <s v="Chemical"/>
    <n v="5196"/>
  </r>
  <r>
    <x v="0"/>
    <x v="0"/>
    <s v="Customer #107"/>
    <s v="Italy"/>
    <s v="11-50 Employees"/>
    <s v="Other"/>
    <n v="2787"/>
  </r>
  <r>
    <x v="0"/>
    <x v="0"/>
    <s v="Customer #52"/>
    <s v="Norway"/>
    <s v="11-50 Employees"/>
    <s v="Food"/>
    <n v="11355"/>
  </r>
  <r>
    <x v="0"/>
    <x v="0"/>
    <s v="Customer #103"/>
    <s v="France"/>
    <s v="11-50 Employees"/>
    <s v="Chemical"/>
    <n v="17975"/>
  </r>
  <r>
    <x v="0"/>
    <x v="0"/>
    <s v="Customer #17"/>
    <s v="Italy"/>
    <s v="11-50 Employees"/>
    <s v="Bevarage"/>
    <n v="11992"/>
  </r>
  <r>
    <x v="0"/>
    <x v="0"/>
    <s v="Customer #50"/>
    <s v="Germany"/>
    <s v="1-10 Employees"/>
    <s v="Food"/>
    <n v="15521"/>
  </r>
  <r>
    <x v="0"/>
    <x v="0"/>
    <s v="Customer #70"/>
    <s v="Germany"/>
    <s v="1-10 Employees"/>
    <s v="Food"/>
    <n v="13922"/>
  </r>
  <r>
    <x v="0"/>
    <x v="0"/>
    <s v="Customer #88"/>
    <s v="Italy"/>
    <s v="11-50 Employees"/>
    <s v="Bevarage"/>
    <n v="3245"/>
  </r>
  <r>
    <x v="0"/>
    <x v="0"/>
    <s v="Customer #63"/>
    <s v="France"/>
    <s v="11-50 Employees"/>
    <s v="Chemical"/>
    <n v="8991"/>
  </r>
  <r>
    <x v="0"/>
    <x v="0"/>
    <s v="Customer #23"/>
    <s v="France"/>
    <s v="11-50 Employees"/>
    <s v="Other"/>
    <n v="13054"/>
  </r>
  <r>
    <x v="0"/>
    <x v="1"/>
    <s v="Customer #82"/>
    <s v="Norway"/>
    <s v="11-50 Employees"/>
    <s v="Food"/>
    <n v="3565"/>
  </r>
  <r>
    <x v="0"/>
    <x v="1"/>
    <s v="Customer #5"/>
    <s v="Italy"/>
    <s v="51-100 Employees"/>
    <s v="Chemical"/>
    <n v="13021"/>
  </r>
  <r>
    <x v="0"/>
    <x v="1"/>
    <s v="Customer #92"/>
    <s v="Norway"/>
    <s v="11-50 Employees"/>
    <s v="Food"/>
    <n v="2218"/>
  </r>
  <r>
    <x v="0"/>
    <x v="1"/>
    <s v="Customer #93"/>
    <s v="France"/>
    <s v="11-50 Employees"/>
    <s v="Chemical"/>
    <n v="4436"/>
  </r>
  <r>
    <x v="0"/>
    <x v="1"/>
    <s v="Customer #76"/>
    <s v="Italy"/>
    <s v="100-1000 Employees"/>
    <s v="Food"/>
    <n v="15308"/>
  </r>
  <r>
    <x v="0"/>
    <x v="1"/>
    <s v="Customer #22"/>
    <s v="Norway"/>
    <s v="11-50 Employees"/>
    <s v="Food"/>
    <n v="9755"/>
  </r>
  <r>
    <x v="0"/>
    <x v="1"/>
    <s v="Customer #61"/>
    <s v="USA"/>
    <s v="51-100 Employees"/>
    <s v="Bevarage"/>
    <n v="11592"/>
  </r>
  <r>
    <x v="0"/>
    <x v="1"/>
    <s v="Customer #26"/>
    <s v="Italy"/>
    <s v="100-1000 Employees"/>
    <s v="Food"/>
    <n v="5793"/>
  </r>
  <r>
    <x v="0"/>
    <x v="1"/>
    <s v="Customer #70"/>
    <s v="Germany"/>
    <s v="1-10 Employees"/>
    <s v="Food"/>
    <n v="3746"/>
  </r>
  <r>
    <x v="0"/>
    <x v="1"/>
    <s v="Customer #2"/>
    <s v="Norway"/>
    <s v="11-50 Employees"/>
    <s v="Food"/>
    <n v="14382"/>
  </r>
  <r>
    <x v="0"/>
    <x v="1"/>
    <s v="Customer #62"/>
    <s v="Norway"/>
    <s v="11-50 Employees"/>
    <s v="Food"/>
    <n v="7325"/>
  </r>
  <r>
    <x v="0"/>
    <x v="1"/>
    <s v="Customer #45"/>
    <s v="Italy"/>
    <s v="51-100 Employees"/>
    <s v="Chemical"/>
    <n v="2917"/>
  </r>
  <r>
    <x v="0"/>
    <x v="1"/>
    <s v="Customer #55"/>
    <s v="Italy"/>
    <s v="51-100 Employees"/>
    <s v="Chemical"/>
    <n v="11045"/>
  </r>
  <r>
    <x v="1"/>
    <x v="0"/>
    <s v="Customer #14"/>
    <s v="Italy"/>
    <s v="11-50 Employees"/>
    <s v="Bevarage"/>
    <n v="10919"/>
  </r>
  <r>
    <x v="1"/>
    <x v="0"/>
    <s v="Customer #20"/>
    <s v="Germany"/>
    <s v="1-10 Employees"/>
    <s v="Food"/>
    <n v="14039"/>
  </r>
  <r>
    <x v="1"/>
    <x v="0"/>
    <s v="Customer #44"/>
    <s v="Italy"/>
    <s v="11-50 Employees"/>
    <s v="Bevarage"/>
    <n v="9560"/>
  </r>
  <r>
    <x v="1"/>
    <x v="0"/>
    <s v="Customer #50"/>
    <s v="Germany"/>
    <s v="1-10 Employees"/>
    <s v="Food"/>
    <n v="5372"/>
  </r>
  <r>
    <x v="1"/>
    <x v="0"/>
    <s v="Customer #40"/>
    <s v="Germany"/>
    <s v="1-10 Employees"/>
    <s v="Food"/>
    <n v="15354"/>
  </r>
  <r>
    <x v="1"/>
    <x v="0"/>
    <s v="Customer #42"/>
    <s v="Norway"/>
    <s v="11-50 Employees"/>
    <s v="Food"/>
    <n v="1815"/>
  </r>
  <r>
    <x v="1"/>
    <x v="0"/>
    <s v="Customer #14"/>
    <s v="Italy"/>
    <s v="11-50 Employees"/>
    <s v="Bevarage"/>
    <n v="2600"/>
  </r>
  <r>
    <x v="1"/>
    <x v="0"/>
    <s v="Customer #86"/>
    <s v="Italy"/>
    <s v="100-1000 Employees"/>
    <s v="Food"/>
    <n v="17809"/>
  </r>
  <r>
    <x v="1"/>
    <x v="0"/>
    <s v="Customer #7"/>
    <s v="Italy"/>
    <s v="11-50 Employees"/>
    <s v="Bevarage"/>
    <n v="16256"/>
  </r>
  <r>
    <x v="1"/>
    <x v="0"/>
    <s v="Customer #104"/>
    <s v="Italy"/>
    <s v="11-50 Employees"/>
    <s v="Bevarage"/>
    <n v="10799"/>
  </r>
  <r>
    <x v="1"/>
    <x v="0"/>
    <s v="Customer #20"/>
    <s v="Germany"/>
    <s v="1-10 Employees"/>
    <s v="Food"/>
    <n v="10307"/>
  </r>
  <r>
    <x v="1"/>
    <x v="1"/>
    <s v="Customer #47"/>
    <s v="Italy"/>
    <s v="11-50 Employees"/>
    <s v="Bevarage"/>
    <n v="1875"/>
  </r>
  <r>
    <x v="1"/>
    <x v="1"/>
    <s v="Customer #35"/>
    <s v="Italy"/>
    <s v="51-100 Employees"/>
    <s v="Chemical"/>
    <n v="7385"/>
  </r>
  <r>
    <x v="1"/>
    <x v="1"/>
    <s v="Customer #7"/>
    <s v="Italy"/>
    <s v="11-50 Employees"/>
    <s v="Bevarage"/>
    <n v="11593"/>
  </r>
  <r>
    <x v="1"/>
    <x v="1"/>
    <s v="Customer #90"/>
    <s v="Germany"/>
    <s v="1-10 Employees"/>
    <s v="Food"/>
    <n v="3943"/>
  </r>
  <r>
    <x v="1"/>
    <x v="1"/>
    <s v="Customer #48"/>
    <s v="Italy"/>
    <s v="11-50 Employees"/>
    <s v="Bevarage"/>
    <n v="15937"/>
  </r>
  <r>
    <x v="1"/>
    <x v="1"/>
    <s v="Customer #64"/>
    <s v="Italy"/>
    <s v="11-50 Employees"/>
    <s v="Bevarage"/>
    <n v="16308"/>
  </r>
  <r>
    <x v="1"/>
    <x v="1"/>
    <s v="Customer #27"/>
    <s v="Italy"/>
    <s v="11-50 Employees"/>
    <s v="Bevarage"/>
    <n v="9502"/>
  </r>
  <r>
    <x v="1"/>
    <x v="1"/>
    <s v="Customer #94"/>
    <s v="Italy"/>
    <s v="11-50 Employees"/>
    <s v="Bevarage"/>
    <n v="8264"/>
  </r>
  <r>
    <x v="1"/>
    <x v="1"/>
    <s v="Customer #65"/>
    <s v="Italy"/>
    <s v="51-100 Employees"/>
    <s v="Chemical"/>
    <n v="4523"/>
  </r>
  <r>
    <x v="1"/>
    <x v="1"/>
    <s v="Customer #6"/>
    <s v="Italy"/>
    <s v="100-1000 Employees"/>
    <s v="Food"/>
    <n v="2445"/>
  </r>
  <r>
    <x v="1"/>
    <x v="1"/>
    <s v="Customer #93"/>
    <s v="France"/>
    <s v="11-50 Employees"/>
    <s v="Chemical"/>
    <n v="11190"/>
  </r>
  <r>
    <x v="1"/>
    <x v="1"/>
    <s v="Customer #101"/>
    <s v="USA"/>
    <s v="51-100 Employees"/>
    <s v="Bevarage"/>
    <n v="8349"/>
  </r>
  <r>
    <x v="1"/>
    <x v="1"/>
    <s v="Customer #100"/>
    <s v="Germany"/>
    <s v="1-10 Employees"/>
    <s v="Food"/>
    <n v="6714"/>
  </r>
  <r>
    <x v="1"/>
    <x v="1"/>
    <s v="Customer #94"/>
    <s v="Italy"/>
    <s v="11-50 Employees"/>
    <s v="Bevarage"/>
    <n v="13955"/>
  </r>
  <r>
    <x v="1"/>
    <x v="1"/>
    <s v="Customer #104"/>
    <s v="Italy"/>
    <s v="11-50 Employees"/>
    <s v="Bevarage"/>
    <n v="6445"/>
  </r>
  <r>
    <x v="1"/>
    <x v="1"/>
    <s v="Customer #82"/>
    <s v="Norway"/>
    <s v="11-50 Employees"/>
    <s v="Food"/>
    <n v="9682"/>
  </r>
  <r>
    <x v="1"/>
    <x v="1"/>
    <s v="Customer #16"/>
    <s v="Italy"/>
    <s v="100-1000 Employees"/>
    <s v="Food"/>
    <n v="5565"/>
  </r>
  <r>
    <x v="1"/>
    <x v="1"/>
    <s v="Customer #74"/>
    <s v="Italy"/>
    <s v="11-50 Employees"/>
    <s v="Bevarage"/>
    <n v="10108"/>
  </r>
  <r>
    <x v="1"/>
    <x v="1"/>
    <s v="Customer #103"/>
    <s v="France"/>
    <s v="11-50 Employees"/>
    <s v="Chemical"/>
    <n v="4983"/>
  </r>
  <r>
    <x v="1"/>
    <x v="1"/>
    <s v="Customer #56"/>
    <s v="Italy"/>
    <s v="100-1000 Employees"/>
    <s v="Food"/>
    <n v="17441"/>
  </r>
  <r>
    <x v="1"/>
    <x v="1"/>
    <s v="Customer #18"/>
    <s v="Italy"/>
    <s v="11-50 Employees"/>
    <s v="Bevarage"/>
    <n v="8200"/>
  </r>
  <r>
    <x v="1"/>
    <x v="1"/>
    <s v="Customer #84"/>
    <s v="Italy"/>
    <s v="11-50 Employees"/>
    <s v="Bevarage"/>
    <n v="5095"/>
  </r>
  <r>
    <x v="1"/>
    <x v="1"/>
    <s v="Customer #18"/>
    <s v="Italy"/>
    <s v="11-50 Employees"/>
    <s v="Bevarage"/>
    <n v="8674"/>
  </r>
  <r>
    <x v="1"/>
    <x v="1"/>
    <s v="Customer #46"/>
    <s v="Italy"/>
    <s v="100-1000 Employees"/>
    <s v="Food"/>
    <n v="2767"/>
  </r>
  <r>
    <x v="1"/>
    <x v="1"/>
    <s v="Customer #9"/>
    <s v="Italy"/>
    <s v="11-50 Employees"/>
    <s v="Bevarage"/>
    <n v="9708"/>
  </r>
  <r>
    <x v="1"/>
    <x v="1"/>
    <s v="Customer #48"/>
    <s v="Italy"/>
    <s v="11-50 Employees"/>
    <s v="Bevarage"/>
    <n v="17682"/>
  </r>
  <r>
    <x v="1"/>
    <x v="1"/>
    <s v="Customer #30"/>
    <s v="Germany"/>
    <s v="1-10 Employees"/>
    <s v="Food"/>
    <n v="14938"/>
  </r>
  <r>
    <x v="2"/>
    <x v="0"/>
    <s v="Customer #94"/>
    <s v="Italy"/>
    <s v="11-50 Employees"/>
    <s v="Bevarage"/>
    <n v="12669"/>
  </r>
  <r>
    <x v="2"/>
    <x v="0"/>
    <s v="Customer #38"/>
    <s v="Italy"/>
    <s v="11-50 Employees"/>
    <s v="Bevarage"/>
    <n v="10232"/>
  </r>
  <r>
    <x v="2"/>
    <x v="0"/>
    <s v="Customer #63"/>
    <s v="France"/>
    <s v="11-50 Employees"/>
    <s v="Chemical"/>
    <n v="15391"/>
  </r>
  <r>
    <x v="2"/>
    <x v="0"/>
    <s v="Customer #49"/>
    <s v="Italy"/>
    <s v="11-50 Employees"/>
    <s v="Bevarage"/>
    <n v="9787"/>
  </r>
  <r>
    <x v="2"/>
    <x v="0"/>
    <s v="Customer #52"/>
    <s v="Norway"/>
    <s v="11-50 Employees"/>
    <s v="Food"/>
    <n v="3442"/>
  </r>
  <r>
    <x v="2"/>
    <x v="0"/>
    <s v="Customer #49"/>
    <s v="Italy"/>
    <s v="11-50 Employees"/>
    <s v="Bevarage"/>
    <n v="7558"/>
  </r>
  <r>
    <x v="2"/>
    <x v="0"/>
    <s v="Customer #95"/>
    <s v="Italy"/>
    <s v="51-100 Employees"/>
    <s v="Chemical"/>
    <n v="12447"/>
  </r>
  <r>
    <x v="2"/>
    <x v="0"/>
    <s v="Customer #75"/>
    <s v="Italy"/>
    <s v="51-100 Employees"/>
    <s v="Chemical"/>
    <n v="8683"/>
  </r>
  <r>
    <x v="2"/>
    <x v="0"/>
    <s v="Customer #74"/>
    <s v="Italy"/>
    <s v="11-50 Employees"/>
    <s v="Bevarage"/>
    <n v="2465"/>
  </r>
  <r>
    <x v="2"/>
    <x v="0"/>
    <s v="Customer #90"/>
    <s v="Germany"/>
    <s v="1-10 Employees"/>
    <s v="Food"/>
    <n v="15615"/>
  </r>
  <r>
    <x v="2"/>
    <x v="0"/>
    <s v="Customer #74"/>
    <s v="Italy"/>
    <s v="11-50 Employees"/>
    <s v="Bevarage"/>
    <n v="3901"/>
  </r>
  <r>
    <x v="2"/>
    <x v="0"/>
    <s v="Customer #99"/>
    <s v="Italy"/>
    <s v="11-50 Employees"/>
    <s v="Bevarage"/>
    <n v="4832"/>
  </r>
  <r>
    <x v="2"/>
    <x v="0"/>
    <s v="Customer #52"/>
    <s v="Norway"/>
    <s v="11-50 Employees"/>
    <s v="Food"/>
    <n v="13564"/>
  </r>
  <r>
    <x v="2"/>
    <x v="0"/>
    <s v="Customer #96"/>
    <s v="Italy"/>
    <s v="100-1000 Employees"/>
    <s v="Food"/>
    <n v="11860"/>
  </r>
  <r>
    <x v="2"/>
    <x v="0"/>
    <s v="Customer #72"/>
    <s v="Norway"/>
    <s v="11-50 Employees"/>
    <s v="Food"/>
    <n v="14448"/>
  </r>
  <r>
    <x v="2"/>
    <x v="0"/>
    <s v="Customer #5"/>
    <s v="Italy"/>
    <s v="51-100 Employees"/>
    <s v="Chemical"/>
    <n v="10741"/>
  </r>
  <r>
    <x v="2"/>
    <x v="0"/>
    <s v="Customer #3"/>
    <s v="France"/>
    <s v="11-50 Employees"/>
    <s v="Chemical"/>
    <n v="6253"/>
  </r>
  <r>
    <x v="2"/>
    <x v="0"/>
    <s v="Customer #40"/>
    <s v="Germany"/>
    <s v="1-10 Employees"/>
    <s v="Food"/>
    <n v="3632"/>
  </r>
  <r>
    <x v="2"/>
    <x v="0"/>
    <s v="Customer #76"/>
    <s v="Italy"/>
    <s v="100-1000 Employees"/>
    <s v="Food"/>
    <n v="15061"/>
  </r>
  <r>
    <x v="2"/>
    <x v="0"/>
    <s v="Customer #22"/>
    <s v="Norway"/>
    <s v="11-50 Employees"/>
    <s v="Food"/>
    <n v="4292"/>
  </r>
  <r>
    <x v="2"/>
    <x v="0"/>
    <s v="Customer #104"/>
    <s v="Italy"/>
    <s v="11-50 Employees"/>
    <s v="Bevarage"/>
    <n v="14605"/>
  </r>
  <r>
    <x v="2"/>
    <x v="0"/>
    <s v="Customer #59"/>
    <s v="Italy"/>
    <s v="11-50 Employees"/>
    <s v="Bevarage"/>
    <n v="9914"/>
  </r>
  <r>
    <x v="2"/>
    <x v="0"/>
    <s v="Customer #1"/>
    <s v="USA"/>
    <s v="51-100 Employees"/>
    <s v="Bevarage"/>
    <n v="4568"/>
  </r>
  <r>
    <x v="2"/>
    <x v="0"/>
    <s v="Customer #72"/>
    <s v="Norway"/>
    <s v="11-50 Employees"/>
    <s v="Food"/>
    <n v="9103"/>
  </r>
  <r>
    <x v="2"/>
    <x v="0"/>
    <s v="Customer #6"/>
    <s v="Italy"/>
    <s v="100-1000 Employees"/>
    <s v="Food"/>
    <n v="12493"/>
  </r>
  <r>
    <x v="2"/>
    <x v="1"/>
    <s v="Customer #97"/>
    <s v="Italy"/>
    <s v="11-50 Employees"/>
    <s v="Bevarage"/>
    <n v="10499"/>
  </r>
  <r>
    <x v="2"/>
    <x v="1"/>
    <s v="Customer #90"/>
    <s v="Germany"/>
    <s v="1-10 Employees"/>
    <s v="Food"/>
    <n v="4969"/>
  </r>
  <r>
    <x v="2"/>
    <x v="1"/>
    <s v="Customer #80"/>
    <s v="Germany"/>
    <s v="1-10 Employees"/>
    <s v="Food"/>
    <n v="13217"/>
  </r>
  <r>
    <x v="2"/>
    <x v="1"/>
    <s v="Customer #71"/>
    <s v="USA"/>
    <s v="51-100 Employees"/>
    <s v="Bevarage"/>
    <n v="2583"/>
  </r>
  <r>
    <x v="2"/>
    <x v="1"/>
    <s v="Customer #63"/>
    <s v="France"/>
    <s v="11-50 Employees"/>
    <s v="Chemical"/>
    <n v="1967"/>
  </r>
  <r>
    <x v="2"/>
    <x v="1"/>
    <s v="Customer #77"/>
    <s v="Italy"/>
    <s v="11-50 Employees"/>
    <s v="Bevarage"/>
    <n v="16762"/>
  </r>
  <r>
    <x v="2"/>
    <x v="1"/>
    <s v="Customer #4"/>
    <s v="Italy"/>
    <s v="11-50 Employees"/>
    <s v="Bevarage"/>
    <n v="5050"/>
  </r>
  <r>
    <x v="2"/>
    <x v="1"/>
    <s v="Customer #79"/>
    <s v="Italy"/>
    <s v="11-50 Employees"/>
    <s v="Bevarage"/>
    <n v="8122"/>
  </r>
  <r>
    <x v="2"/>
    <x v="1"/>
    <s v="Customer #94"/>
    <s v="Italy"/>
    <s v="11-50 Employees"/>
    <s v="Bevarage"/>
    <n v="1916"/>
  </r>
  <r>
    <x v="2"/>
    <x v="1"/>
    <s v="Customer #106"/>
    <s v="Italy"/>
    <s v="100-1000 Employees"/>
    <s v="Food"/>
    <n v="2031"/>
  </r>
  <r>
    <x v="2"/>
    <x v="1"/>
    <s v="Customer #35"/>
    <s v="Italy"/>
    <s v="51-100 Employees"/>
    <s v="Chemical"/>
    <n v="9383"/>
  </r>
  <r>
    <x v="2"/>
    <x v="1"/>
    <s v="Customer #72"/>
    <s v="Norway"/>
    <s v="11-50 Employees"/>
    <s v="Food"/>
    <n v="5560"/>
  </r>
  <r>
    <x v="2"/>
    <x v="1"/>
    <s v="Customer #45"/>
    <s v="Italy"/>
    <s v="51-100 Employees"/>
    <s v="Chemical"/>
    <n v="16656"/>
  </r>
  <r>
    <x v="2"/>
    <x v="1"/>
    <s v="Customer #63"/>
    <s v="France"/>
    <s v="11-50 Employees"/>
    <s v="Chemical"/>
    <n v="5513"/>
  </r>
  <r>
    <x v="2"/>
    <x v="1"/>
    <s v="Customer #26"/>
    <s v="Italy"/>
    <s v="100-1000 Employees"/>
    <s v="Food"/>
    <n v="8815"/>
  </r>
  <r>
    <x v="2"/>
    <x v="1"/>
    <s v="Customer #36"/>
    <s v="Italy"/>
    <s v="100-1000 Employees"/>
    <s v="Food"/>
    <n v="16875"/>
  </r>
  <r>
    <x v="2"/>
    <x v="1"/>
    <s v="Customer #47"/>
    <s v="Italy"/>
    <s v="11-50 Employees"/>
    <s v="Bevarage"/>
    <n v="16805"/>
  </r>
  <r>
    <x v="2"/>
    <x v="1"/>
    <s v="Customer #23"/>
    <s v="France"/>
    <s v="11-50 Employees"/>
    <s v="Other"/>
    <n v="4074"/>
  </r>
  <r>
    <x v="2"/>
    <x v="1"/>
    <s v="Customer #69"/>
    <s v="Italy"/>
    <s v="11-50 Employees"/>
    <s v="Bevarage"/>
    <n v="15170"/>
  </r>
  <r>
    <x v="2"/>
    <x v="1"/>
    <s v="Customer #22"/>
    <s v="Norway"/>
    <s v="11-50 Employees"/>
    <s v="Food"/>
    <n v="10787"/>
  </r>
  <r>
    <x v="2"/>
    <x v="1"/>
    <s v="Customer #83"/>
    <s v="France"/>
    <s v="11-50 Employees"/>
    <s v="Chemical"/>
    <n v="1717"/>
  </r>
  <r>
    <x v="2"/>
    <x v="1"/>
    <s v="Customer #97"/>
    <s v="Italy"/>
    <s v="11-50 Employees"/>
    <s v="Bevarage"/>
    <n v="5142"/>
  </r>
  <r>
    <x v="2"/>
    <x v="1"/>
    <s v="Customer #51"/>
    <s v="USA"/>
    <s v="51-100 Employees"/>
    <s v="Bevarage"/>
    <n v="16319"/>
  </r>
  <r>
    <x v="2"/>
    <x v="1"/>
    <s v="Customer #92"/>
    <s v="Norway"/>
    <s v="11-50 Employees"/>
    <s v="Food"/>
    <n v="12619"/>
  </r>
  <r>
    <x v="2"/>
    <x v="1"/>
    <s v="Customer #101"/>
    <s v="USA"/>
    <s v="51-100 Employees"/>
    <s v="Bevarage"/>
    <n v="4949"/>
  </r>
  <r>
    <x v="2"/>
    <x v="1"/>
    <s v="Customer #15"/>
    <s v="Italy"/>
    <s v="51-100 Employees"/>
    <s v="Chemical"/>
    <n v="2044"/>
  </r>
  <r>
    <x v="2"/>
    <x v="1"/>
    <s v="Customer #107"/>
    <s v="Italy"/>
    <s v="11-50 Employees"/>
    <s v="Other"/>
    <n v="5137"/>
  </r>
  <r>
    <x v="2"/>
    <x v="1"/>
    <s v="Customer #46"/>
    <s v="Italy"/>
    <s v="100-1000 Employees"/>
    <s v="Food"/>
    <n v="10683"/>
  </r>
  <r>
    <x v="2"/>
    <x v="1"/>
    <s v="Customer #27"/>
    <s v="Italy"/>
    <s v="11-50 Employees"/>
    <s v="Bevarage"/>
    <n v="16679"/>
  </r>
  <r>
    <x v="2"/>
    <x v="1"/>
    <s v="Customer #74"/>
    <s v="Italy"/>
    <s v="11-50 Employees"/>
    <s v="Bevarage"/>
    <n v="2337"/>
  </r>
  <r>
    <x v="2"/>
    <x v="1"/>
    <s v="Customer #87"/>
    <s v="Italy"/>
    <s v="11-50 Employees"/>
    <s v="Bevarage"/>
    <n v="6497"/>
  </r>
  <r>
    <x v="2"/>
    <x v="1"/>
    <s v="Customer #33"/>
    <s v="France"/>
    <s v="11-50 Employees"/>
    <s v="Chemical"/>
    <n v="5202"/>
  </r>
  <r>
    <x v="2"/>
    <x v="1"/>
    <s v="Customer #46"/>
    <s v="Italy"/>
    <s v="100-1000 Employees"/>
    <s v="Food"/>
    <n v="9116"/>
  </r>
  <r>
    <x v="2"/>
    <x v="1"/>
    <s v="Customer #49"/>
    <s v="Italy"/>
    <s v="11-50 Employees"/>
    <s v="Bevarage"/>
    <n v="1784"/>
  </r>
  <r>
    <x v="2"/>
    <x v="1"/>
    <s v="Customer #81"/>
    <s v="USA"/>
    <s v="51-100 Employees"/>
    <s v="Bevarage"/>
    <n v="1701"/>
  </r>
  <r>
    <x v="2"/>
    <x v="1"/>
    <s v="Customer #79"/>
    <s v="Italy"/>
    <s v="11-50 Employees"/>
    <s v="Bevarage"/>
    <n v="3928"/>
  </r>
  <r>
    <x v="2"/>
    <x v="1"/>
    <s v="Customer #66"/>
    <s v="Italy"/>
    <s v="100-1000 Employees"/>
    <s v="Food"/>
    <n v="11885"/>
  </r>
  <r>
    <x v="2"/>
    <x v="1"/>
    <s v="Customer #63"/>
    <s v="France"/>
    <s v="11-50 Employees"/>
    <s v="Chemical"/>
    <n v="4758"/>
  </r>
  <r>
    <x v="2"/>
    <x v="1"/>
    <s v="Customer #56"/>
    <s v="Italy"/>
    <s v="100-1000 Employees"/>
    <s v="Food"/>
    <n v="13207"/>
  </r>
  <r>
    <x v="3"/>
    <x v="0"/>
    <s v="Customer #42"/>
    <s v="Norway"/>
    <s v="11-50 Employees"/>
    <s v="Food"/>
    <n v="14305"/>
  </r>
  <r>
    <x v="3"/>
    <x v="0"/>
    <s v="Customer #20"/>
    <s v="Germany"/>
    <s v="1-10 Employees"/>
    <s v="Food"/>
    <n v="10942"/>
  </r>
  <r>
    <x v="3"/>
    <x v="0"/>
    <s v="Customer #8"/>
    <s v="Italy"/>
    <s v="11-50 Employees"/>
    <s v="Bevarage"/>
    <n v="9340"/>
  </r>
  <r>
    <x v="3"/>
    <x v="0"/>
    <s v="Customer #48"/>
    <s v="Italy"/>
    <s v="11-50 Employees"/>
    <s v="Bevarage"/>
    <n v="14406"/>
  </r>
  <r>
    <x v="3"/>
    <x v="0"/>
    <s v="Customer #37"/>
    <s v="Italy"/>
    <s v="11-50 Employees"/>
    <s v="Bevarage"/>
    <n v="4571"/>
  </r>
  <r>
    <x v="3"/>
    <x v="0"/>
    <s v="Customer #35"/>
    <s v="Italy"/>
    <s v="51-100 Employees"/>
    <s v="Chemical"/>
    <n v="16349"/>
  </r>
  <r>
    <x v="3"/>
    <x v="0"/>
    <s v="Customer #7"/>
    <s v="Italy"/>
    <s v="11-50 Employees"/>
    <s v="Bevarage"/>
    <n v="12612"/>
  </r>
  <r>
    <x v="3"/>
    <x v="0"/>
    <s v="Customer #33"/>
    <s v="France"/>
    <s v="11-50 Employees"/>
    <s v="Chemical"/>
    <n v="17691"/>
  </r>
  <r>
    <x v="3"/>
    <x v="0"/>
    <s v="Customer #107"/>
    <s v="Italy"/>
    <s v="11-50 Employees"/>
    <s v="Other"/>
    <n v="11686"/>
  </r>
  <r>
    <x v="3"/>
    <x v="0"/>
    <s v="Customer #41"/>
    <s v="USA"/>
    <s v="51-100 Employees"/>
    <s v="Bevarage"/>
    <n v="11042"/>
  </r>
  <r>
    <x v="3"/>
    <x v="0"/>
    <s v="Customer #75"/>
    <s v="Italy"/>
    <s v="51-100 Employees"/>
    <s v="Chemical"/>
    <n v="7385"/>
  </r>
  <r>
    <x v="3"/>
    <x v="0"/>
    <s v="Customer #106"/>
    <s v="Italy"/>
    <s v="100-1000 Employees"/>
    <s v="Food"/>
    <n v="13657"/>
  </r>
  <r>
    <x v="3"/>
    <x v="1"/>
    <s v="Customer #6"/>
    <s v="Italy"/>
    <s v="100-1000 Employees"/>
    <s v="Food"/>
    <n v="10057"/>
  </r>
  <r>
    <x v="3"/>
    <x v="1"/>
    <s v="Customer #76"/>
    <s v="Italy"/>
    <s v="100-1000 Employees"/>
    <s v="Food"/>
    <n v="14683"/>
  </r>
  <r>
    <x v="3"/>
    <x v="1"/>
    <s v="Customer #98"/>
    <s v="Italy"/>
    <s v="11-50 Employees"/>
    <s v="Bevarage"/>
    <n v="4068"/>
  </r>
  <r>
    <x v="3"/>
    <x v="1"/>
    <s v="Customer #75"/>
    <s v="Italy"/>
    <s v="51-100 Employees"/>
    <s v="Chemical"/>
    <n v="9809"/>
  </r>
  <r>
    <x v="3"/>
    <x v="1"/>
    <s v="Customer #5"/>
    <s v="Italy"/>
    <s v="51-100 Employees"/>
    <s v="Chemical"/>
    <n v="4480"/>
  </r>
  <r>
    <x v="3"/>
    <x v="1"/>
    <s v="Customer #52"/>
    <s v="Norway"/>
    <s v="11-50 Employees"/>
    <s v="Food"/>
    <n v="3007"/>
  </r>
  <r>
    <x v="3"/>
    <x v="1"/>
    <s v="Customer #54"/>
    <s v="Italy"/>
    <s v="11-50 Employees"/>
    <s v="Bevarage"/>
    <n v="1848"/>
  </r>
  <r>
    <x v="3"/>
    <x v="1"/>
    <s v="Customer #33"/>
    <s v="France"/>
    <s v="11-50 Employees"/>
    <s v="Chemical"/>
    <n v="5881"/>
  </r>
  <r>
    <x v="3"/>
    <x v="1"/>
    <s v="Customer #56"/>
    <s v="Italy"/>
    <s v="100-1000 Employees"/>
    <s v="Food"/>
    <n v="7509"/>
  </r>
  <r>
    <x v="3"/>
    <x v="1"/>
    <s v="Customer #47"/>
    <s v="Italy"/>
    <s v="11-50 Employees"/>
    <s v="Bevarage"/>
    <n v="7636"/>
  </r>
  <r>
    <x v="3"/>
    <x v="1"/>
    <s v="Customer #6"/>
    <s v="Italy"/>
    <s v="100-1000 Employees"/>
    <s v="Food"/>
    <n v="1406"/>
  </r>
  <r>
    <x v="3"/>
    <x v="1"/>
    <s v="Customer #21"/>
    <s v="USA"/>
    <s v="51-100 Employees"/>
    <s v="Bevarage"/>
    <n v="5119"/>
  </r>
  <r>
    <x v="3"/>
    <x v="1"/>
    <s v="Customer #8"/>
    <s v="Italy"/>
    <s v="11-50 Employees"/>
    <s v="Bevarage"/>
    <n v="8950"/>
  </r>
  <r>
    <x v="3"/>
    <x v="1"/>
    <s v="Customer #104"/>
    <s v="Italy"/>
    <s v="11-50 Employees"/>
    <s v="Bevarage"/>
    <n v="9786"/>
  </r>
  <r>
    <x v="3"/>
    <x v="1"/>
    <s v="Customer #42"/>
    <s v="Norway"/>
    <s v="11-50 Employees"/>
    <s v="Food"/>
    <n v="1755"/>
  </r>
  <r>
    <x v="3"/>
    <x v="1"/>
    <s v="Customer #6"/>
    <s v="Italy"/>
    <s v="100-1000 Employees"/>
    <s v="Food"/>
    <n v="9967"/>
  </r>
  <r>
    <x v="3"/>
    <x v="1"/>
    <s v="Customer #44"/>
    <s v="Italy"/>
    <s v="11-50 Employees"/>
    <s v="Bevarage"/>
    <n v="13471"/>
  </r>
  <r>
    <x v="3"/>
    <x v="1"/>
    <s v="Customer #4"/>
    <s v="Italy"/>
    <s v="11-50 Employees"/>
    <s v="Bevarage"/>
    <n v="8049"/>
  </r>
  <r>
    <x v="3"/>
    <x v="1"/>
    <s v="Customer #84"/>
    <s v="Italy"/>
    <s v="11-50 Employees"/>
    <s v="Bevarage"/>
    <n v="2220"/>
  </r>
  <r>
    <x v="4"/>
    <x v="0"/>
    <s v="Customer #15"/>
    <s v="Italy"/>
    <s v="51-100 Employees"/>
    <s v="Chemical"/>
    <n v="9533"/>
  </r>
  <r>
    <x v="4"/>
    <x v="0"/>
    <s v="Customer #100"/>
    <s v="Germany"/>
    <s v="1-10 Employees"/>
    <s v="Food"/>
    <n v="14951"/>
  </r>
  <r>
    <x v="4"/>
    <x v="0"/>
    <s v="Customer #56"/>
    <s v="Italy"/>
    <s v="100-1000 Employees"/>
    <s v="Food"/>
    <n v="3541"/>
  </r>
  <r>
    <x v="4"/>
    <x v="0"/>
    <s v="Customer #26"/>
    <s v="Italy"/>
    <s v="100-1000 Employees"/>
    <s v="Food"/>
    <n v="11553"/>
  </r>
  <r>
    <x v="4"/>
    <x v="0"/>
    <s v="Customer #98"/>
    <s v="Italy"/>
    <s v="11-50 Employees"/>
    <s v="Bevarage"/>
    <n v="1191"/>
  </r>
  <r>
    <x v="4"/>
    <x v="0"/>
    <s v="Customer #59"/>
    <s v="Italy"/>
    <s v="11-50 Employees"/>
    <s v="Bevarage"/>
    <n v="5864"/>
  </r>
  <r>
    <x v="4"/>
    <x v="0"/>
    <s v="Customer #46"/>
    <s v="Italy"/>
    <s v="100-1000 Employees"/>
    <s v="Food"/>
    <n v="9281"/>
  </r>
  <r>
    <x v="4"/>
    <x v="0"/>
    <s v="Customer #76"/>
    <s v="Italy"/>
    <s v="100-1000 Employees"/>
    <s v="Food"/>
    <n v="1094"/>
  </r>
  <r>
    <x v="4"/>
    <x v="0"/>
    <s v="Customer #3"/>
    <s v="France"/>
    <s v="11-50 Employees"/>
    <s v="Chemical"/>
    <n v="6547"/>
  </r>
  <r>
    <x v="4"/>
    <x v="0"/>
    <s v="Customer #54"/>
    <s v="Italy"/>
    <s v="11-50 Employees"/>
    <s v="Bevarage"/>
    <n v="2712"/>
  </r>
  <r>
    <x v="4"/>
    <x v="0"/>
    <s v="Customer #11"/>
    <s v="USA"/>
    <s v="51-100 Employees"/>
    <s v="Bevarage"/>
    <n v="8740"/>
  </r>
  <r>
    <x v="4"/>
    <x v="0"/>
    <s v="Customer #12"/>
    <s v="Norway"/>
    <s v="11-50 Employees"/>
    <s v="Food"/>
    <n v="15021"/>
  </r>
  <r>
    <x v="4"/>
    <x v="0"/>
    <s v="Customer #71"/>
    <s v="USA"/>
    <s v="51-100 Employees"/>
    <s v="Bevarage"/>
    <n v="4344"/>
  </r>
  <r>
    <x v="4"/>
    <x v="0"/>
    <s v="Customer #71"/>
    <s v="USA"/>
    <s v="51-100 Employees"/>
    <s v="Bevarage"/>
    <n v="9620"/>
  </r>
  <r>
    <x v="4"/>
    <x v="0"/>
    <s v="Customer #44"/>
    <s v="Italy"/>
    <s v="11-50 Employees"/>
    <s v="Bevarage"/>
    <n v="15285"/>
  </r>
  <r>
    <x v="4"/>
    <x v="0"/>
    <s v="Customer #23"/>
    <s v="France"/>
    <s v="11-50 Employees"/>
    <s v="Other"/>
    <n v="8088"/>
  </r>
  <r>
    <x v="4"/>
    <x v="0"/>
    <s v="Customer #92"/>
    <s v="Norway"/>
    <s v="11-50 Employees"/>
    <s v="Food"/>
    <n v="13959"/>
  </r>
  <r>
    <x v="4"/>
    <x v="0"/>
    <s v="Customer #102"/>
    <s v="Norway"/>
    <s v="11-50 Employees"/>
    <s v="Food"/>
    <n v="3778"/>
  </r>
  <r>
    <x v="4"/>
    <x v="0"/>
    <s v="Customer #59"/>
    <s v="Italy"/>
    <s v="11-50 Employees"/>
    <s v="Bevarage"/>
    <n v="10492"/>
  </r>
  <r>
    <x v="4"/>
    <x v="0"/>
    <s v="Customer #11"/>
    <s v="USA"/>
    <s v="51-100 Employees"/>
    <s v="Bevarage"/>
    <n v="12047"/>
  </r>
  <r>
    <x v="4"/>
    <x v="1"/>
    <s v="Customer #28"/>
    <s v="Italy"/>
    <s v="11-50 Employees"/>
    <s v="Bevarage"/>
    <n v="8619"/>
  </r>
  <r>
    <x v="4"/>
    <x v="1"/>
    <s v="Customer #27"/>
    <s v="Italy"/>
    <s v="11-50 Employees"/>
    <s v="Bevarage"/>
    <n v="2691"/>
  </r>
  <r>
    <x v="4"/>
    <x v="1"/>
    <s v="Customer #12"/>
    <s v="Norway"/>
    <s v="11-50 Employees"/>
    <s v="Food"/>
    <n v="4956"/>
  </r>
  <r>
    <x v="4"/>
    <x v="1"/>
    <s v="Customer #34"/>
    <s v="Italy"/>
    <s v="11-50 Employees"/>
    <s v="Bevarage"/>
    <n v="8961"/>
  </r>
  <r>
    <x v="4"/>
    <x v="1"/>
    <s v="Customer #61"/>
    <s v="USA"/>
    <s v="51-100 Employees"/>
    <s v="Bevarage"/>
    <n v="13414"/>
  </r>
  <r>
    <x v="4"/>
    <x v="1"/>
    <s v="Customer #71"/>
    <s v="USA"/>
    <s v="51-100 Employees"/>
    <s v="Bevarage"/>
    <n v="9153"/>
  </r>
  <r>
    <x v="4"/>
    <x v="1"/>
    <s v="Customer #12"/>
    <s v="Norway"/>
    <s v="11-50 Employees"/>
    <s v="Food"/>
    <n v="5871"/>
  </r>
  <r>
    <x v="4"/>
    <x v="1"/>
    <s v="Customer #35"/>
    <s v="Italy"/>
    <s v="51-100 Employees"/>
    <s v="Chemical"/>
    <n v="4210"/>
  </r>
  <r>
    <x v="4"/>
    <x v="1"/>
    <s v="Customer #83"/>
    <s v="France"/>
    <s v="11-50 Employees"/>
    <s v="Chemical"/>
    <n v="5370"/>
  </r>
  <r>
    <x v="4"/>
    <x v="1"/>
    <s v="Customer #75"/>
    <s v="Italy"/>
    <s v="51-100 Employees"/>
    <s v="Chemical"/>
    <n v="11606"/>
  </r>
  <r>
    <x v="4"/>
    <x v="1"/>
    <s v="Customer #53"/>
    <s v="France"/>
    <s v="11-50 Employees"/>
    <s v="Chemical"/>
    <n v="7208"/>
  </r>
  <r>
    <x v="4"/>
    <x v="1"/>
    <s v="Customer #36"/>
    <s v="Italy"/>
    <s v="100-1000 Employees"/>
    <s v="Food"/>
    <n v="8945"/>
  </r>
  <r>
    <x v="4"/>
    <x v="1"/>
    <s v="Customer #14"/>
    <s v="Italy"/>
    <s v="11-50 Employees"/>
    <s v="Bevarage"/>
    <n v="12282"/>
  </r>
  <r>
    <x v="4"/>
    <x v="1"/>
    <s v="Customer #100"/>
    <s v="Germany"/>
    <s v="1-10 Employees"/>
    <s v="Food"/>
    <n v="13011"/>
  </r>
  <r>
    <x v="4"/>
    <x v="1"/>
    <s v="Customer #6"/>
    <s v="Italy"/>
    <s v="100-1000 Employees"/>
    <s v="Food"/>
    <n v="17043"/>
  </r>
  <r>
    <x v="4"/>
    <x v="1"/>
    <s v="Customer #65"/>
    <s v="Italy"/>
    <s v="51-100 Employees"/>
    <s v="Chemical"/>
    <n v="6112"/>
  </r>
  <r>
    <x v="4"/>
    <x v="1"/>
    <s v="Customer #17"/>
    <s v="Italy"/>
    <s v="11-50 Employees"/>
    <s v="Bevarage"/>
    <n v="14942"/>
  </r>
  <r>
    <x v="4"/>
    <x v="1"/>
    <s v="Customer #99"/>
    <s v="Italy"/>
    <s v="11-50 Employees"/>
    <s v="Bevarage"/>
    <n v="11892"/>
  </r>
  <r>
    <x v="5"/>
    <x v="0"/>
    <s v="Customer #61"/>
    <s v="USA"/>
    <s v="51-100 Employees"/>
    <s v="Bevarage"/>
    <n v="15057"/>
  </r>
  <r>
    <x v="5"/>
    <x v="0"/>
    <s v="Customer #101"/>
    <s v="USA"/>
    <s v="51-100 Employees"/>
    <s v="Bevarage"/>
    <n v="15463"/>
  </r>
  <r>
    <x v="5"/>
    <x v="0"/>
    <s v="Customer #96"/>
    <s v="Italy"/>
    <s v="100-1000 Employees"/>
    <s v="Food"/>
    <n v="11776"/>
  </r>
  <r>
    <x v="5"/>
    <x v="0"/>
    <s v="Customer #57"/>
    <s v="Italy"/>
    <s v="11-50 Employees"/>
    <s v="Bevarage"/>
    <n v="8315"/>
  </r>
  <r>
    <x v="5"/>
    <x v="0"/>
    <s v="Customer #80"/>
    <s v="Germany"/>
    <s v="1-10 Employees"/>
    <s v="Food"/>
    <n v="11876"/>
  </r>
  <r>
    <x v="5"/>
    <x v="0"/>
    <s v="Customer #49"/>
    <s v="Italy"/>
    <s v="11-50 Employees"/>
    <s v="Bevarage"/>
    <n v="13675"/>
  </r>
  <r>
    <x v="5"/>
    <x v="0"/>
    <s v="Customer #29"/>
    <s v="Italy"/>
    <s v="11-50 Employees"/>
    <s v="Bevarage"/>
    <n v="3703"/>
  </r>
  <r>
    <x v="5"/>
    <x v="0"/>
    <s v="Customer #51"/>
    <s v="USA"/>
    <s v="51-100 Employees"/>
    <s v="Bevarage"/>
    <n v="14565"/>
  </r>
  <r>
    <x v="5"/>
    <x v="0"/>
    <s v="Customer #58"/>
    <s v="Italy"/>
    <s v="11-50 Employees"/>
    <s v="Bevarage"/>
    <n v="1164"/>
  </r>
  <r>
    <x v="5"/>
    <x v="0"/>
    <s v="Customer #103"/>
    <s v="France"/>
    <s v="11-50 Employees"/>
    <s v="Chemical"/>
    <n v="12310"/>
  </r>
  <r>
    <x v="5"/>
    <x v="1"/>
    <s v="Customer #58"/>
    <s v="Italy"/>
    <s v="11-50 Employees"/>
    <s v="Bevarage"/>
    <n v="10290"/>
  </r>
  <r>
    <x v="5"/>
    <x v="1"/>
    <s v="Customer #28"/>
    <s v="Italy"/>
    <s v="11-50 Employees"/>
    <s v="Bevarage"/>
    <n v="4212"/>
  </r>
  <r>
    <x v="5"/>
    <x v="1"/>
    <s v="Customer #102"/>
    <s v="Norway"/>
    <s v="11-50 Employees"/>
    <s v="Food"/>
    <n v="2495"/>
  </r>
  <r>
    <x v="5"/>
    <x v="1"/>
    <s v="Customer #33"/>
    <s v="France"/>
    <s v="11-50 Employees"/>
    <s v="Chemical"/>
    <n v="2947"/>
  </r>
  <r>
    <x v="5"/>
    <x v="1"/>
    <s v="Customer #21"/>
    <s v="USA"/>
    <s v="51-100 Employees"/>
    <s v="Bevarage"/>
    <n v="1296"/>
  </r>
  <r>
    <x v="5"/>
    <x v="1"/>
    <s v="Customer #74"/>
    <s v="Italy"/>
    <s v="11-50 Employees"/>
    <s v="Bevarage"/>
    <n v="17899"/>
  </r>
  <r>
    <x v="5"/>
    <x v="1"/>
    <s v="Customer #51"/>
    <s v="USA"/>
    <s v="51-100 Employees"/>
    <s v="Bevarage"/>
    <n v="15587"/>
  </r>
  <r>
    <x v="5"/>
    <x v="1"/>
    <s v="Customer #80"/>
    <s v="Germany"/>
    <s v="1-10 Employees"/>
    <s v="Food"/>
    <n v="13931"/>
  </r>
  <r>
    <x v="5"/>
    <x v="1"/>
    <s v="Customer #82"/>
    <s v="Norway"/>
    <s v="11-50 Employees"/>
    <s v="Food"/>
    <n v="8056"/>
  </r>
  <r>
    <x v="6"/>
    <x v="0"/>
    <s v="Customer #59"/>
    <s v="Italy"/>
    <s v="11-50 Employees"/>
    <s v="Bevarage"/>
    <n v="8087"/>
  </r>
  <r>
    <x v="6"/>
    <x v="0"/>
    <s v="Customer #100"/>
    <s v="Germany"/>
    <s v="1-10 Employees"/>
    <s v="Food"/>
    <n v="7472"/>
  </r>
  <r>
    <x v="6"/>
    <x v="0"/>
    <s v="Customer #99"/>
    <s v="Italy"/>
    <s v="11-50 Employees"/>
    <s v="Bevarage"/>
    <n v="6447"/>
  </r>
  <r>
    <x v="6"/>
    <x v="0"/>
    <s v="Customer #71"/>
    <s v="USA"/>
    <s v="51-100 Employees"/>
    <s v="Bevarage"/>
    <n v="1603"/>
  </r>
  <r>
    <x v="6"/>
    <x v="0"/>
    <s v="Customer #35"/>
    <s v="Italy"/>
    <s v="51-100 Employees"/>
    <s v="Chemical"/>
    <n v="11088"/>
  </r>
  <r>
    <x v="6"/>
    <x v="0"/>
    <s v="Customer #105"/>
    <s v="Italy"/>
    <s v="51-100 Employees"/>
    <s v="Chemical"/>
    <n v="7588"/>
  </r>
  <r>
    <x v="6"/>
    <x v="0"/>
    <s v="Customer #19"/>
    <s v="Italy"/>
    <s v="11-50 Employees"/>
    <s v="Bevarage"/>
    <n v="7821"/>
  </r>
  <r>
    <x v="6"/>
    <x v="0"/>
    <s v="Customer #66"/>
    <s v="Italy"/>
    <s v="100-1000 Employees"/>
    <s v="Food"/>
    <n v="15971"/>
  </r>
  <r>
    <x v="6"/>
    <x v="0"/>
    <s v="Customer #58"/>
    <s v="Italy"/>
    <s v="11-50 Employees"/>
    <s v="Bevarage"/>
    <n v="15126"/>
  </r>
  <r>
    <x v="6"/>
    <x v="1"/>
    <s v="Customer #44"/>
    <s v="Italy"/>
    <s v="11-50 Employees"/>
    <s v="Bevarage"/>
    <n v="10942"/>
  </r>
  <r>
    <x v="6"/>
    <x v="1"/>
    <s v="Customer #97"/>
    <s v="Italy"/>
    <s v="11-50 Employees"/>
    <s v="Bevarage"/>
    <n v="11949"/>
  </r>
  <r>
    <x v="6"/>
    <x v="1"/>
    <s v="Customer #5"/>
    <s v="Italy"/>
    <s v="51-100 Employees"/>
    <s v="Chemical"/>
    <n v="2204"/>
  </r>
  <r>
    <x v="6"/>
    <x v="1"/>
    <s v="Customer #24"/>
    <s v="Italy"/>
    <s v="11-50 Employees"/>
    <s v="Bevarage"/>
    <n v="4255"/>
  </r>
  <r>
    <x v="6"/>
    <x v="1"/>
    <s v="Customer #60"/>
    <s v="Germany"/>
    <s v="1-10 Employees"/>
    <s v="Food"/>
    <n v="9448"/>
  </r>
  <r>
    <x v="6"/>
    <x v="1"/>
    <s v="Customer #7"/>
    <s v="Italy"/>
    <s v="11-50 Employees"/>
    <s v="Bevarage"/>
    <n v="14657"/>
  </r>
  <r>
    <x v="6"/>
    <x v="1"/>
    <s v="Customer #98"/>
    <s v="Italy"/>
    <s v="11-50 Employees"/>
    <s v="Bevarage"/>
    <n v="2935"/>
  </r>
  <r>
    <x v="6"/>
    <x v="1"/>
    <s v="Customer #49"/>
    <s v="Italy"/>
    <s v="11-50 Employees"/>
    <s v="Bevarage"/>
    <n v="12810"/>
  </r>
  <r>
    <x v="6"/>
    <x v="1"/>
    <s v="Customer #49"/>
    <s v="Italy"/>
    <s v="11-50 Employees"/>
    <s v="Bevarage"/>
    <n v="3732"/>
  </r>
  <r>
    <x v="6"/>
    <x v="1"/>
    <s v="Customer #88"/>
    <s v="Italy"/>
    <s v="11-50 Employees"/>
    <s v="Bevarage"/>
    <n v="17564"/>
  </r>
  <r>
    <x v="7"/>
    <x v="0"/>
    <s v="Customer #76"/>
    <s v="Italy"/>
    <s v="100-1000 Employees"/>
    <s v="Food"/>
    <n v="5244"/>
  </r>
  <r>
    <x v="7"/>
    <x v="0"/>
    <s v="Customer #2"/>
    <s v="Norway"/>
    <s v="11-50 Employees"/>
    <s v="Food"/>
    <n v="10666"/>
  </r>
  <r>
    <x v="7"/>
    <x v="0"/>
    <s v="Customer #30"/>
    <s v="Germany"/>
    <s v="1-10 Employees"/>
    <s v="Food"/>
    <n v="14527"/>
  </r>
  <r>
    <x v="7"/>
    <x v="0"/>
    <s v="Customer #60"/>
    <s v="Germany"/>
    <s v="1-10 Employees"/>
    <s v="Food"/>
    <n v="9274"/>
  </r>
  <r>
    <x v="7"/>
    <x v="0"/>
    <s v="Customer #60"/>
    <s v="Germany"/>
    <s v="1-10 Employees"/>
    <s v="Food"/>
    <n v="12289"/>
  </r>
  <r>
    <x v="7"/>
    <x v="0"/>
    <s v="Customer #105"/>
    <s v="Italy"/>
    <s v="51-100 Employees"/>
    <s v="Chemical"/>
    <n v="14978"/>
  </r>
  <r>
    <x v="7"/>
    <x v="0"/>
    <s v="Customer #42"/>
    <s v="Norway"/>
    <s v="11-50 Employees"/>
    <s v="Food"/>
    <n v="14484"/>
  </r>
  <r>
    <x v="7"/>
    <x v="0"/>
    <s v="Customer #27"/>
    <s v="Italy"/>
    <s v="11-50 Employees"/>
    <s v="Bevarage"/>
    <n v="17818"/>
  </r>
  <r>
    <x v="7"/>
    <x v="0"/>
    <s v="Customer #66"/>
    <s v="Italy"/>
    <s v="100-1000 Employees"/>
    <s v="Food"/>
    <n v="1937"/>
  </r>
  <r>
    <x v="7"/>
    <x v="0"/>
    <s v="Customer #104"/>
    <s v="Italy"/>
    <s v="11-50 Employees"/>
    <s v="Bevarage"/>
    <n v="5750"/>
  </r>
  <r>
    <x v="7"/>
    <x v="0"/>
    <s v="Customer #33"/>
    <s v="France"/>
    <s v="11-50 Employees"/>
    <s v="Chemical"/>
    <n v="11094"/>
  </r>
  <r>
    <x v="7"/>
    <x v="0"/>
    <s v="Customer #54"/>
    <s v="Italy"/>
    <s v="11-50 Employees"/>
    <s v="Bevarage"/>
    <n v="1202"/>
  </r>
  <r>
    <x v="7"/>
    <x v="0"/>
    <s v="Customer #39"/>
    <s v="Italy"/>
    <s v="11-50 Employees"/>
    <s v="Bevarage"/>
    <n v="4350"/>
  </r>
  <r>
    <x v="7"/>
    <x v="0"/>
    <s v="Customer #17"/>
    <s v="Italy"/>
    <s v="11-50 Employees"/>
    <s v="Bevarage"/>
    <n v="15830"/>
  </r>
  <r>
    <x v="7"/>
    <x v="0"/>
    <s v="Customer #48"/>
    <s v="Italy"/>
    <s v="11-50 Employees"/>
    <s v="Bevarage"/>
    <n v="7402"/>
  </r>
  <r>
    <x v="7"/>
    <x v="0"/>
    <s v="Customer #42"/>
    <s v="Norway"/>
    <s v="11-50 Employees"/>
    <s v="Food"/>
    <n v="2195"/>
  </r>
  <r>
    <x v="7"/>
    <x v="0"/>
    <s v="Customer #69"/>
    <s v="Italy"/>
    <s v="11-50 Employees"/>
    <s v="Bevarage"/>
    <n v="5465"/>
  </r>
  <r>
    <x v="7"/>
    <x v="0"/>
    <s v="Customer #26"/>
    <s v="Italy"/>
    <s v="100-1000 Employees"/>
    <s v="Food"/>
    <n v="6465"/>
  </r>
  <r>
    <x v="7"/>
    <x v="0"/>
    <s v="Customer #46"/>
    <s v="Italy"/>
    <s v="100-1000 Employees"/>
    <s v="Food"/>
    <n v="1526"/>
  </r>
  <r>
    <x v="7"/>
    <x v="0"/>
    <s v="Customer #47"/>
    <s v="Italy"/>
    <s v="11-50 Employees"/>
    <s v="Bevarage"/>
    <n v="16523"/>
  </r>
  <r>
    <x v="7"/>
    <x v="0"/>
    <s v="Customer #61"/>
    <s v="USA"/>
    <s v="51-100 Employees"/>
    <s v="Bevarage"/>
    <n v="1426"/>
  </r>
  <r>
    <x v="7"/>
    <x v="0"/>
    <s v="Customer #46"/>
    <s v="Italy"/>
    <s v="100-1000 Employees"/>
    <s v="Food"/>
    <n v="4409"/>
  </r>
  <r>
    <x v="7"/>
    <x v="0"/>
    <s v="Customer #82"/>
    <s v="Norway"/>
    <s v="11-50 Employees"/>
    <s v="Food"/>
    <n v="13910"/>
  </r>
  <r>
    <x v="7"/>
    <x v="0"/>
    <s v="Customer #26"/>
    <s v="Italy"/>
    <s v="100-1000 Employees"/>
    <s v="Food"/>
    <n v="7172"/>
  </r>
  <r>
    <x v="7"/>
    <x v="0"/>
    <s v="Customer #90"/>
    <s v="Germany"/>
    <s v="1-10 Employees"/>
    <s v="Food"/>
    <n v="5539"/>
  </r>
  <r>
    <x v="7"/>
    <x v="1"/>
    <s v="Customer #101"/>
    <s v="USA"/>
    <s v="51-100 Employees"/>
    <s v="Bevarage"/>
    <n v="8956"/>
  </r>
  <r>
    <x v="7"/>
    <x v="1"/>
    <s v="Customer #4"/>
    <s v="Italy"/>
    <s v="11-50 Employees"/>
    <s v="Bevarage"/>
    <n v="7145"/>
  </r>
  <r>
    <x v="7"/>
    <x v="1"/>
    <s v="Customer #10"/>
    <s v="Germany"/>
    <s v="1-10 Employees"/>
    <s v="Food"/>
    <n v="2786"/>
  </r>
  <r>
    <x v="7"/>
    <x v="1"/>
    <s v="Customer #17"/>
    <s v="Italy"/>
    <s v="11-50 Employees"/>
    <s v="Bevarage"/>
    <n v="6948"/>
  </r>
  <r>
    <x v="7"/>
    <x v="1"/>
    <s v="Customer #53"/>
    <s v="France"/>
    <s v="11-50 Employees"/>
    <s v="Chemical"/>
    <n v="12977"/>
  </r>
  <r>
    <x v="7"/>
    <x v="1"/>
    <s v="Customer #60"/>
    <s v="Germany"/>
    <s v="1-10 Employees"/>
    <s v="Food"/>
    <n v="12740"/>
  </r>
  <r>
    <x v="7"/>
    <x v="1"/>
    <s v="Customer #58"/>
    <s v="Italy"/>
    <s v="11-50 Employees"/>
    <s v="Bevarage"/>
    <n v="8845"/>
  </r>
  <r>
    <x v="7"/>
    <x v="1"/>
    <s v="Customer #31"/>
    <s v="USA"/>
    <s v="51-100 Employees"/>
    <s v="Bevarage"/>
    <n v="8618"/>
  </r>
  <r>
    <x v="7"/>
    <x v="1"/>
    <s v="Customer #43"/>
    <s v="France"/>
    <s v="11-50 Employees"/>
    <s v="Chemical"/>
    <n v="10177"/>
  </r>
  <r>
    <x v="7"/>
    <x v="1"/>
    <s v="Customer #73"/>
    <s v="France"/>
    <s v="11-50 Employees"/>
    <s v="Chemical"/>
    <n v="16604"/>
  </r>
  <r>
    <x v="7"/>
    <x v="1"/>
    <s v="Customer #107"/>
    <s v="Italy"/>
    <s v="11-50 Employees"/>
    <s v="Other"/>
    <n v="13948"/>
  </r>
  <r>
    <x v="7"/>
    <x v="1"/>
    <s v="Customer #72"/>
    <s v="Norway"/>
    <s v="11-50 Employees"/>
    <s v="Food"/>
    <n v="16410"/>
  </r>
  <r>
    <x v="7"/>
    <x v="1"/>
    <s v="Customer #40"/>
    <s v="Germany"/>
    <s v="1-10 Employees"/>
    <s v="Food"/>
    <n v="14813"/>
  </r>
  <r>
    <x v="7"/>
    <x v="1"/>
    <s v="Customer #60"/>
    <s v="Germany"/>
    <s v="1-10 Employees"/>
    <s v="Food"/>
    <n v="2434"/>
  </r>
  <r>
    <x v="7"/>
    <x v="1"/>
    <s v="Customer #97"/>
    <s v="Italy"/>
    <s v="11-50 Employees"/>
    <s v="Bevarage"/>
    <n v="7918"/>
  </r>
  <r>
    <x v="7"/>
    <x v="1"/>
    <s v="Customer #97"/>
    <s v="Italy"/>
    <s v="11-50 Employees"/>
    <s v="Bevarage"/>
    <n v="12812"/>
  </r>
  <r>
    <x v="7"/>
    <x v="1"/>
    <s v="Customer #55"/>
    <s v="Italy"/>
    <s v="51-100 Employees"/>
    <s v="Chemical"/>
    <n v="3308"/>
  </r>
  <r>
    <x v="8"/>
    <x v="0"/>
    <s v="Customer #90"/>
    <s v="Germany"/>
    <s v="1-10 Employees"/>
    <s v="Food"/>
    <n v="1994"/>
  </r>
  <r>
    <x v="8"/>
    <x v="0"/>
    <s v="Customer #60"/>
    <s v="Germany"/>
    <s v="1-10 Employees"/>
    <s v="Food"/>
    <n v="1950"/>
  </r>
  <r>
    <x v="8"/>
    <x v="0"/>
    <s v="Customer #42"/>
    <s v="Norway"/>
    <s v="11-50 Employees"/>
    <s v="Food"/>
    <n v="10995"/>
  </r>
  <r>
    <x v="8"/>
    <x v="0"/>
    <s v="Customer #31"/>
    <s v="USA"/>
    <s v="51-100 Employees"/>
    <s v="Bevarage"/>
    <n v="15095"/>
  </r>
  <r>
    <x v="8"/>
    <x v="0"/>
    <s v="Customer #35"/>
    <s v="Italy"/>
    <s v="51-100 Employees"/>
    <s v="Chemical"/>
    <n v="6223"/>
  </r>
  <r>
    <x v="8"/>
    <x v="0"/>
    <s v="Customer #100"/>
    <s v="Germany"/>
    <s v="1-10 Employees"/>
    <s v="Food"/>
    <n v="3057"/>
  </r>
  <r>
    <x v="8"/>
    <x v="0"/>
    <s v="Customer #90"/>
    <s v="Germany"/>
    <s v="1-10 Employees"/>
    <s v="Food"/>
    <n v="4366"/>
  </r>
  <r>
    <x v="8"/>
    <x v="0"/>
    <s v="Customer #44"/>
    <s v="Italy"/>
    <s v="11-50 Employees"/>
    <s v="Bevarage"/>
    <n v="15993"/>
  </r>
  <r>
    <x v="8"/>
    <x v="0"/>
    <s v="Customer #67"/>
    <s v="Italy"/>
    <s v="11-50 Employees"/>
    <s v="Bevarage"/>
    <n v="2289"/>
  </r>
  <r>
    <x v="8"/>
    <x v="0"/>
    <s v="Customer #1"/>
    <s v="USA"/>
    <s v="51-100 Employees"/>
    <s v="Bevarage"/>
    <n v="2983"/>
  </r>
  <r>
    <x v="8"/>
    <x v="0"/>
    <s v="Customer #64"/>
    <s v="Italy"/>
    <s v="11-50 Employees"/>
    <s v="Bevarage"/>
    <n v="7204"/>
  </r>
  <r>
    <x v="8"/>
    <x v="0"/>
    <s v="Customer #94"/>
    <s v="Italy"/>
    <s v="11-50 Employees"/>
    <s v="Bevarage"/>
    <n v="14457"/>
  </r>
  <r>
    <x v="8"/>
    <x v="0"/>
    <s v="Customer #65"/>
    <s v="Italy"/>
    <s v="51-100 Employees"/>
    <s v="Chemical"/>
    <n v="3929"/>
  </r>
  <r>
    <x v="8"/>
    <x v="0"/>
    <s v="Customer #89"/>
    <s v="Italy"/>
    <s v="11-50 Employees"/>
    <s v="Bevarage"/>
    <n v="3661"/>
  </r>
  <r>
    <x v="8"/>
    <x v="0"/>
    <s v="Customer #60"/>
    <s v="Germany"/>
    <s v="1-10 Employees"/>
    <s v="Food"/>
    <n v="13333"/>
  </r>
  <r>
    <x v="8"/>
    <x v="0"/>
    <s v="Customer #88"/>
    <s v="Italy"/>
    <s v="11-50 Employees"/>
    <s v="Bevarage"/>
    <n v="2459"/>
  </r>
  <r>
    <x v="8"/>
    <x v="0"/>
    <s v="Customer #3"/>
    <s v="France"/>
    <s v="11-50 Employees"/>
    <s v="Chemical"/>
    <n v="10033"/>
  </r>
  <r>
    <x v="8"/>
    <x v="0"/>
    <s v="Customer #89"/>
    <s v="Italy"/>
    <s v="11-50 Employees"/>
    <s v="Bevarage"/>
    <n v="16950"/>
  </r>
  <r>
    <x v="8"/>
    <x v="0"/>
    <s v="Customer #63"/>
    <s v="France"/>
    <s v="11-50 Employees"/>
    <s v="Chemical"/>
    <n v="17647"/>
  </r>
  <r>
    <x v="8"/>
    <x v="0"/>
    <s v="Customer #19"/>
    <s v="Italy"/>
    <s v="11-50 Employees"/>
    <s v="Bevarage"/>
    <n v="16416"/>
  </r>
  <r>
    <x v="8"/>
    <x v="0"/>
    <s v="Customer #70"/>
    <s v="Germany"/>
    <s v="1-10 Employees"/>
    <s v="Food"/>
    <n v="4666"/>
  </r>
  <r>
    <x v="8"/>
    <x v="1"/>
    <s v="Customer #12"/>
    <s v="Norway"/>
    <s v="11-50 Employees"/>
    <s v="Food"/>
    <n v="11995"/>
  </r>
  <r>
    <x v="8"/>
    <x v="1"/>
    <s v="Customer #48"/>
    <s v="Italy"/>
    <s v="11-50 Employees"/>
    <s v="Bevarage"/>
    <n v="7967"/>
  </r>
  <r>
    <x v="8"/>
    <x v="1"/>
    <s v="Customer #44"/>
    <s v="Italy"/>
    <s v="11-50 Employees"/>
    <s v="Bevarage"/>
    <n v="13344"/>
  </r>
  <r>
    <x v="8"/>
    <x v="1"/>
    <s v="Customer #24"/>
    <s v="Italy"/>
    <s v="11-50 Employees"/>
    <s v="Bevarage"/>
    <n v="10675"/>
  </r>
  <r>
    <x v="8"/>
    <x v="1"/>
    <s v="Customer #14"/>
    <s v="Italy"/>
    <s v="11-50 Employees"/>
    <s v="Bevarage"/>
    <n v="7819"/>
  </r>
  <r>
    <x v="8"/>
    <x v="1"/>
    <s v="Customer #23"/>
    <s v="France"/>
    <s v="11-50 Employees"/>
    <s v="Other"/>
    <n v="13548"/>
  </r>
  <r>
    <x v="8"/>
    <x v="1"/>
    <s v="Customer #77"/>
    <s v="Italy"/>
    <s v="11-50 Employees"/>
    <s v="Bevarage"/>
    <n v="6677"/>
  </r>
  <r>
    <x v="8"/>
    <x v="1"/>
    <s v="Customer #32"/>
    <s v="Norway"/>
    <s v="11-50 Employees"/>
    <s v="Food"/>
    <n v="9077"/>
  </r>
  <r>
    <x v="8"/>
    <x v="1"/>
    <s v="Customer #35"/>
    <s v="Italy"/>
    <s v="51-100 Employees"/>
    <s v="Chemical"/>
    <n v="2654"/>
  </r>
  <r>
    <x v="8"/>
    <x v="1"/>
    <s v="Customer #5"/>
    <s v="Italy"/>
    <s v="51-100 Employees"/>
    <s v="Chemical"/>
    <n v="6633"/>
  </r>
  <r>
    <x v="9"/>
    <x v="0"/>
    <s v="Customer #80"/>
    <s v="Germany"/>
    <s v="1-10 Employees"/>
    <s v="Food"/>
    <n v="8606"/>
  </r>
  <r>
    <x v="9"/>
    <x v="0"/>
    <s v="Customer #7"/>
    <s v="Italy"/>
    <s v="11-50 Employees"/>
    <s v="Bevarage"/>
    <n v="9785"/>
  </r>
  <r>
    <x v="9"/>
    <x v="0"/>
    <s v="Customer #41"/>
    <s v="USA"/>
    <s v="51-100 Employees"/>
    <s v="Bevarage"/>
    <n v="2446"/>
  </r>
  <r>
    <x v="9"/>
    <x v="0"/>
    <s v="Customer #36"/>
    <s v="Italy"/>
    <s v="100-1000 Employees"/>
    <s v="Food"/>
    <n v="1771"/>
  </r>
  <r>
    <x v="9"/>
    <x v="0"/>
    <s v="Customer #31"/>
    <s v="USA"/>
    <s v="51-100 Employees"/>
    <s v="Bevarage"/>
    <n v="9617"/>
  </r>
  <r>
    <x v="9"/>
    <x v="0"/>
    <s v="Customer #69"/>
    <s v="Italy"/>
    <s v="11-50 Employees"/>
    <s v="Bevarage"/>
    <n v="11640"/>
  </r>
  <r>
    <x v="9"/>
    <x v="0"/>
    <s v="Customer #35"/>
    <s v="Italy"/>
    <s v="51-100 Employees"/>
    <s v="Chemical"/>
    <n v="15014"/>
  </r>
  <r>
    <x v="9"/>
    <x v="0"/>
    <s v="Customer #7"/>
    <s v="Italy"/>
    <s v="11-50 Employees"/>
    <s v="Bevarage"/>
    <n v="15607"/>
  </r>
  <r>
    <x v="9"/>
    <x v="0"/>
    <s v="Customer #98"/>
    <s v="Italy"/>
    <s v="11-50 Employees"/>
    <s v="Bevarage"/>
    <n v="9614"/>
  </r>
  <r>
    <x v="9"/>
    <x v="0"/>
    <s v="Customer #63"/>
    <s v="France"/>
    <s v="11-50 Employees"/>
    <s v="Chemical"/>
    <n v="12736"/>
  </r>
  <r>
    <x v="9"/>
    <x v="0"/>
    <s v="Customer #88"/>
    <s v="Italy"/>
    <s v="11-50 Employees"/>
    <s v="Bevarage"/>
    <n v="17685"/>
  </r>
  <r>
    <x v="9"/>
    <x v="0"/>
    <s v="Customer #103"/>
    <s v="France"/>
    <s v="11-50 Employees"/>
    <s v="Chemical"/>
    <n v="12905"/>
  </r>
  <r>
    <x v="9"/>
    <x v="0"/>
    <s v="Customer #99"/>
    <s v="Italy"/>
    <s v="11-50 Employees"/>
    <s v="Bevarage"/>
    <n v="5618"/>
  </r>
  <r>
    <x v="9"/>
    <x v="0"/>
    <s v="Customer #21"/>
    <s v="USA"/>
    <s v="51-100 Employees"/>
    <s v="Bevarage"/>
    <n v="12316"/>
  </r>
  <r>
    <x v="9"/>
    <x v="0"/>
    <s v="Customer #98"/>
    <s v="Italy"/>
    <s v="11-50 Employees"/>
    <s v="Bevarage"/>
    <n v="13818"/>
  </r>
  <r>
    <x v="9"/>
    <x v="0"/>
    <s v="Customer #3"/>
    <s v="France"/>
    <s v="11-50 Employees"/>
    <s v="Chemical"/>
    <n v="14931"/>
  </r>
  <r>
    <x v="9"/>
    <x v="0"/>
    <s v="Customer #88"/>
    <s v="Italy"/>
    <s v="11-50 Employees"/>
    <s v="Bevarage"/>
    <n v="6178"/>
  </r>
  <r>
    <x v="9"/>
    <x v="1"/>
    <s v="Customer #28"/>
    <s v="Italy"/>
    <s v="11-50 Employees"/>
    <s v="Bevarage"/>
    <n v="9754"/>
  </r>
  <r>
    <x v="9"/>
    <x v="1"/>
    <s v="Customer #100"/>
    <s v="Germany"/>
    <s v="1-10 Employees"/>
    <s v="Food"/>
    <n v="14219"/>
  </r>
  <r>
    <x v="9"/>
    <x v="1"/>
    <s v="Customer #74"/>
    <s v="Italy"/>
    <s v="11-50 Employees"/>
    <s v="Bevarage"/>
    <n v="16014"/>
  </r>
  <r>
    <x v="9"/>
    <x v="1"/>
    <s v="Customer #91"/>
    <s v="USA"/>
    <s v="51-100 Employees"/>
    <s v="Bevarage"/>
    <n v="4359"/>
  </r>
  <r>
    <x v="9"/>
    <x v="1"/>
    <s v="Customer #1"/>
    <s v="USA"/>
    <s v="51-100 Employees"/>
    <s v="Bevarage"/>
    <n v="14546"/>
  </r>
  <r>
    <x v="9"/>
    <x v="1"/>
    <s v="Customer #35"/>
    <s v="Italy"/>
    <s v="51-100 Employees"/>
    <s v="Chemical"/>
    <n v="17150"/>
  </r>
  <r>
    <x v="9"/>
    <x v="1"/>
    <s v="Customer #106"/>
    <s v="Italy"/>
    <s v="100-1000 Employees"/>
    <s v="Food"/>
    <n v="14072"/>
  </r>
  <r>
    <x v="9"/>
    <x v="1"/>
    <s v="Customer #87"/>
    <s v="Italy"/>
    <s v="11-50 Employees"/>
    <s v="Bevarage"/>
    <n v="4115"/>
  </r>
  <r>
    <x v="9"/>
    <x v="1"/>
    <s v="Customer #81"/>
    <s v="USA"/>
    <s v="51-100 Employees"/>
    <s v="Bevarage"/>
    <n v="9026"/>
  </r>
  <r>
    <x v="9"/>
    <x v="1"/>
    <s v="Customer #30"/>
    <s v="Germany"/>
    <s v="1-10 Employees"/>
    <s v="Food"/>
    <n v="1702"/>
  </r>
  <r>
    <x v="9"/>
    <x v="1"/>
    <s v="Customer #96"/>
    <s v="Italy"/>
    <s v="100-1000 Employees"/>
    <s v="Food"/>
    <n v="12414"/>
  </r>
  <r>
    <x v="9"/>
    <x v="1"/>
    <s v="Customer #84"/>
    <s v="Italy"/>
    <s v="11-50 Employees"/>
    <s v="Bevarage"/>
    <n v="12684"/>
  </r>
  <r>
    <x v="9"/>
    <x v="1"/>
    <s v="Customer #46"/>
    <s v="Italy"/>
    <s v="100-1000 Employees"/>
    <s v="Food"/>
    <n v="13218"/>
  </r>
  <r>
    <x v="9"/>
    <x v="1"/>
    <s v="Customer #54"/>
    <s v="Italy"/>
    <s v="11-50 Employees"/>
    <s v="Bevarage"/>
    <n v="6926"/>
  </r>
  <r>
    <x v="9"/>
    <x v="1"/>
    <s v="Customer #31"/>
    <s v="USA"/>
    <s v="51-100 Employees"/>
    <s v="Bevarage"/>
    <n v="4356"/>
  </r>
  <r>
    <x v="9"/>
    <x v="1"/>
    <s v="Customer #94"/>
    <s v="Italy"/>
    <s v="11-50 Employees"/>
    <s v="Bevarage"/>
    <n v="7563"/>
  </r>
  <r>
    <x v="9"/>
    <x v="1"/>
    <s v="Customer #39"/>
    <s v="Italy"/>
    <s v="11-50 Employees"/>
    <s v="Bevarage"/>
    <n v="7984"/>
  </r>
  <r>
    <x v="9"/>
    <x v="1"/>
    <s v="Customer #18"/>
    <s v="Italy"/>
    <s v="11-50 Employees"/>
    <s v="Bevarage"/>
    <n v="6849"/>
  </r>
  <r>
    <x v="9"/>
    <x v="1"/>
    <s v="Customer #42"/>
    <s v="Norway"/>
    <s v="11-50 Employees"/>
    <s v="Food"/>
    <n v="2567"/>
  </r>
  <r>
    <x v="9"/>
    <x v="1"/>
    <s v="Customer #5"/>
    <s v="Italy"/>
    <s v="51-100 Employees"/>
    <s v="Chemical"/>
    <n v="15147"/>
  </r>
  <r>
    <x v="9"/>
    <x v="1"/>
    <s v="Customer #18"/>
    <s v="Italy"/>
    <s v="11-50 Employees"/>
    <s v="Bevarage"/>
    <n v="12548"/>
  </r>
  <r>
    <x v="9"/>
    <x v="1"/>
    <s v="Customer #24"/>
    <s v="Italy"/>
    <s v="11-50 Employees"/>
    <s v="Bevarage"/>
    <n v="16066"/>
  </r>
  <r>
    <x v="9"/>
    <x v="1"/>
    <s v="Customer #29"/>
    <s v="Italy"/>
    <s v="11-50 Employees"/>
    <s v="Bevarage"/>
    <n v="13071"/>
  </r>
  <r>
    <x v="9"/>
    <x v="1"/>
    <s v="Customer #91"/>
    <s v="USA"/>
    <s v="51-100 Employees"/>
    <s v="Bevarage"/>
    <n v="16552"/>
  </r>
  <r>
    <x v="9"/>
    <x v="1"/>
    <s v="Customer #84"/>
    <s v="Italy"/>
    <s v="11-50 Employees"/>
    <s v="Bevarage"/>
    <n v="13888"/>
  </r>
  <r>
    <x v="9"/>
    <x v="1"/>
    <s v="Customer #25"/>
    <s v="Italy"/>
    <s v="51-100 Employees"/>
    <s v="Chemical"/>
    <n v="7064"/>
  </r>
  <r>
    <x v="9"/>
    <x v="1"/>
    <s v="Customer #27"/>
    <s v="Italy"/>
    <s v="11-50 Employees"/>
    <s v="Bevarage"/>
    <n v="12541"/>
  </r>
  <r>
    <x v="9"/>
    <x v="1"/>
    <s v="Customer #13"/>
    <s v="France"/>
    <s v="11-50 Employees"/>
    <s v="Chemical"/>
    <n v="4278"/>
  </r>
  <r>
    <x v="9"/>
    <x v="1"/>
    <s v="Customer #13"/>
    <s v="France"/>
    <s v="11-50 Employees"/>
    <s v="Chemical"/>
    <n v="6622"/>
  </r>
  <r>
    <x v="9"/>
    <x v="1"/>
    <s v="Customer #1"/>
    <s v="USA"/>
    <s v="51-100 Employees"/>
    <s v="Bevarage"/>
    <n v="10442"/>
  </r>
  <r>
    <x v="9"/>
    <x v="1"/>
    <s v="Customer #90"/>
    <s v="Germany"/>
    <s v="1-10 Employees"/>
    <s v="Food"/>
    <n v="9554"/>
  </r>
  <r>
    <x v="9"/>
    <x v="1"/>
    <s v="Customer #82"/>
    <s v="Norway"/>
    <s v="11-50 Employees"/>
    <s v="Food"/>
    <n v="2505"/>
  </r>
  <r>
    <x v="9"/>
    <x v="1"/>
    <s v="Customer #28"/>
    <s v="Italy"/>
    <s v="11-50 Employees"/>
    <s v="Bevarage"/>
    <n v="10986"/>
  </r>
  <r>
    <x v="9"/>
    <x v="1"/>
    <s v="Customer #105"/>
    <s v="Italy"/>
    <s v="51-100 Employees"/>
    <s v="Chemical"/>
    <n v="16310"/>
  </r>
  <r>
    <x v="10"/>
    <x v="0"/>
    <s v="Customer #16"/>
    <s v="Italy"/>
    <s v="100-1000 Employees"/>
    <s v="Food"/>
    <n v="17512"/>
  </r>
  <r>
    <x v="10"/>
    <x v="0"/>
    <s v="Customer #9"/>
    <s v="Italy"/>
    <s v="11-50 Employees"/>
    <s v="Bevarage"/>
    <n v="12749"/>
  </r>
  <r>
    <x v="10"/>
    <x v="0"/>
    <s v="Customer #10"/>
    <s v="Germany"/>
    <s v="1-10 Employees"/>
    <s v="Food"/>
    <n v="10972"/>
  </r>
  <r>
    <x v="10"/>
    <x v="0"/>
    <s v="Customer #43"/>
    <s v="France"/>
    <s v="11-50 Employees"/>
    <s v="Chemical"/>
    <n v="17656"/>
  </r>
  <r>
    <x v="10"/>
    <x v="0"/>
    <s v="Customer #69"/>
    <s v="Italy"/>
    <s v="11-50 Employees"/>
    <s v="Bevarage"/>
    <n v="6493"/>
  </r>
  <r>
    <x v="10"/>
    <x v="0"/>
    <s v="Customer #50"/>
    <s v="Germany"/>
    <s v="1-10 Employees"/>
    <s v="Food"/>
    <n v="14965"/>
  </r>
  <r>
    <x v="10"/>
    <x v="0"/>
    <s v="Customer #86"/>
    <s v="Italy"/>
    <s v="100-1000 Employees"/>
    <s v="Food"/>
    <n v="6986"/>
  </r>
  <r>
    <x v="10"/>
    <x v="0"/>
    <s v="Customer #100"/>
    <s v="Germany"/>
    <s v="1-10 Employees"/>
    <s v="Food"/>
    <n v="8640"/>
  </r>
  <r>
    <x v="10"/>
    <x v="0"/>
    <s v="Customer #100"/>
    <s v="Germany"/>
    <s v="1-10 Employees"/>
    <s v="Food"/>
    <n v="11215"/>
  </r>
  <r>
    <x v="10"/>
    <x v="0"/>
    <s v="Customer #67"/>
    <s v="Italy"/>
    <s v="11-50 Employees"/>
    <s v="Bevarage"/>
    <n v="11188"/>
  </r>
  <r>
    <x v="10"/>
    <x v="0"/>
    <s v="Customer #35"/>
    <s v="Italy"/>
    <s v="51-100 Employees"/>
    <s v="Chemical"/>
    <n v="6000"/>
  </r>
  <r>
    <x v="10"/>
    <x v="0"/>
    <s v="Customer #12"/>
    <s v="Norway"/>
    <s v="11-50 Employees"/>
    <s v="Food"/>
    <n v="15709"/>
  </r>
  <r>
    <x v="10"/>
    <x v="0"/>
    <s v="Customer #18"/>
    <s v="Italy"/>
    <s v="11-50 Employees"/>
    <s v="Bevarage"/>
    <n v="13548"/>
  </r>
  <r>
    <x v="10"/>
    <x v="0"/>
    <s v="Customer #74"/>
    <s v="Italy"/>
    <s v="11-50 Employees"/>
    <s v="Bevarage"/>
    <n v="9332"/>
  </r>
  <r>
    <x v="10"/>
    <x v="0"/>
    <s v="Customer #71"/>
    <s v="USA"/>
    <s v="51-100 Employees"/>
    <s v="Bevarage"/>
    <n v="5179"/>
  </r>
  <r>
    <x v="10"/>
    <x v="0"/>
    <s v="Customer #45"/>
    <s v="Italy"/>
    <s v="51-100 Employees"/>
    <s v="Chemical"/>
    <n v="6311"/>
  </r>
  <r>
    <x v="10"/>
    <x v="0"/>
    <s v="Customer #76"/>
    <s v="Italy"/>
    <s v="100-1000 Employees"/>
    <s v="Food"/>
    <n v="4569"/>
  </r>
  <r>
    <x v="10"/>
    <x v="0"/>
    <s v="Customer #86"/>
    <s v="Italy"/>
    <s v="100-1000 Employees"/>
    <s v="Food"/>
    <n v="9298"/>
  </r>
  <r>
    <x v="10"/>
    <x v="0"/>
    <s v="Customer #100"/>
    <s v="Germany"/>
    <s v="1-10 Employees"/>
    <s v="Food"/>
    <n v="5707"/>
  </r>
  <r>
    <x v="10"/>
    <x v="0"/>
    <s v="Customer #83"/>
    <s v="France"/>
    <s v="11-50 Employees"/>
    <s v="Chemical"/>
    <n v="12291"/>
  </r>
  <r>
    <x v="10"/>
    <x v="0"/>
    <s v="Customer #81"/>
    <s v="USA"/>
    <s v="51-100 Employees"/>
    <s v="Bevarage"/>
    <n v="12945"/>
  </r>
  <r>
    <x v="10"/>
    <x v="1"/>
    <s v="Customer #97"/>
    <s v="Italy"/>
    <s v="11-50 Employees"/>
    <s v="Bevarage"/>
    <n v="7341"/>
  </r>
  <r>
    <x v="10"/>
    <x v="1"/>
    <s v="Customer #34"/>
    <s v="Italy"/>
    <s v="11-50 Employees"/>
    <s v="Bevarage"/>
    <n v="12298"/>
  </r>
  <r>
    <x v="10"/>
    <x v="1"/>
    <s v="Customer #43"/>
    <s v="France"/>
    <s v="11-50 Employees"/>
    <s v="Chemical"/>
    <n v="10373"/>
  </r>
  <r>
    <x v="10"/>
    <x v="1"/>
    <s v="Customer #22"/>
    <s v="Norway"/>
    <s v="11-50 Employees"/>
    <s v="Food"/>
    <n v="9499"/>
  </r>
  <r>
    <x v="10"/>
    <x v="1"/>
    <s v="Customer #44"/>
    <s v="Italy"/>
    <s v="11-50 Employees"/>
    <s v="Bevarage"/>
    <n v="8128"/>
  </r>
  <r>
    <x v="10"/>
    <x v="1"/>
    <s v="Customer #13"/>
    <s v="France"/>
    <s v="11-50 Employees"/>
    <s v="Chemical"/>
    <n v="7255"/>
  </r>
  <r>
    <x v="10"/>
    <x v="1"/>
    <s v="Customer #64"/>
    <s v="Italy"/>
    <s v="11-50 Employees"/>
    <s v="Bevarage"/>
    <n v="3054"/>
  </r>
  <r>
    <x v="10"/>
    <x v="1"/>
    <s v="Customer #35"/>
    <s v="Italy"/>
    <s v="51-100 Employees"/>
    <s v="Chemical"/>
    <n v="2774"/>
  </r>
  <r>
    <x v="10"/>
    <x v="1"/>
    <s v="Customer #97"/>
    <s v="Italy"/>
    <s v="11-50 Employees"/>
    <s v="Bevarage"/>
    <n v="10347"/>
  </r>
  <r>
    <x v="10"/>
    <x v="1"/>
    <s v="Customer #46"/>
    <s v="Italy"/>
    <s v="100-1000 Employees"/>
    <s v="Food"/>
    <n v="13842"/>
  </r>
  <r>
    <x v="10"/>
    <x v="1"/>
    <s v="Customer #70"/>
    <s v="Germany"/>
    <s v="1-10 Employees"/>
    <s v="Food"/>
    <n v="4348"/>
  </r>
  <r>
    <x v="10"/>
    <x v="1"/>
    <s v="Customer #105"/>
    <s v="Italy"/>
    <s v="51-100 Employees"/>
    <s v="Chemical"/>
    <n v="9734"/>
  </r>
  <r>
    <x v="10"/>
    <x v="1"/>
    <s v="Customer #62"/>
    <s v="Norway"/>
    <s v="11-50 Employees"/>
    <s v="Food"/>
    <n v="10389"/>
  </r>
  <r>
    <x v="10"/>
    <x v="1"/>
    <s v="Customer #8"/>
    <s v="Italy"/>
    <s v="11-50 Employees"/>
    <s v="Bevarage"/>
    <n v="9868"/>
  </r>
  <r>
    <x v="10"/>
    <x v="1"/>
    <s v="Customer #65"/>
    <s v="Italy"/>
    <s v="51-100 Employees"/>
    <s v="Chemical"/>
    <n v="9902"/>
  </r>
  <r>
    <x v="10"/>
    <x v="1"/>
    <s v="Customer #28"/>
    <s v="Italy"/>
    <s v="11-50 Employees"/>
    <s v="Bevarage"/>
    <n v="6744"/>
  </r>
  <r>
    <x v="10"/>
    <x v="1"/>
    <s v="Customer #53"/>
    <s v="France"/>
    <s v="11-50 Employees"/>
    <s v="Chemical"/>
    <n v="15297"/>
  </r>
  <r>
    <x v="10"/>
    <x v="1"/>
    <s v="Customer #34"/>
    <s v="Italy"/>
    <s v="11-50 Employees"/>
    <s v="Bevarage"/>
    <n v="14394"/>
  </r>
  <r>
    <x v="10"/>
    <x v="1"/>
    <s v="Customer #97"/>
    <s v="Italy"/>
    <s v="11-50 Employees"/>
    <s v="Bevarage"/>
    <n v="9848"/>
  </r>
  <r>
    <x v="10"/>
    <x v="1"/>
    <s v="Customer #12"/>
    <s v="Norway"/>
    <s v="11-50 Employees"/>
    <s v="Food"/>
    <n v="10152"/>
  </r>
  <r>
    <x v="10"/>
    <x v="1"/>
    <s v="Customer #15"/>
    <s v="Italy"/>
    <s v="51-100 Employees"/>
    <s v="Chemical"/>
    <n v="11705"/>
  </r>
  <r>
    <x v="10"/>
    <x v="1"/>
    <s v="Customer #87"/>
    <s v="Italy"/>
    <s v="11-50 Employees"/>
    <s v="Bevarage"/>
    <n v="17865"/>
  </r>
  <r>
    <x v="10"/>
    <x v="1"/>
    <s v="Customer #87"/>
    <s v="Italy"/>
    <s v="11-50 Employees"/>
    <s v="Bevarage"/>
    <n v="15079"/>
  </r>
  <r>
    <x v="10"/>
    <x v="1"/>
    <s v="Customer #7"/>
    <s v="Italy"/>
    <s v="11-50 Employees"/>
    <s v="Bevarage"/>
    <n v="19591"/>
  </r>
  <r>
    <x v="10"/>
    <x v="1"/>
    <s v="Customer #42"/>
    <s v="Norway"/>
    <s v="11-50 Employees"/>
    <s v="Food"/>
    <n v="1332"/>
  </r>
  <r>
    <x v="10"/>
    <x v="1"/>
    <s v="Customer #12"/>
    <s v="Norway"/>
    <s v="11-50 Employees"/>
    <s v="Food"/>
    <n v="17025"/>
  </r>
  <r>
    <x v="10"/>
    <x v="1"/>
    <s v="Customer #62"/>
    <s v="Norway"/>
    <s v="11-50 Employees"/>
    <s v="Food"/>
    <n v="9402"/>
  </r>
  <r>
    <x v="10"/>
    <x v="1"/>
    <s v="Customer #24"/>
    <s v="Italy"/>
    <s v="11-50 Employees"/>
    <s v="Bevarage"/>
    <n v="15546"/>
  </r>
  <r>
    <x v="11"/>
    <x v="0"/>
    <s v="Customer #53"/>
    <s v="France"/>
    <s v="11-50 Employees"/>
    <s v="Chemical"/>
    <n v="17049"/>
  </r>
  <r>
    <x v="11"/>
    <x v="0"/>
    <s v="Customer #86"/>
    <s v="Italy"/>
    <s v="100-1000 Employees"/>
    <s v="Food"/>
    <n v="3699"/>
  </r>
  <r>
    <x v="11"/>
    <x v="0"/>
    <s v="Customer #3"/>
    <s v="France"/>
    <s v="11-50 Employees"/>
    <s v="Chemical"/>
    <n v="12686"/>
  </r>
  <r>
    <x v="11"/>
    <x v="0"/>
    <s v="Customer #64"/>
    <s v="Italy"/>
    <s v="11-50 Employees"/>
    <s v="Bevarage"/>
    <n v="2734"/>
  </r>
  <r>
    <x v="11"/>
    <x v="0"/>
    <s v="Customer #4"/>
    <s v="Italy"/>
    <s v="11-50 Employees"/>
    <s v="Bevarage"/>
    <n v="5559"/>
  </r>
  <r>
    <x v="11"/>
    <x v="0"/>
    <s v="Customer #32"/>
    <s v="Norway"/>
    <s v="11-50 Employees"/>
    <s v="Food"/>
    <n v="12780"/>
  </r>
  <r>
    <x v="11"/>
    <x v="0"/>
    <s v="Customer #73"/>
    <s v="France"/>
    <s v="11-50 Employees"/>
    <s v="Chemical"/>
    <n v="17581"/>
  </r>
  <r>
    <x v="11"/>
    <x v="0"/>
    <s v="Customer #55"/>
    <s v="Italy"/>
    <s v="51-100 Employees"/>
    <s v="Chemical"/>
    <n v="9143"/>
  </r>
  <r>
    <x v="11"/>
    <x v="0"/>
    <s v="Customer #20"/>
    <s v="Germany"/>
    <s v="1-10 Employees"/>
    <s v="Food"/>
    <n v="1499"/>
  </r>
  <r>
    <x v="11"/>
    <x v="0"/>
    <s v="Customer #97"/>
    <s v="Italy"/>
    <s v="11-50 Employees"/>
    <s v="Bevarage"/>
    <n v="8582"/>
  </r>
  <r>
    <x v="11"/>
    <x v="0"/>
    <s v="Customer #88"/>
    <s v="Italy"/>
    <s v="11-50 Employees"/>
    <s v="Bevarage"/>
    <n v="9716"/>
  </r>
  <r>
    <x v="11"/>
    <x v="0"/>
    <s v="Customer #74"/>
    <s v="Italy"/>
    <s v="11-50 Employees"/>
    <s v="Bevarage"/>
    <n v="4740"/>
  </r>
  <r>
    <x v="11"/>
    <x v="0"/>
    <s v="Customer #39"/>
    <s v="Italy"/>
    <s v="11-50 Employees"/>
    <s v="Bevarage"/>
    <n v="11839"/>
  </r>
  <r>
    <x v="11"/>
    <x v="0"/>
    <s v="Customer #33"/>
    <s v="France"/>
    <s v="11-50 Employees"/>
    <s v="Chemical"/>
    <n v="16032"/>
  </r>
  <r>
    <x v="11"/>
    <x v="0"/>
    <s v="Customer #23"/>
    <s v="France"/>
    <s v="11-50 Employees"/>
    <s v="Other"/>
    <n v="1321"/>
  </r>
  <r>
    <x v="11"/>
    <x v="0"/>
    <s v="Customer #87"/>
    <s v="Italy"/>
    <s v="11-50 Employees"/>
    <s v="Bevarage"/>
    <n v="11851"/>
  </r>
  <r>
    <x v="11"/>
    <x v="0"/>
    <s v="Customer #17"/>
    <s v="Italy"/>
    <s v="11-50 Employees"/>
    <s v="Bevarage"/>
    <n v="12649"/>
  </r>
  <r>
    <x v="11"/>
    <x v="0"/>
    <s v="Customer #39"/>
    <s v="Italy"/>
    <s v="11-50 Employees"/>
    <s v="Bevarage"/>
    <n v="5156"/>
  </r>
  <r>
    <x v="11"/>
    <x v="0"/>
    <s v="Customer #23"/>
    <s v="France"/>
    <s v="11-50 Employees"/>
    <s v="Other"/>
    <n v="3259"/>
  </r>
  <r>
    <x v="11"/>
    <x v="0"/>
    <s v="Customer #92"/>
    <s v="Norway"/>
    <s v="11-50 Employees"/>
    <s v="Food"/>
    <n v="11053"/>
  </r>
  <r>
    <x v="11"/>
    <x v="1"/>
    <s v="Customer #11"/>
    <s v="USA"/>
    <s v="51-100 Employees"/>
    <s v="Bevarage"/>
    <n v="7228"/>
  </r>
  <r>
    <x v="11"/>
    <x v="1"/>
    <s v="Customer #91"/>
    <s v="USA"/>
    <s v="51-100 Employees"/>
    <s v="Bevarage"/>
    <n v="2929"/>
  </r>
  <r>
    <x v="11"/>
    <x v="1"/>
    <s v="Customer #14"/>
    <s v="Italy"/>
    <s v="11-50 Employees"/>
    <s v="Bevarage"/>
    <n v="4882"/>
  </r>
  <r>
    <x v="11"/>
    <x v="1"/>
    <s v="Customer #53"/>
    <s v="France"/>
    <s v="11-50 Employees"/>
    <s v="Chemical"/>
    <n v="4054"/>
  </r>
  <r>
    <x v="11"/>
    <x v="1"/>
    <s v="Customer #48"/>
    <s v="Italy"/>
    <s v="11-50 Employees"/>
    <s v="Bevarage"/>
    <n v="15960"/>
  </r>
  <r>
    <x v="11"/>
    <x v="1"/>
    <s v="Customer #27"/>
    <s v="Italy"/>
    <s v="11-50 Employees"/>
    <s v="Bevarage"/>
    <n v="5030"/>
  </r>
  <r>
    <x v="11"/>
    <x v="1"/>
    <s v="Customer #67"/>
    <s v="Italy"/>
    <s v="11-50 Employees"/>
    <s v="Bevarage"/>
    <n v="1920"/>
  </r>
  <r>
    <x v="11"/>
    <x v="1"/>
    <s v="Customer #69"/>
    <s v="Italy"/>
    <s v="11-50 Employees"/>
    <s v="Bevarage"/>
    <n v="11214"/>
  </r>
  <r>
    <x v="11"/>
    <x v="1"/>
    <s v="Customer #8"/>
    <s v="Italy"/>
    <s v="11-50 Employees"/>
    <s v="Bevarage"/>
    <n v="3637"/>
  </r>
  <r>
    <x v="11"/>
    <x v="1"/>
    <s v="Customer #13"/>
    <s v="France"/>
    <s v="11-50 Employees"/>
    <s v="Chemical"/>
    <n v="5111"/>
  </r>
  <r>
    <x v="11"/>
    <x v="1"/>
    <s v="Customer #62"/>
    <s v="Norway"/>
    <s v="11-50 Employees"/>
    <s v="Food"/>
    <n v="1834"/>
  </r>
  <r>
    <x v="11"/>
    <x v="1"/>
    <s v="Customer #84"/>
    <s v="Italy"/>
    <s v="11-50 Employees"/>
    <s v="Bevarage"/>
    <n v="15647"/>
  </r>
  <r>
    <x v="11"/>
    <x v="1"/>
    <s v="Customer #36"/>
    <s v="Italy"/>
    <s v="100-1000 Employees"/>
    <s v="Food"/>
    <n v="94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57FD2-C132-42F0-9429-AA9811EF0156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B8:C21" firstHeaderRow="1" firstDataRow="1" firstDataCol="1" rowPageCount="1" colPageCount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item="0" hier="-1"/>
  </pageFields>
  <dataFields count="1">
    <dataField name="Sum of Revenue" fld="6" baseField="0" baseItem="0"/>
  </dataFields>
  <formats count="8">
    <format dxfId="23">
      <pivotArea collapsedLevelsAreSubtotals="1" fieldPosition="0">
        <references count="1">
          <reference field="0" count="0"/>
        </references>
      </pivotArea>
    </format>
    <format dxfId="22">
      <pivotArea grandRow="1" outline="0" collapsedLevelsAreSubtotals="1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36C4B-E82D-4F21-A03F-B2337E8691AA}" name="PivotTable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E8:F21" firstHeaderRow="1" firstDataRow="1" firstDataCol="1" rowPageCount="1" colPageCount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item="1" hier="-1"/>
  </pageFields>
  <dataFields count="1">
    <dataField name="Sum of Revenue" fld="6" baseField="0" baseItem="0"/>
  </dataFields>
  <formats count="8">
    <format dxfId="31">
      <pivotArea collapsedLevelsAreSubtotals="1" fieldPosition="0">
        <references count="1">
          <reference field="0" count="0"/>
        </references>
      </pivotArea>
    </format>
    <format dxfId="30">
      <pivotArea grandRow="1" outline="0" collapsedLevelsAreSubtotals="1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1"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0CDFA-D43C-4F1C-B8DB-8D209FA69245}">
  <dimension ref="B2:O565"/>
  <sheetViews>
    <sheetView zoomScale="85" zoomScaleNormal="85" workbookViewId="0">
      <selection activeCell="L24" sqref="L24"/>
    </sheetView>
  </sheetViews>
  <sheetFormatPr defaultRowHeight="13.2" x14ac:dyDescent="0.3"/>
  <cols>
    <col min="1" max="1" width="8.88671875" style="2"/>
    <col min="2" max="2" width="13.77734375" style="2" customWidth="1"/>
    <col min="3" max="3" width="13.6640625" style="2" customWidth="1"/>
    <col min="4" max="4" width="25.21875" style="2" customWidth="1"/>
    <col min="5" max="5" width="22.44140625" style="2" customWidth="1"/>
    <col min="6" max="6" width="25.5546875" style="2" customWidth="1"/>
    <col min="7" max="7" width="18.6640625" style="2" customWidth="1"/>
    <col min="8" max="8" width="16.5546875" style="2" customWidth="1"/>
    <col min="9" max="9" width="8.88671875" style="2"/>
    <col min="10" max="10" width="13.109375" style="2" customWidth="1"/>
    <col min="11" max="11" width="17.21875" style="2" customWidth="1"/>
    <col min="12" max="12" width="13.109375" style="2" customWidth="1"/>
    <col min="13" max="13" width="17.5546875" style="2" customWidth="1"/>
    <col min="14" max="15" width="20.6640625" style="2" customWidth="1"/>
    <col min="16" max="16384" width="8.88671875" style="2"/>
  </cols>
  <sheetData>
    <row r="2" spans="2:15" x14ac:dyDescent="0.3">
      <c r="J2" s="3" t="s">
        <v>7</v>
      </c>
      <c r="K2" s="3" t="s">
        <v>141</v>
      </c>
      <c r="L2" s="3" t="s">
        <v>1</v>
      </c>
      <c r="M2" s="3" t="s">
        <v>3</v>
      </c>
      <c r="N2" s="3" t="s">
        <v>4</v>
      </c>
      <c r="O2" s="3" t="s">
        <v>5</v>
      </c>
    </row>
    <row r="3" spans="2:15" x14ac:dyDescent="0.3">
      <c r="J3" s="4" t="s">
        <v>8</v>
      </c>
      <c r="K3" s="15">
        <v>160000</v>
      </c>
      <c r="L3" s="4">
        <v>2022</v>
      </c>
      <c r="M3" s="4" t="s">
        <v>30</v>
      </c>
      <c r="N3" s="4" t="s">
        <v>35</v>
      </c>
      <c r="O3" s="4" t="s">
        <v>134</v>
      </c>
    </row>
    <row r="4" spans="2:15" x14ac:dyDescent="0.3">
      <c r="J4" s="4" t="s">
        <v>9</v>
      </c>
      <c r="K4" s="15">
        <v>155000</v>
      </c>
      <c r="L4" s="4">
        <v>2023</v>
      </c>
      <c r="M4" s="4" t="s">
        <v>31</v>
      </c>
      <c r="N4" s="4" t="s">
        <v>36</v>
      </c>
      <c r="O4" s="4" t="s">
        <v>135</v>
      </c>
    </row>
    <row r="5" spans="2:15" x14ac:dyDescent="0.3">
      <c r="J5" s="4" t="s">
        <v>10</v>
      </c>
      <c r="K5" s="15">
        <v>175000</v>
      </c>
      <c r="L5" s="4"/>
      <c r="M5" s="4" t="s">
        <v>32</v>
      </c>
      <c r="N5" s="4" t="s">
        <v>37</v>
      </c>
      <c r="O5" s="4" t="s">
        <v>136</v>
      </c>
    </row>
    <row r="6" spans="2:15" x14ac:dyDescent="0.3">
      <c r="B6" s="5" t="s">
        <v>0</v>
      </c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J6" s="4" t="s">
        <v>11</v>
      </c>
      <c r="K6" s="15">
        <v>140000</v>
      </c>
      <c r="L6" s="4"/>
      <c r="M6" s="4" t="s">
        <v>33</v>
      </c>
      <c r="N6" s="4" t="s">
        <v>38</v>
      </c>
      <c r="O6" s="4" t="s">
        <v>137</v>
      </c>
    </row>
    <row r="7" spans="2:15" x14ac:dyDescent="0.3">
      <c r="B7" s="6" t="s">
        <v>8</v>
      </c>
      <c r="C7" s="6">
        <v>2022</v>
      </c>
      <c r="D7" s="6" t="s">
        <v>39</v>
      </c>
      <c r="E7" s="6" t="str">
        <f>_xlfn.SWITCH(RIGHT(D7,1), "0", "Germany", "1", "USA", "2", "Norway", "3", "France", "Italy")</f>
        <v>Italy</v>
      </c>
      <c r="F7" s="6" t="s">
        <v>36</v>
      </c>
      <c r="G7" s="6" t="s">
        <v>136</v>
      </c>
      <c r="H7" s="7">
        <v>3200</v>
      </c>
      <c r="J7" s="4" t="s">
        <v>12</v>
      </c>
      <c r="K7" s="15">
        <v>175000</v>
      </c>
      <c r="L7" s="4"/>
      <c r="M7" s="4" t="s">
        <v>34</v>
      </c>
      <c r="N7" s="4"/>
      <c r="O7" s="4"/>
    </row>
    <row r="8" spans="2:15" x14ac:dyDescent="0.3">
      <c r="B8" s="6" t="s">
        <v>8</v>
      </c>
      <c r="C8" s="6">
        <v>2022</v>
      </c>
      <c r="D8" s="6" t="s">
        <v>40</v>
      </c>
      <c r="E8" s="6" t="str">
        <f t="shared" ref="E8:E71" si="0">_xlfn.SWITCH(RIGHT(D8,1), "0", "Germany", "1", "USA", "2", "Norway", "3", "France", "Italy")</f>
        <v>Italy</v>
      </c>
      <c r="F8" s="6" t="s">
        <v>38</v>
      </c>
      <c r="G8" s="6" t="s">
        <v>135</v>
      </c>
      <c r="H8" s="7">
        <v>5315</v>
      </c>
      <c r="J8" s="4" t="s">
        <v>13</v>
      </c>
      <c r="K8" s="15">
        <v>125000</v>
      </c>
      <c r="L8" s="4"/>
      <c r="M8" s="4"/>
      <c r="N8" s="4"/>
      <c r="O8" s="4"/>
    </row>
    <row r="9" spans="2:15" x14ac:dyDescent="0.3">
      <c r="B9" s="6" t="s">
        <v>8</v>
      </c>
      <c r="C9" s="6">
        <v>2022</v>
      </c>
      <c r="D9" s="6" t="s">
        <v>41</v>
      </c>
      <c r="E9" s="6" t="str">
        <f t="shared" si="0"/>
        <v>Germany</v>
      </c>
      <c r="F9" s="6" t="s">
        <v>35</v>
      </c>
      <c r="G9" s="6" t="s">
        <v>135</v>
      </c>
      <c r="H9" s="7">
        <v>15499</v>
      </c>
      <c r="J9" s="4" t="s">
        <v>14</v>
      </c>
      <c r="K9" s="15">
        <v>130000</v>
      </c>
      <c r="L9" s="4"/>
      <c r="M9" s="4"/>
      <c r="N9" s="4"/>
      <c r="O9" s="4"/>
    </row>
    <row r="10" spans="2:15" x14ac:dyDescent="0.3">
      <c r="B10" s="6" t="s">
        <v>8</v>
      </c>
      <c r="C10" s="6">
        <v>2022</v>
      </c>
      <c r="D10" s="6" t="s">
        <v>42</v>
      </c>
      <c r="E10" s="6" t="str">
        <f t="shared" si="0"/>
        <v>Italy</v>
      </c>
      <c r="F10" s="6" t="s">
        <v>38</v>
      </c>
      <c r="G10" s="6" t="s">
        <v>135</v>
      </c>
      <c r="H10" s="7">
        <v>13290</v>
      </c>
      <c r="J10" s="4" t="s">
        <v>15</v>
      </c>
      <c r="K10" s="15">
        <v>160000</v>
      </c>
      <c r="L10" s="4"/>
      <c r="M10" s="4"/>
      <c r="N10" s="4"/>
      <c r="O10" s="4"/>
    </row>
    <row r="11" spans="2:15" x14ac:dyDescent="0.3">
      <c r="B11" s="6" t="s">
        <v>8</v>
      </c>
      <c r="C11" s="6">
        <v>2022</v>
      </c>
      <c r="D11" s="6" t="s">
        <v>43</v>
      </c>
      <c r="E11" s="6" t="str">
        <f t="shared" si="0"/>
        <v>Italy</v>
      </c>
      <c r="F11" s="6" t="s">
        <v>37</v>
      </c>
      <c r="G11" s="6" t="s">
        <v>134</v>
      </c>
      <c r="H11" s="7">
        <v>7327</v>
      </c>
      <c r="J11" s="4" t="s">
        <v>16</v>
      </c>
      <c r="K11" s="15">
        <v>220000</v>
      </c>
      <c r="L11" s="4"/>
      <c r="M11" s="4"/>
      <c r="N11" s="4"/>
      <c r="O11" s="4"/>
    </row>
    <row r="12" spans="2:15" x14ac:dyDescent="0.3">
      <c r="B12" s="6" t="s">
        <v>8</v>
      </c>
      <c r="C12" s="6">
        <v>2022</v>
      </c>
      <c r="D12" s="6" t="s">
        <v>44</v>
      </c>
      <c r="E12" s="6" t="str">
        <f t="shared" si="0"/>
        <v>USA</v>
      </c>
      <c r="F12" s="6" t="s">
        <v>37</v>
      </c>
      <c r="G12" s="6" t="s">
        <v>136</v>
      </c>
      <c r="H12" s="7">
        <v>5315</v>
      </c>
      <c r="J12" s="4" t="s">
        <v>17</v>
      </c>
      <c r="K12" s="15">
        <v>200000</v>
      </c>
      <c r="L12" s="4"/>
      <c r="M12" s="4"/>
      <c r="N12" s="4"/>
      <c r="O12" s="4"/>
    </row>
    <row r="13" spans="2:15" x14ac:dyDescent="0.3">
      <c r="B13" s="6" t="s">
        <v>8</v>
      </c>
      <c r="C13" s="6">
        <v>2022</v>
      </c>
      <c r="D13" s="6" t="s">
        <v>45</v>
      </c>
      <c r="E13" s="6" t="str">
        <f t="shared" si="0"/>
        <v>France</v>
      </c>
      <c r="F13" s="6" t="s">
        <v>36</v>
      </c>
      <c r="G13" s="6" t="s">
        <v>134</v>
      </c>
      <c r="H13" s="7">
        <v>5196</v>
      </c>
      <c r="J13" s="4" t="s">
        <v>18</v>
      </c>
      <c r="K13" s="15">
        <v>170000</v>
      </c>
      <c r="L13" s="4"/>
      <c r="M13" s="4"/>
      <c r="N13" s="4"/>
      <c r="O13" s="4"/>
    </row>
    <row r="14" spans="2:15" x14ac:dyDescent="0.3">
      <c r="B14" s="6" t="s">
        <v>8</v>
      </c>
      <c r="C14" s="6">
        <v>2022</v>
      </c>
      <c r="D14" s="6" t="s">
        <v>46</v>
      </c>
      <c r="E14" s="6" t="str">
        <f t="shared" si="0"/>
        <v>Italy</v>
      </c>
      <c r="F14" s="6" t="s">
        <v>36</v>
      </c>
      <c r="G14" s="6" t="s">
        <v>137</v>
      </c>
      <c r="H14" s="7">
        <v>2787</v>
      </c>
      <c r="J14" s="4" t="s">
        <v>19</v>
      </c>
      <c r="K14" s="15">
        <v>140000</v>
      </c>
      <c r="L14" s="4"/>
      <c r="M14" s="4"/>
      <c r="N14" s="4"/>
      <c r="O14" s="4"/>
    </row>
    <row r="15" spans="2:15" x14ac:dyDescent="0.3">
      <c r="B15" s="6" t="s">
        <v>8</v>
      </c>
      <c r="C15" s="6">
        <v>2022</v>
      </c>
      <c r="D15" s="6" t="s">
        <v>47</v>
      </c>
      <c r="E15" s="6" t="str">
        <f t="shared" si="0"/>
        <v>Norway</v>
      </c>
      <c r="F15" s="6" t="s">
        <v>36</v>
      </c>
      <c r="G15" s="6" t="s">
        <v>135</v>
      </c>
      <c r="H15" s="7">
        <v>11355</v>
      </c>
      <c r="K15" s="16">
        <f>SUM(K3:K14)</f>
        <v>1950000</v>
      </c>
    </row>
    <row r="16" spans="2:15" x14ac:dyDescent="0.3">
      <c r="B16" s="6" t="s">
        <v>8</v>
      </c>
      <c r="C16" s="6">
        <v>2022</v>
      </c>
      <c r="D16" s="6" t="s">
        <v>48</v>
      </c>
      <c r="E16" s="6" t="str">
        <f t="shared" si="0"/>
        <v>France</v>
      </c>
      <c r="F16" s="6" t="s">
        <v>36</v>
      </c>
      <c r="G16" s="6" t="s">
        <v>134</v>
      </c>
      <c r="H16" s="7">
        <v>17975</v>
      </c>
    </row>
    <row r="17" spans="2:8" x14ac:dyDescent="0.3">
      <c r="B17" s="6" t="s">
        <v>8</v>
      </c>
      <c r="C17" s="6">
        <v>2022</v>
      </c>
      <c r="D17" s="6" t="s">
        <v>49</v>
      </c>
      <c r="E17" s="6" t="str">
        <f t="shared" si="0"/>
        <v>Italy</v>
      </c>
      <c r="F17" s="6" t="s">
        <v>36</v>
      </c>
      <c r="G17" s="6" t="s">
        <v>136</v>
      </c>
      <c r="H17" s="7">
        <v>11992</v>
      </c>
    </row>
    <row r="18" spans="2:8" x14ac:dyDescent="0.3">
      <c r="B18" s="6" t="s">
        <v>8</v>
      </c>
      <c r="C18" s="6">
        <v>2022</v>
      </c>
      <c r="D18" s="6" t="s">
        <v>50</v>
      </c>
      <c r="E18" s="6" t="str">
        <f t="shared" si="0"/>
        <v>Germany</v>
      </c>
      <c r="F18" s="6" t="s">
        <v>35</v>
      </c>
      <c r="G18" s="6" t="s">
        <v>135</v>
      </c>
      <c r="H18" s="7">
        <v>15521</v>
      </c>
    </row>
    <row r="19" spans="2:8" x14ac:dyDescent="0.3">
      <c r="B19" s="6" t="s">
        <v>8</v>
      </c>
      <c r="C19" s="6">
        <v>2022</v>
      </c>
      <c r="D19" s="6" t="s">
        <v>51</v>
      </c>
      <c r="E19" s="6" t="str">
        <f t="shared" si="0"/>
        <v>Germany</v>
      </c>
      <c r="F19" s="6" t="s">
        <v>35</v>
      </c>
      <c r="G19" s="6" t="s">
        <v>135</v>
      </c>
      <c r="H19" s="7">
        <v>13922</v>
      </c>
    </row>
    <row r="20" spans="2:8" x14ac:dyDescent="0.3">
      <c r="B20" s="6" t="s">
        <v>8</v>
      </c>
      <c r="C20" s="6">
        <v>2022</v>
      </c>
      <c r="D20" s="6" t="s">
        <v>52</v>
      </c>
      <c r="E20" s="6" t="str">
        <f t="shared" si="0"/>
        <v>Italy</v>
      </c>
      <c r="F20" s="6" t="s">
        <v>36</v>
      </c>
      <c r="G20" s="6" t="s">
        <v>136</v>
      </c>
      <c r="H20" s="7">
        <v>3245</v>
      </c>
    </row>
    <row r="21" spans="2:8" x14ac:dyDescent="0.3">
      <c r="B21" s="6" t="s">
        <v>8</v>
      </c>
      <c r="C21" s="6">
        <v>2022</v>
      </c>
      <c r="D21" s="6" t="s">
        <v>53</v>
      </c>
      <c r="E21" s="6" t="str">
        <f t="shared" si="0"/>
        <v>France</v>
      </c>
      <c r="F21" s="6" t="s">
        <v>36</v>
      </c>
      <c r="G21" s="6" t="s">
        <v>134</v>
      </c>
      <c r="H21" s="7">
        <v>8991</v>
      </c>
    </row>
    <row r="22" spans="2:8" x14ac:dyDescent="0.3">
      <c r="B22" s="6" t="s">
        <v>8</v>
      </c>
      <c r="C22" s="6">
        <v>2022</v>
      </c>
      <c r="D22" s="6" t="s">
        <v>54</v>
      </c>
      <c r="E22" s="6" t="str">
        <f t="shared" si="0"/>
        <v>France</v>
      </c>
      <c r="F22" s="6" t="s">
        <v>36</v>
      </c>
      <c r="G22" s="6" t="s">
        <v>137</v>
      </c>
      <c r="H22" s="7">
        <v>13054</v>
      </c>
    </row>
    <row r="23" spans="2:8" x14ac:dyDescent="0.3">
      <c r="B23" s="6" t="s">
        <v>8</v>
      </c>
      <c r="C23" s="6">
        <v>2023</v>
      </c>
      <c r="D23" s="6" t="s">
        <v>55</v>
      </c>
      <c r="E23" s="6" t="str">
        <f t="shared" si="0"/>
        <v>Norway</v>
      </c>
      <c r="F23" s="6" t="s">
        <v>36</v>
      </c>
      <c r="G23" s="6" t="s">
        <v>135</v>
      </c>
      <c r="H23" s="7">
        <v>3565</v>
      </c>
    </row>
    <row r="24" spans="2:8" x14ac:dyDescent="0.3">
      <c r="B24" s="6" t="s">
        <v>8</v>
      </c>
      <c r="C24" s="6">
        <v>2023</v>
      </c>
      <c r="D24" s="6" t="s">
        <v>24</v>
      </c>
      <c r="E24" s="6" t="str">
        <f t="shared" si="0"/>
        <v>Italy</v>
      </c>
      <c r="F24" s="6" t="s">
        <v>37</v>
      </c>
      <c r="G24" s="6" t="s">
        <v>134</v>
      </c>
      <c r="H24" s="7">
        <v>13021</v>
      </c>
    </row>
    <row r="25" spans="2:8" x14ac:dyDescent="0.3">
      <c r="B25" s="6" t="s">
        <v>8</v>
      </c>
      <c r="C25" s="6">
        <v>2023</v>
      </c>
      <c r="D25" s="6" t="s">
        <v>56</v>
      </c>
      <c r="E25" s="6" t="str">
        <f t="shared" si="0"/>
        <v>Norway</v>
      </c>
      <c r="F25" s="6" t="s">
        <v>36</v>
      </c>
      <c r="G25" s="6" t="s">
        <v>135</v>
      </c>
      <c r="H25" s="7">
        <v>2218</v>
      </c>
    </row>
    <row r="26" spans="2:8" x14ac:dyDescent="0.3">
      <c r="B26" s="6" t="s">
        <v>8</v>
      </c>
      <c r="C26" s="6">
        <v>2023</v>
      </c>
      <c r="D26" s="6" t="s">
        <v>57</v>
      </c>
      <c r="E26" s="6" t="str">
        <f t="shared" si="0"/>
        <v>France</v>
      </c>
      <c r="F26" s="6" t="s">
        <v>36</v>
      </c>
      <c r="G26" s="6" t="s">
        <v>134</v>
      </c>
      <c r="H26" s="7">
        <v>4436</v>
      </c>
    </row>
    <row r="27" spans="2:8" x14ac:dyDescent="0.3">
      <c r="B27" s="6" t="s">
        <v>8</v>
      </c>
      <c r="C27" s="6">
        <v>2023</v>
      </c>
      <c r="D27" s="6" t="s">
        <v>40</v>
      </c>
      <c r="E27" s="6" t="str">
        <f t="shared" si="0"/>
        <v>Italy</v>
      </c>
      <c r="F27" s="6" t="s">
        <v>38</v>
      </c>
      <c r="G27" s="6" t="s">
        <v>135</v>
      </c>
      <c r="H27" s="7">
        <v>15308</v>
      </c>
    </row>
    <row r="28" spans="2:8" x14ac:dyDescent="0.3">
      <c r="B28" s="6" t="s">
        <v>8</v>
      </c>
      <c r="C28" s="6">
        <v>2023</v>
      </c>
      <c r="D28" s="6" t="s">
        <v>58</v>
      </c>
      <c r="E28" s="6" t="str">
        <f t="shared" si="0"/>
        <v>Norway</v>
      </c>
      <c r="F28" s="6" t="s">
        <v>36</v>
      </c>
      <c r="G28" s="6" t="s">
        <v>135</v>
      </c>
      <c r="H28" s="7">
        <v>9755</v>
      </c>
    </row>
    <row r="29" spans="2:8" x14ac:dyDescent="0.3">
      <c r="B29" s="6" t="s">
        <v>8</v>
      </c>
      <c r="C29" s="6">
        <v>2023</v>
      </c>
      <c r="D29" s="6" t="s">
        <v>59</v>
      </c>
      <c r="E29" s="6" t="str">
        <f t="shared" si="0"/>
        <v>USA</v>
      </c>
      <c r="F29" s="6" t="s">
        <v>37</v>
      </c>
      <c r="G29" s="6" t="s">
        <v>136</v>
      </c>
      <c r="H29" s="7">
        <v>11592</v>
      </c>
    </row>
    <row r="30" spans="2:8" x14ac:dyDescent="0.3">
      <c r="B30" s="6" t="s">
        <v>8</v>
      </c>
      <c r="C30" s="6">
        <v>2023</v>
      </c>
      <c r="D30" s="6" t="s">
        <v>60</v>
      </c>
      <c r="E30" s="6" t="str">
        <f t="shared" si="0"/>
        <v>Italy</v>
      </c>
      <c r="F30" s="6" t="s">
        <v>38</v>
      </c>
      <c r="G30" s="6" t="s">
        <v>135</v>
      </c>
      <c r="H30" s="7">
        <v>5793</v>
      </c>
    </row>
    <row r="31" spans="2:8" x14ac:dyDescent="0.3">
      <c r="B31" s="6" t="s">
        <v>8</v>
      </c>
      <c r="C31" s="6">
        <v>2023</v>
      </c>
      <c r="D31" s="6" t="s">
        <v>51</v>
      </c>
      <c r="E31" s="6" t="str">
        <f t="shared" si="0"/>
        <v>Germany</v>
      </c>
      <c r="F31" s="6" t="s">
        <v>35</v>
      </c>
      <c r="G31" s="6" t="s">
        <v>135</v>
      </c>
      <c r="H31" s="7">
        <v>3746</v>
      </c>
    </row>
    <row r="32" spans="2:8" x14ac:dyDescent="0.3">
      <c r="B32" s="6" t="s">
        <v>8</v>
      </c>
      <c r="C32" s="6">
        <v>2023</v>
      </c>
      <c r="D32" s="6" t="s">
        <v>21</v>
      </c>
      <c r="E32" s="6" t="str">
        <f t="shared" si="0"/>
        <v>Norway</v>
      </c>
      <c r="F32" s="6" t="s">
        <v>36</v>
      </c>
      <c r="G32" s="6" t="s">
        <v>135</v>
      </c>
      <c r="H32" s="7">
        <v>14382</v>
      </c>
    </row>
    <row r="33" spans="2:8" x14ac:dyDescent="0.3">
      <c r="B33" s="6" t="s">
        <v>8</v>
      </c>
      <c r="C33" s="6">
        <v>2023</v>
      </c>
      <c r="D33" s="6" t="s">
        <v>61</v>
      </c>
      <c r="E33" s="6" t="str">
        <f t="shared" si="0"/>
        <v>Norway</v>
      </c>
      <c r="F33" s="6" t="s">
        <v>36</v>
      </c>
      <c r="G33" s="6" t="s">
        <v>135</v>
      </c>
      <c r="H33" s="7">
        <v>7325</v>
      </c>
    </row>
    <row r="34" spans="2:8" x14ac:dyDescent="0.3">
      <c r="B34" s="6" t="s">
        <v>8</v>
      </c>
      <c r="C34" s="6">
        <v>2023</v>
      </c>
      <c r="D34" s="6" t="s">
        <v>62</v>
      </c>
      <c r="E34" s="6" t="str">
        <f t="shared" si="0"/>
        <v>Italy</v>
      </c>
      <c r="F34" s="6" t="s">
        <v>37</v>
      </c>
      <c r="G34" s="6" t="s">
        <v>134</v>
      </c>
      <c r="H34" s="7">
        <v>2917</v>
      </c>
    </row>
    <row r="35" spans="2:8" x14ac:dyDescent="0.3">
      <c r="B35" s="6" t="s">
        <v>8</v>
      </c>
      <c r="C35" s="6">
        <v>2023</v>
      </c>
      <c r="D35" s="6" t="s">
        <v>63</v>
      </c>
      <c r="E35" s="6" t="str">
        <f t="shared" si="0"/>
        <v>Italy</v>
      </c>
      <c r="F35" s="6" t="s">
        <v>37</v>
      </c>
      <c r="G35" s="6" t="s">
        <v>134</v>
      </c>
      <c r="H35" s="7">
        <v>11045</v>
      </c>
    </row>
    <row r="36" spans="2:8" x14ac:dyDescent="0.3">
      <c r="B36" s="6" t="s">
        <v>9</v>
      </c>
      <c r="C36" s="6">
        <v>2022</v>
      </c>
      <c r="D36" s="6" t="s">
        <v>64</v>
      </c>
      <c r="E36" s="6" t="str">
        <f t="shared" si="0"/>
        <v>Italy</v>
      </c>
      <c r="F36" s="6" t="s">
        <v>36</v>
      </c>
      <c r="G36" s="6" t="s">
        <v>136</v>
      </c>
      <c r="H36" s="7">
        <v>10919</v>
      </c>
    </row>
    <row r="37" spans="2:8" x14ac:dyDescent="0.3">
      <c r="B37" s="6" t="s">
        <v>9</v>
      </c>
      <c r="C37" s="6">
        <v>2022</v>
      </c>
      <c r="D37" s="6" t="s">
        <v>65</v>
      </c>
      <c r="E37" s="6" t="str">
        <f t="shared" si="0"/>
        <v>Germany</v>
      </c>
      <c r="F37" s="6" t="s">
        <v>35</v>
      </c>
      <c r="G37" s="6" t="s">
        <v>135</v>
      </c>
      <c r="H37" s="7">
        <v>14039</v>
      </c>
    </row>
    <row r="38" spans="2:8" x14ac:dyDescent="0.3">
      <c r="B38" s="6" t="s">
        <v>9</v>
      </c>
      <c r="C38" s="6">
        <v>2022</v>
      </c>
      <c r="D38" s="6" t="s">
        <v>66</v>
      </c>
      <c r="E38" s="6" t="str">
        <f t="shared" si="0"/>
        <v>Italy</v>
      </c>
      <c r="F38" s="6" t="s">
        <v>36</v>
      </c>
      <c r="G38" s="6" t="s">
        <v>136</v>
      </c>
      <c r="H38" s="7">
        <v>9560</v>
      </c>
    </row>
    <row r="39" spans="2:8" x14ac:dyDescent="0.3">
      <c r="B39" s="6" t="s">
        <v>9</v>
      </c>
      <c r="C39" s="6">
        <v>2022</v>
      </c>
      <c r="D39" s="6" t="s">
        <v>50</v>
      </c>
      <c r="E39" s="6" t="str">
        <f t="shared" si="0"/>
        <v>Germany</v>
      </c>
      <c r="F39" s="6" t="s">
        <v>35</v>
      </c>
      <c r="G39" s="6" t="s">
        <v>135</v>
      </c>
      <c r="H39" s="7">
        <v>5372</v>
      </c>
    </row>
    <row r="40" spans="2:8" x14ac:dyDescent="0.3">
      <c r="B40" s="6" t="s">
        <v>9</v>
      </c>
      <c r="C40" s="6">
        <v>2022</v>
      </c>
      <c r="D40" s="6" t="s">
        <v>67</v>
      </c>
      <c r="E40" s="6" t="str">
        <f t="shared" si="0"/>
        <v>Germany</v>
      </c>
      <c r="F40" s="6" t="s">
        <v>35</v>
      </c>
      <c r="G40" s="6" t="s">
        <v>135</v>
      </c>
      <c r="H40" s="7">
        <v>15354</v>
      </c>
    </row>
    <row r="41" spans="2:8" x14ac:dyDescent="0.3">
      <c r="B41" s="6" t="s">
        <v>9</v>
      </c>
      <c r="C41" s="6">
        <v>2022</v>
      </c>
      <c r="D41" s="6" t="s">
        <v>68</v>
      </c>
      <c r="E41" s="6" t="str">
        <f t="shared" si="0"/>
        <v>Norway</v>
      </c>
      <c r="F41" s="6" t="s">
        <v>36</v>
      </c>
      <c r="G41" s="6" t="s">
        <v>135</v>
      </c>
      <c r="H41" s="7">
        <v>1815</v>
      </c>
    </row>
    <row r="42" spans="2:8" x14ac:dyDescent="0.3">
      <c r="B42" s="6" t="s">
        <v>9</v>
      </c>
      <c r="C42" s="6">
        <v>2022</v>
      </c>
      <c r="D42" s="6" t="s">
        <v>64</v>
      </c>
      <c r="E42" s="6" t="str">
        <f t="shared" si="0"/>
        <v>Italy</v>
      </c>
      <c r="F42" s="6" t="s">
        <v>36</v>
      </c>
      <c r="G42" s="6" t="s">
        <v>136</v>
      </c>
      <c r="H42" s="7">
        <v>2600</v>
      </c>
    </row>
    <row r="43" spans="2:8" x14ac:dyDescent="0.3">
      <c r="B43" s="6" t="s">
        <v>9</v>
      </c>
      <c r="C43" s="6">
        <v>2022</v>
      </c>
      <c r="D43" s="6" t="s">
        <v>69</v>
      </c>
      <c r="E43" s="6" t="str">
        <f t="shared" si="0"/>
        <v>Italy</v>
      </c>
      <c r="F43" s="6" t="s">
        <v>38</v>
      </c>
      <c r="G43" s="6" t="s">
        <v>135</v>
      </c>
      <c r="H43" s="7">
        <v>17809</v>
      </c>
    </row>
    <row r="44" spans="2:8" x14ac:dyDescent="0.3">
      <c r="B44" s="6" t="s">
        <v>9</v>
      </c>
      <c r="C44" s="6">
        <v>2022</v>
      </c>
      <c r="D44" s="6" t="s">
        <v>26</v>
      </c>
      <c r="E44" s="6" t="str">
        <f t="shared" si="0"/>
        <v>Italy</v>
      </c>
      <c r="F44" s="6" t="s">
        <v>36</v>
      </c>
      <c r="G44" s="6" t="s">
        <v>136</v>
      </c>
      <c r="H44" s="7">
        <v>16256</v>
      </c>
    </row>
    <row r="45" spans="2:8" x14ac:dyDescent="0.3">
      <c r="B45" s="6" t="s">
        <v>9</v>
      </c>
      <c r="C45" s="6">
        <v>2022</v>
      </c>
      <c r="D45" s="6" t="s">
        <v>70</v>
      </c>
      <c r="E45" s="6" t="str">
        <f t="shared" si="0"/>
        <v>Italy</v>
      </c>
      <c r="F45" s="6" t="s">
        <v>36</v>
      </c>
      <c r="G45" s="6" t="s">
        <v>136</v>
      </c>
      <c r="H45" s="7">
        <v>10799</v>
      </c>
    </row>
    <row r="46" spans="2:8" x14ac:dyDescent="0.3">
      <c r="B46" s="6" t="s">
        <v>9</v>
      </c>
      <c r="C46" s="6">
        <v>2022</v>
      </c>
      <c r="D46" s="6" t="s">
        <v>65</v>
      </c>
      <c r="E46" s="6" t="str">
        <f t="shared" si="0"/>
        <v>Germany</v>
      </c>
      <c r="F46" s="6" t="s">
        <v>35</v>
      </c>
      <c r="G46" s="6" t="s">
        <v>135</v>
      </c>
      <c r="H46" s="7">
        <v>10307</v>
      </c>
    </row>
    <row r="47" spans="2:8" x14ac:dyDescent="0.3">
      <c r="B47" s="6" t="s">
        <v>9</v>
      </c>
      <c r="C47" s="6">
        <v>2023</v>
      </c>
      <c r="D47" s="6" t="s">
        <v>71</v>
      </c>
      <c r="E47" s="6" t="str">
        <f t="shared" si="0"/>
        <v>Italy</v>
      </c>
      <c r="F47" s="6" t="s">
        <v>36</v>
      </c>
      <c r="G47" s="6" t="s">
        <v>136</v>
      </c>
      <c r="H47" s="7">
        <v>1875</v>
      </c>
    </row>
    <row r="48" spans="2:8" x14ac:dyDescent="0.3">
      <c r="B48" s="6" t="s">
        <v>9</v>
      </c>
      <c r="C48" s="6">
        <v>2023</v>
      </c>
      <c r="D48" s="6" t="s">
        <v>72</v>
      </c>
      <c r="E48" s="6" t="str">
        <f t="shared" si="0"/>
        <v>Italy</v>
      </c>
      <c r="F48" s="6" t="s">
        <v>37</v>
      </c>
      <c r="G48" s="6" t="s">
        <v>134</v>
      </c>
      <c r="H48" s="7">
        <v>7385</v>
      </c>
    </row>
    <row r="49" spans="2:8" x14ac:dyDescent="0.3">
      <c r="B49" s="6" t="s">
        <v>9</v>
      </c>
      <c r="C49" s="6">
        <v>2023</v>
      </c>
      <c r="D49" s="6" t="s">
        <v>26</v>
      </c>
      <c r="E49" s="6" t="str">
        <f t="shared" si="0"/>
        <v>Italy</v>
      </c>
      <c r="F49" s="6" t="s">
        <v>36</v>
      </c>
      <c r="G49" s="6" t="s">
        <v>136</v>
      </c>
      <c r="H49" s="7">
        <v>11593</v>
      </c>
    </row>
    <row r="50" spans="2:8" x14ac:dyDescent="0.3">
      <c r="B50" s="6" t="s">
        <v>9</v>
      </c>
      <c r="C50" s="6">
        <v>2023</v>
      </c>
      <c r="D50" s="6" t="s">
        <v>73</v>
      </c>
      <c r="E50" s="6" t="str">
        <f t="shared" si="0"/>
        <v>Germany</v>
      </c>
      <c r="F50" s="6" t="s">
        <v>35</v>
      </c>
      <c r="G50" s="6" t="s">
        <v>135</v>
      </c>
      <c r="H50" s="7">
        <v>3943</v>
      </c>
    </row>
    <row r="51" spans="2:8" x14ac:dyDescent="0.3">
      <c r="B51" s="6" t="s">
        <v>9</v>
      </c>
      <c r="C51" s="6">
        <v>2023</v>
      </c>
      <c r="D51" s="6" t="s">
        <v>74</v>
      </c>
      <c r="E51" s="6" t="str">
        <f t="shared" si="0"/>
        <v>Italy</v>
      </c>
      <c r="F51" s="6" t="s">
        <v>36</v>
      </c>
      <c r="G51" s="6" t="s">
        <v>136</v>
      </c>
      <c r="H51" s="7">
        <v>15937</v>
      </c>
    </row>
    <row r="52" spans="2:8" x14ac:dyDescent="0.3">
      <c r="B52" s="6" t="s">
        <v>9</v>
      </c>
      <c r="C52" s="6">
        <v>2023</v>
      </c>
      <c r="D52" s="6" t="s">
        <v>75</v>
      </c>
      <c r="E52" s="6" t="str">
        <f t="shared" si="0"/>
        <v>Italy</v>
      </c>
      <c r="F52" s="6" t="s">
        <v>36</v>
      </c>
      <c r="G52" s="6" t="s">
        <v>136</v>
      </c>
      <c r="H52" s="7">
        <v>16308</v>
      </c>
    </row>
    <row r="53" spans="2:8" x14ac:dyDescent="0.3">
      <c r="B53" s="6" t="s">
        <v>9</v>
      </c>
      <c r="C53" s="6">
        <v>2023</v>
      </c>
      <c r="D53" s="6" t="s">
        <v>76</v>
      </c>
      <c r="E53" s="6" t="str">
        <f t="shared" si="0"/>
        <v>Italy</v>
      </c>
      <c r="F53" s="6" t="s">
        <v>36</v>
      </c>
      <c r="G53" s="6" t="s">
        <v>136</v>
      </c>
      <c r="H53" s="7">
        <v>9502</v>
      </c>
    </row>
    <row r="54" spans="2:8" x14ac:dyDescent="0.3">
      <c r="B54" s="6" t="s">
        <v>9</v>
      </c>
      <c r="C54" s="6">
        <v>2023</v>
      </c>
      <c r="D54" s="6" t="s">
        <v>77</v>
      </c>
      <c r="E54" s="6" t="str">
        <f t="shared" si="0"/>
        <v>Italy</v>
      </c>
      <c r="F54" s="6" t="s">
        <v>36</v>
      </c>
      <c r="G54" s="6" t="s">
        <v>136</v>
      </c>
      <c r="H54" s="7">
        <v>8264</v>
      </c>
    </row>
    <row r="55" spans="2:8" x14ac:dyDescent="0.3">
      <c r="B55" s="6" t="s">
        <v>9</v>
      </c>
      <c r="C55" s="6">
        <v>2023</v>
      </c>
      <c r="D55" s="6" t="s">
        <v>78</v>
      </c>
      <c r="E55" s="6" t="str">
        <f t="shared" si="0"/>
        <v>Italy</v>
      </c>
      <c r="F55" s="6" t="s">
        <v>37</v>
      </c>
      <c r="G55" s="6" t="s">
        <v>134</v>
      </c>
      <c r="H55" s="7">
        <v>4523</v>
      </c>
    </row>
    <row r="56" spans="2:8" x14ac:dyDescent="0.3">
      <c r="B56" s="6" t="s">
        <v>9</v>
      </c>
      <c r="C56" s="6">
        <v>2023</v>
      </c>
      <c r="D56" s="6" t="s">
        <v>25</v>
      </c>
      <c r="E56" s="6" t="str">
        <f t="shared" si="0"/>
        <v>Italy</v>
      </c>
      <c r="F56" s="6" t="s">
        <v>38</v>
      </c>
      <c r="G56" s="6" t="s">
        <v>135</v>
      </c>
      <c r="H56" s="7">
        <v>2445</v>
      </c>
    </row>
    <row r="57" spans="2:8" x14ac:dyDescent="0.3">
      <c r="B57" s="6" t="s">
        <v>9</v>
      </c>
      <c r="C57" s="6">
        <v>2023</v>
      </c>
      <c r="D57" s="6" t="s">
        <v>57</v>
      </c>
      <c r="E57" s="6" t="str">
        <f t="shared" si="0"/>
        <v>France</v>
      </c>
      <c r="F57" s="6" t="s">
        <v>36</v>
      </c>
      <c r="G57" s="6" t="s">
        <v>134</v>
      </c>
      <c r="H57" s="7">
        <v>11190</v>
      </c>
    </row>
    <row r="58" spans="2:8" x14ac:dyDescent="0.3">
      <c r="B58" s="6" t="s">
        <v>9</v>
      </c>
      <c r="C58" s="6">
        <v>2023</v>
      </c>
      <c r="D58" s="6" t="s">
        <v>44</v>
      </c>
      <c r="E58" s="6" t="str">
        <f t="shared" si="0"/>
        <v>USA</v>
      </c>
      <c r="F58" s="6" t="s">
        <v>37</v>
      </c>
      <c r="G58" s="6" t="s">
        <v>136</v>
      </c>
      <c r="H58" s="7">
        <v>8349</v>
      </c>
    </row>
    <row r="59" spans="2:8" x14ac:dyDescent="0.3">
      <c r="B59" s="6" t="s">
        <v>9</v>
      </c>
      <c r="C59" s="6">
        <v>2023</v>
      </c>
      <c r="D59" s="6" t="s">
        <v>41</v>
      </c>
      <c r="E59" s="6" t="str">
        <f t="shared" si="0"/>
        <v>Germany</v>
      </c>
      <c r="F59" s="6" t="s">
        <v>35</v>
      </c>
      <c r="G59" s="6" t="s">
        <v>135</v>
      </c>
      <c r="H59" s="7">
        <v>6714</v>
      </c>
    </row>
    <row r="60" spans="2:8" x14ac:dyDescent="0.3">
      <c r="B60" s="6" t="s">
        <v>9</v>
      </c>
      <c r="C60" s="6">
        <v>2023</v>
      </c>
      <c r="D60" s="6" t="s">
        <v>77</v>
      </c>
      <c r="E60" s="6" t="str">
        <f t="shared" si="0"/>
        <v>Italy</v>
      </c>
      <c r="F60" s="6" t="s">
        <v>36</v>
      </c>
      <c r="G60" s="6" t="s">
        <v>136</v>
      </c>
      <c r="H60" s="7">
        <v>13955</v>
      </c>
    </row>
    <row r="61" spans="2:8" x14ac:dyDescent="0.3">
      <c r="B61" s="6" t="s">
        <v>9</v>
      </c>
      <c r="C61" s="6">
        <v>2023</v>
      </c>
      <c r="D61" s="6" t="s">
        <v>70</v>
      </c>
      <c r="E61" s="6" t="str">
        <f t="shared" si="0"/>
        <v>Italy</v>
      </c>
      <c r="F61" s="6" t="s">
        <v>36</v>
      </c>
      <c r="G61" s="6" t="s">
        <v>136</v>
      </c>
      <c r="H61" s="7">
        <v>6445</v>
      </c>
    </row>
    <row r="62" spans="2:8" x14ac:dyDescent="0.3">
      <c r="B62" s="6" t="s">
        <v>9</v>
      </c>
      <c r="C62" s="6">
        <v>2023</v>
      </c>
      <c r="D62" s="6" t="s">
        <v>55</v>
      </c>
      <c r="E62" s="6" t="str">
        <f t="shared" si="0"/>
        <v>Norway</v>
      </c>
      <c r="F62" s="6" t="s">
        <v>36</v>
      </c>
      <c r="G62" s="6" t="s">
        <v>135</v>
      </c>
      <c r="H62" s="7">
        <v>9682</v>
      </c>
    </row>
    <row r="63" spans="2:8" x14ac:dyDescent="0.3">
      <c r="B63" s="6" t="s">
        <v>9</v>
      </c>
      <c r="C63" s="6">
        <v>2023</v>
      </c>
      <c r="D63" s="6" t="s">
        <v>79</v>
      </c>
      <c r="E63" s="6" t="str">
        <f t="shared" si="0"/>
        <v>Italy</v>
      </c>
      <c r="F63" s="6" t="s">
        <v>38</v>
      </c>
      <c r="G63" s="6" t="s">
        <v>135</v>
      </c>
      <c r="H63" s="7">
        <v>5565</v>
      </c>
    </row>
    <row r="64" spans="2:8" x14ac:dyDescent="0.3">
      <c r="B64" s="6" t="s">
        <v>9</v>
      </c>
      <c r="C64" s="6">
        <v>2023</v>
      </c>
      <c r="D64" s="6" t="s">
        <v>80</v>
      </c>
      <c r="E64" s="6" t="str">
        <f t="shared" si="0"/>
        <v>Italy</v>
      </c>
      <c r="F64" s="6" t="s">
        <v>36</v>
      </c>
      <c r="G64" s="6" t="s">
        <v>136</v>
      </c>
      <c r="H64" s="7">
        <v>10108</v>
      </c>
    </row>
    <row r="65" spans="2:8" x14ac:dyDescent="0.3">
      <c r="B65" s="6" t="s">
        <v>9</v>
      </c>
      <c r="C65" s="6">
        <v>2023</v>
      </c>
      <c r="D65" s="6" t="s">
        <v>48</v>
      </c>
      <c r="E65" s="6" t="str">
        <f t="shared" si="0"/>
        <v>France</v>
      </c>
      <c r="F65" s="6" t="s">
        <v>36</v>
      </c>
      <c r="G65" s="6" t="s">
        <v>134</v>
      </c>
      <c r="H65" s="7">
        <v>4983</v>
      </c>
    </row>
    <row r="66" spans="2:8" x14ac:dyDescent="0.3">
      <c r="B66" s="6" t="s">
        <v>9</v>
      </c>
      <c r="C66" s="6">
        <v>2023</v>
      </c>
      <c r="D66" s="6" t="s">
        <v>81</v>
      </c>
      <c r="E66" s="6" t="str">
        <f t="shared" si="0"/>
        <v>Italy</v>
      </c>
      <c r="F66" s="6" t="s">
        <v>38</v>
      </c>
      <c r="G66" s="6" t="s">
        <v>135</v>
      </c>
      <c r="H66" s="7">
        <v>17441</v>
      </c>
    </row>
    <row r="67" spans="2:8" x14ac:dyDescent="0.3">
      <c r="B67" s="6" t="s">
        <v>9</v>
      </c>
      <c r="C67" s="6">
        <v>2023</v>
      </c>
      <c r="D67" s="6" t="s">
        <v>82</v>
      </c>
      <c r="E67" s="6" t="str">
        <f t="shared" si="0"/>
        <v>Italy</v>
      </c>
      <c r="F67" s="6" t="s">
        <v>36</v>
      </c>
      <c r="G67" s="6" t="s">
        <v>136</v>
      </c>
      <c r="H67" s="7">
        <v>8200</v>
      </c>
    </row>
    <row r="68" spans="2:8" x14ac:dyDescent="0.3">
      <c r="B68" s="6" t="s">
        <v>9</v>
      </c>
      <c r="C68" s="6">
        <v>2023</v>
      </c>
      <c r="D68" s="6" t="s">
        <v>83</v>
      </c>
      <c r="E68" s="6" t="str">
        <f t="shared" si="0"/>
        <v>Italy</v>
      </c>
      <c r="F68" s="6" t="s">
        <v>36</v>
      </c>
      <c r="G68" s="6" t="s">
        <v>136</v>
      </c>
      <c r="H68" s="7">
        <v>5095</v>
      </c>
    </row>
    <row r="69" spans="2:8" x14ac:dyDescent="0.3">
      <c r="B69" s="6" t="s">
        <v>9</v>
      </c>
      <c r="C69" s="6">
        <v>2023</v>
      </c>
      <c r="D69" s="6" t="s">
        <v>82</v>
      </c>
      <c r="E69" s="6" t="str">
        <f t="shared" si="0"/>
        <v>Italy</v>
      </c>
      <c r="F69" s="6" t="s">
        <v>36</v>
      </c>
      <c r="G69" s="6" t="s">
        <v>136</v>
      </c>
      <c r="H69" s="7">
        <v>8674</v>
      </c>
    </row>
    <row r="70" spans="2:8" x14ac:dyDescent="0.3">
      <c r="B70" s="6" t="s">
        <v>9</v>
      </c>
      <c r="C70" s="6">
        <v>2023</v>
      </c>
      <c r="D70" s="6" t="s">
        <v>84</v>
      </c>
      <c r="E70" s="6" t="str">
        <f t="shared" si="0"/>
        <v>Italy</v>
      </c>
      <c r="F70" s="6" t="s">
        <v>38</v>
      </c>
      <c r="G70" s="6" t="s">
        <v>135</v>
      </c>
      <c r="H70" s="7">
        <v>2767</v>
      </c>
    </row>
    <row r="71" spans="2:8" x14ac:dyDescent="0.3">
      <c r="B71" s="6" t="s">
        <v>9</v>
      </c>
      <c r="C71" s="6">
        <v>2023</v>
      </c>
      <c r="D71" s="6" t="s">
        <v>28</v>
      </c>
      <c r="E71" s="6" t="str">
        <f t="shared" si="0"/>
        <v>Italy</v>
      </c>
      <c r="F71" s="6" t="s">
        <v>36</v>
      </c>
      <c r="G71" s="6" t="s">
        <v>136</v>
      </c>
      <c r="H71" s="7">
        <v>9708</v>
      </c>
    </row>
    <row r="72" spans="2:8" x14ac:dyDescent="0.3">
      <c r="B72" s="6" t="s">
        <v>9</v>
      </c>
      <c r="C72" s="6">
        <v>2023</v>
      </c>
      <c r="D72" s="6" t="s">
        <v>74</v>
      </c>
      <c r="E72" s="6" t="str">
        <f t="shared" ref="E72:E135" si="1">_xlfn.SWITCH(RIGHT(D72,1), "0", "Germany", "1", "USA", "2", "Norway", "3", "France", "Italy")</f>
        <v>Italy</v>
      </c>
      <c r="F72" s="6" t="s">
        <v>36</v>
      </c>
      <c r="G72" s="6" t="s">
        <v>136</v>
      </c>
      <c r="H72" s="7">
        <v>17682</v>
      </c>
    </row>
    <row r="73" spans="2:8" x14ac:dyDescent="0.3">
      <c r="B73" s="6" t="s">
        <v>9</v>
      </c>
      <c r="C73" s="6">
        <v>2023</v>
      </c>
      <c r="D73" s="6" t="s">
        <v>85</v>
      </c>
      <c r="E73" s="6" t="str">
        <f t="shared" si="1"/>
        <v>Germany</v>
      </c>
      <c r="F73" s="6" t="s">
        <v>35</v>
      </c>
      <c r="G73" s="6" t="s">
        <v>135</v>
      </c>
      <c r="H73" s="7">
        <v>14938</v>
      </c>
    </row>
    <row r="74" spans="2:8" x14ac:dyDescent="0.3">
      <c r="B74" s="6" t="s">
        <v>10</v>
      </c>
      <c r="C74" s="6">
        <v>2022</v>
      </c>
      <c r="D74" s="6" t="s">
        <v>77</v>
      </c>
      <c r="E74" s="6" t="str">
        <f t="shared" si="1"/>
        <v>Italy</v>
      </c>
      <c r="F74" s="6" t="s">
        <v>36</v>
      </c>
      <c r="G74" s="6" t="s">
        <v>136</v>
      </c>
      <c r="H74" s="7">
        <v>12669</v>
      </c>
    </row>
    <row r="75" spans="2:8" x14ac:dyDescent="0.3">
      <c r="B75" s="6" t="s">
        <v>10</v>
      </c>
      <c r="C75" s="6">
        <v>2022</v>
      </c>
      <c r="D75" s="6" t="s">
        <v>86</v>
      </c>
      <c r="E75" s="6" t="str">
        <f t="shared" si="1"/>
        <v>Italy</v>
      </c>
      <c r="F75" s="6" t="s">
        <v>36</v>
      </c>
      <c r="G75" s="6" t="s">
        <v>136</v>
      </c>
      <c r="H75" s="7">
        <v>10232</v>
      </c>
    </row>
    <row r="76" spans="2:8" x14ac:dyDescent="0.3">
      <c r="B76" s="6" t="s">
        <v>10</v>
      </c>
      <c r="C76" s="6">
        <v>2022</v>
      </c>
      <c r="D76" s="6" t="s">
        <v>53</v>
      </c>
      <c r="E76" s="6" t="str">
        <f t="shared" si="1"/>
        <v>France</v>
      </c>
      <c r="F76" s="6" t="s">
        <v>36</v>
      </c>
      <c r="G76" s="6" t="s">
        <v>134</v>
      </c>
      <c r="H76" s="7">
        <v>15391</v>
      </c>
    </row>
    <row r="77" spans="2:8" x14ac:dyDescent="0.3">
      <c r="B77" s="6" t="s">
        <v>10</v>
      </c>
      <c r="C77" s="6">
        <v>2022</v>
      </c>
      <c r="D77" s="6" t="s">
        <v>87</v>
      </c>
      <c r="E77" s="6" t="str">
        <f t="shared" si="1"/>
        <v>Italy</v>
      </c>
      <c r="F77" s="6" t="s">
        <v>36</v>
      </c>
      <c r="G77" s="6" t="s">
        <v>136</v>
      </c>
      <c r="H77" s="7">
        <v>9787</v>
      </c>
    </row>
    <row r="78" spans="2:8" x14ac:dyDescent="0.3">
      <c r="B78" s="6" t="s">
        <v>10</v>
      </c>
      <c r="C78" s="6">
        <v>2022</v>
      </c>
      <c r="D78" s="6" t="s">
        <v>47</v>
      </c>
      <c r="E78" s="6" t="str">
        <f t="shared" si="1"/>
        <v>Norway</v>
      </c>
      <c r="F78" s="6" t="s">
        <v>36</v>
      </c>
      <c r="G78" s="6" t="s">
        <v>135</v>
      </c>
      <c r="H78" s="7">
        <v>3442</v>
      </c>
    </row>
    <row r="79" spans="2:8" x14ac:dyDescent="0.3">
      <c r="B79" s="6" t="s">
        <v>10</v>
      </c>
      <c r="C79" s="6">
        <v>2022</v>
      </c>
      <c r="D79" s="6" t="s">
        <v>87</v>
      </c>
      <c r="E79" s="6" t="str">
        <f t="shared" si="1"/>
        <v>Italy</v>
      </c>
      <c r="F79" s="6" t="s">
        <v>36</v>
      </c>
      <c r="G79" s="6" t="s">
        <v>136</v>
      </c>
      <c r="H79" s="7">
        <v>7558</v>
      </c>
    </row>
    <row r="80" spans="2:8" x14ac:dyDescent="0.3">
      <c r="B80" s="6" t="s">
        <v>10</v>
      </c>
      <c r="C80" s="6">
        <v>2022</v>
      </c>
      <c r="D80" s="6" t="s">
        <v>88</v>
      </c>
      <c r="E80" s="6" t="str">
        <f t="shared" si="1"/>
        <v>Italy</v>
      </c>
      <c r="F80" s="6" t="s">
        <v>37</v>
      </c>
      <c r="G80" s="6" t="s">
        <v>134</v>
      </c>
      <c r="H80" s="7">
        <v>12447</v>
      </c>
    </row>
    <row r="81" spans="2:8" x14ac:dyDescent="0.3">
      <c r="B81" s="6" t="s">
        <v>10</v>
      </c>
      <c r="C81" s="6">
        <v>2022</v>
      </c>
      <c r="D81" s="6" t="s">
        <v>89</v>
      </c>
      <c r="E81" s="6" t="str">
        <f t="shared" si="1"/>
        <v>Italy</v>
      </c>
      <c r="F81" s="6" t="s">
        <v>37</v>
      </c>
      <c r="G81" s="6" t="s">
        <v>134</v>
      </c>
      <c r="H81" s="7">
        <v>8683</v>
      </c>
    </row>
    <row r="82" spans="2:8" x14ac:dyDescent="0.3">
      <c r="B82" s="6" t="s">
        <v>10</v>
      </c>
      <c r="C82" s="6">
        <v>2022</v>
      </c>
      <c r="D82" s="6" t="s">
        <v>80</v>
      </c>
      <c r="E82" s="6" t="str">
        <f t="shared" si="1"/>
        <v>Italy</v>
      </c>
      <c r="F82" s="6" t="s">
        <v>36</v>
      </c>
      <c r="G82" s="6" t="s">
        <v>136</v>
      </c>
      <c r="H82" s="7">
        <v>2465</v>
      </c>
    </row>
    <row r="83" spans="2:8" x14ac:dyDescent="0.3">
      <c r="B83" s="6" t="s">
        <v>10</v>
      </c>
      <c r="C83" s="6">
        <v>2022</v>
      </c>
      <c r="D83" s="6" t="s">
        <v>73</v>
      </c>
      <c r="E83" s="6" t="str">
        <f t="shared" si="1"/>
        <v>Germany</v>
      </c>
      <c r="F83" s="6" t="s">
        <v>35</v>
      </c>
      <c r="G83" s="6" t="s">
        <v>135</v>
      </c>
      <c r="H83" s="7">
        <v>15615</v>
      </c>
    </row>
    <row r="84" spans="2:8" x14ac:dyDescent="0.3">
      <c r="B84" s="6" t="s">
        <v>10</v>
      </c>
      <c r="C84" s="6">
        <v>2022</v>
      </c>
      <c r="D84" s="6" t="s">
        <v>80</v>
      </c>
      <c r="E84" s="6" t="str">
        <f t="shared" si="1"/>
        <v>Italy</v>
      </c>
      <c r="F84" s="6" t="s">
        <v>36</v>
      </c>
      <c r="G84" s="6" t="s">
        <v>136</v>
      </c>
      <c r="H84" s="7">
        <v>3901</v>
      </c>
    </row>
    <row r="85" spans="2:8" x14ac:dyDescent="0.3">
      <c r="B85" s="6" t="s">
        <v>10</v>
      </c>
      <c r="C85" s="6">
        <v>2022</v>
      </c>
      <c r="D85" s="6" t="s">
        <v>90</v>
      </c>
      <c r="E85" s="6" t="str">
        <f t="shared" si="1"/>
        <v>Italy</v>
      </c>
      <c r="F85" s="6" t="s">
        <v>36</v>
      </c>
      <c r="G85" s="6" t="s">
        <v>136</v>
      </c>
      <c r="H85" s="7">
        <v>4832</v>
      </c>
    </row>
    <row r="86" spans="2:8" x14ac:dyDescent="0.3">
      <c r="B86" s="6" t="s">
        <v>10</v>
      </c>
      <c r="C86" s="6">
        <v>2022</v>
      </c>
      <c r="D86" s="6" t="s">
        <v>47</v>
      </c>
      <c r="E86" s="6" t="str">
        <f t="shared" si="1"/>
        <v>Norway</v>
      </c>
      <c r="F86" s="6" t="s">
        <v>36</v>
      </c>
      <c r="G86" s="6" t="s">
        <v>135</v>
      </c>
      <c r="H86" s="7">
        <v>13564</v>
      </c>
    </row>
    <row r="87" spans="2:8" x14ac:dyDescent="0.3">
      <c r="B87" s="6" t="s">
        <v>10</v>
      </c>
      <c r="C87" s="6">
        <v>2022</v>
      </c>
      <c r="D87" s="6" t="s">
        <v>91</v>
      </c>
      <c r="E87" s="6" t="str">
        <f t="shared" si="1"/>
        <v>Italy</v>
      </c>
      <c r="F87" s="6" t="s">
        <v>38</v>
      </c>
      <c r="G87" s="6" t="s">
        <v>135</v>
      </c>
      <c r="H87" s="7">
        <v>11860</v>
      </c>
    </row>
    <row r="88" spans="2:8" x14ac:dyDescent="0.3">
      <c r="B88" s="6" t="s">
        <v>10</v>
      </c>
      <c r="C88" s="6">
        <v>2022</v>
      </c>
      <c r="D88" s="6" t="s">
        <v>92</v>
      </c>
      <c r="E88" s="6" t="str">
        <f t="shared" si="1"/>
        <v>Norway</v>
      </c>
      <c r="F88" s="6" t="s">
        <v>36</v>
      </c>
      <c r="G88" s="6" t="s">
        <v>135</v>
      </c>
      <c r="H88" s="7">
        <v>14448</v>
      </c>
    </row>
    <row r="89" spans="2:8" x14ac:dyDescent="0.3">
      <c r="B89" s="6" t="s">
        <v>10</v>
      </c>
      <c r="C89" s="6">
        <v>2022</v>
      </c>
      <c r="D89" s="6" t="s">
        <v>24</v>
      </c>
      <c r="E89" s="6" t="str">
        <f t="shared" si="1"/>
        <v>Italy</v>
      </c>
      <c r="F89" s="6" t="s">
        <v>37</v>
      </c>
      <c r="G89" s="6" t="s">
        <v>134</v>
      </c>
      <c r="H89" s="7">
        <v>10741</v>
      </c>
    </row>
    <row r="90" spans="2:8" x14ac:dyDescent="0.3">
      <c r="B90" s="6" t="s">
        <v>10</v>
      </c>
      <c r="C90" s="6">
        <v>2022</v>
      </c>
      <c r="D90" s="6" t="s">
        <v>22</v>
      </c>
      <c r="E90" s="6" t="str">
        <f t="shared" si="1"/>
        <v>France</v>
      </c>
      <c r="F90" s="6" t="s">
        <v>36</v>
      </c>
      <c r="G90" s="6" t="s">
        <v>134</v>
      </c>
      <c r="H90" s="7">
        <v>6253</v>
      </c>
    </row>
    <row r="91" spans="2:8" x14ac:dyDescent="0.3">
      <c r="B91" s="6" t="s">
        <v>10</v>
      </c>
      <c r="C91" s="6">
        <v>2022</v>
      </c>
      <c r="D91" s="6" t="s">
        <v>67</v>
      </c>
      <c r="E91" s="6" t="str">
        <f t="shared" si="1"/>
        <v>Germany</v>
      </c>
      <c r="F91" s="6" t="s">
        <v>35</v>
      </c>
      <c r="G91" s="6" t="s">
        <v>135</v>
      </c>
      <c r="H91" s="7">
        <v>3632</v>
      </c>
    </row>
    <row r="92" spans="2:8" x14ac:dyDescent="0.3">
      <c r="B92" s="6" t="s">
        <v>10</v>
      </c>
      <c r="C92" s="6">
        <v>2022</v>
      </c>
      <c r="D92" s="6" t="s">
        <v>40</v>
      </c>
      <c r="E92" s="6" t="str">
        <f t="shared" si="1"/>
        <v>Italy</v>
      </c>
      <c r="F92" s="6" t="s">
        <v>38</v>
      </c>
      <c r="G92" s="6" t="s">
        <v>135</v>
      </c>
      <c r="H92" s="7">
        <v>15061</v>
      </c>
    </row>
    <row r="93" spans="2:8" x14ac:dyDescent="0.3">
      <c r="B93" s="6" t="s">
        <v>10</v>
      </c>
      <c r="C93" s="6">
        <v>2022</v>
      </c>
      <c r="D93" s="6" t="s">
        <v>58</v>
      </c>
      <c r="E93" s="6" t="str">
        <f t="shared" si="1"/>
        <v>Norway</v>
      </c>
      <c r="F93" s="6" t="s">
        <v>36</v>
      </c>
      <c r="G93" s="6" t="s">
        <v>135</v>
      </c>
      <c r="H93" s="7">
        <v>4292</v>
      </c>
    </row>
    <row r="94" spans="2:8" x14ac:dyDescent="0.3">
      <c r="B94" s="6" t="s">
        <v>10</v>
      </c>
      <c r="C94" s="6">
        <v>2022</v>
      </c>
      <c r="D94" s="6" t="s">
        <v>70</v>
      </c>
      <c r="E94" s="6" t="str">
        <f t="shared" si="1"/>
        <v>Italy</v>
      </c>
      <c r="F94" s="6" t="s">
        <v>36</v>
      </c>
      <c r="G94" s="6" t="s">
        <v>136</v>
      </c>
      <c r="H94" s="7">
        <v>14605</v>
      </c>
    </row>
    <row r="95" spans="2:8" x14ac:dyDescent="0.3">
      <c r="B95" s="6" t="s">
        <v>10</v>
      </c>
      <c r="C95" s="6">
        <v>2022</v>
      </c>
      <c r="D95" s="6" t="s">
        <v>93</v>
      </c>
      <c r="E95" s="6" t="str">
        <f t="shared" si="1"/>
        <v>Italy</v>
      </c>
      <c r="F95" s="6" t="s">
        <v>36</v>
      </c>
      <c r="G95" s="6" t="s">
        <v>136</v>
      </c>
      <c r="H95" s="7">
        <v>9914</v>
      </c>
    </row>
    <row r="96" spans="2:8" x14ac:dyDescent="0.3">
      <c r="B96" s="6" t="s">
        <v>10</v>
      </c>
      <c r="C96" s="6">
        <v>2022</v>
      </c>
      <c r="D96" s="6" t="s">
        <v>20</v>
      </c>
      <c r="E96" s="6" t="str">
        <f t="shared" si="1"/>
        <v>USA</v>
      </c>
      <c r="F96" s="6" t="s">
        <v>37</v>
      </c>
      <c r="G96" s="6" t="s">
        <v>136</v>
      </c>
      <c r="H96" s="7">
        <v>4568</v>
      </c>
    </row>
    <row r="97" spans="2:8" x14ac:dyDescent="0.3">
      <c r="B97" s="6" t="s">
        <v>10</v>
      </c>
      <c r="C97" s="6">
        <v>2022</v>
      </c>
      <c r="D97" s="6" t="s">
        <v>92</v>
      </c>
      <c r="E97" s="6" t="str">
        <f t="shared" si="1"/>
        <v>Norway</v>
      </c>
      <c r="F97" s="6" t="s">
        <v>36</v>
      </c>
      <c r="G97" s="6" t="s">
        <v>135</v>
      </c>
      <c r="H97" s="7">
        <v>9103</v>
      </c>
    </row>
    <row r="98" spans="2:8" x14ac:dyDescent="0.3">
      <c r="B98" s="6" t="s">
        <v>10</v>
      </c>
      <c r="C98" s="6">
        <v>2022</v>
      </c>
      <c r="D98" s="6" t="s">
        <v>25</v>
      </c>
      <c r="E98" s="6" t="str">
        <f t="shared" si="1"/>
        <v>Italy</v>
      </c>
      <c r="F98" s="6" t="s">
        <v>38</v>
      </c>
      <c r="G98" s="6" t="s">
        <v>135</v>
      </c>
      <c r="H98" s="7">
        <v>12493</v>
      </c>
    </row>
    <row r="99" spans="2:8" x14ac:dyDescent="0.3">
      <c r="B99" s="6" t="s">
        <v>10</v>
      </c>
      <c r="C99" s="6">
        <v>2023</v>
      </c>
      <c r="D99" s="6" t="s">
        <v>94</v>
      </c>
      <c r="E99" s="6" t="str">
        <f t="shared" si="1"/>
        <v>Italy</v>
      </c>
      <c r="F99" s="6" t="s">
        <v>36</v>
      </c>
      <c r="G99" s="6" t="s">
        <v>136</v>
      </c>
      <c r="H99" s="7">
        <v>10499</v>
      </c>
    </row>
    <row r="100" spans="2:8" x14ac:dyDescent="0.3">
      <c r="B100" s="6" t="s">
        <v>10</v>
      </c>
      <c r="C100" s="6">
        <v>2023</v>
      </c>
      <c r="D100" s="6" t="s">
        <v>73</v>
      </c>
      <c r="E100" s="6" t="str">
        <f t="shared" si="1"/>
        <v>Germany</v>
      </c>
      <c r="F100" s="6" t="s">
        <v>35</v>
      </c>
      <c r="G100" s="6" t="s">
        <v>135</v>
      </c>
      <c r="H100" s="7">
        <v>4969</v>
      </c>
    </row>
    <row r="101" spans="2:8" x14ac:dyDescent="0.3">
      <c r="B101" s="6" t="s">
        <v>10</v>
      </c>
      <c r="C101" s="6">
        <v>2023</v>
      </c>
      <c r="D101" s="6" t="s">
        <v>95</v>
      </c>
      <c r="E101" s="6" t="str">
        <f t="shared" si="1"/>
        <v>Germany</v>
      </c>
      <c r="F101" s="6" t="s">
        <v>35</v>
      </c>
      <c r="G101" s="6" t="s">
        <v>135</v>
      </c>
      <c r="H101" s="7">
        <v>13217</v>
      </c>
    </row>
    <row r="102" spans="2:8" x14ac:dyDescent="0.3">
      <c r="B102" s="6" t="s">
        <v>10</v>
      </c>
      <c r="C102" s="6">
        <v>2023</v>
      </c>
      <c r="D102" s="6" t="s">
        <v>96</v>
      </c>
      <c r="E102" s="6" t="str">
        <f t="shared" si="1"/>
        <v>USA</v>
      </c>
      <c r="F102" s="6" t="s">
        <v>37</v>
      </c>
      <c r="G102" s="6" t="s">
        <v>136</v>
      </c>
      <c r="H102" s="7">
        <v>2583</v>
      </c>
    </row>
    <row r="103" spans="2:8" x14ac:dyDescent="0.3">
      <c r="B103" s="6" t="s">
        <v>10</v>
      </c>
      <c r="C103" s="6">
        <v>2023</v>
      </c>
      <c r="D103" s="6" t="s">
        <v>53</v>
      </c>
      <c r="E103" s="6" t="str">
        <f t="shared" si="1"/>
        <v>France</v>
      </c>
      <c r="F103" s="6" t="s">
        <v>36</v>
      </c>
      <c r="G103" s="6" t="s">
        <v>134</v>
      </c>
      <c r="H103" s="7">
        <v>1967</v>
      </c>
    </row>
    <row r="104" spans="2:8" x14ac:dyDescent="0.3">
      <c r="B104" s="6" t="s">
        <v>10</v>
      </c>
      <c r="C104" s="6">
        <v>2023</v>
      </c>
      <c r="D104" s="6" t="s">
        <v>97</v>
      </c>
      <c r="E104" s="6" t="str">
        <f t="shared" si="1"/>
        <v>Italy</v>
      </c>
      <c r="F104" s="6" t="s">
        <v>36</v>
      </c>
      <c r="G104" s="6" t="s">
        <v>136</v>
      </c>
      <c r="H104" s="7">
        <v>16762</v>
      </c>
    </row>
    <row r="105" spans="2:8" x14ac:dyDescent="0.3">
      <c r="B105" s="6" t="s">
        <v>10</v>
      </c>
      <c r="C105" s="6">
        <v>2023</v>
      </c>
      <c r="D105" s="6" t="s">
        <v>23</v>
      </c>
      <c r="E105" s="6" t="str">
        <f t="shared" si="1"/>
        <v>Italy</v>
      </c>
      <c r="F105" s="6" t="s">
        <v>36</v>
      </c>
      <c r="G105" s="6" t="s">
        <v>136</v>
      </c>
      <c r="H105" s="7">
        <v>5050</v>
      </c>
    </row>
    <row r="106" spans="2:8" x14ac:dyDescent="0.3">
      <c r="B106" s="6" t="s">
        <v>10</v>
      </c>
      <c r="C106" s="6">
        <v>2023</v>
      </c>
      <c r="D106" s="6" t="s">
        <v>98</v>
      </c>
      <c r="E106" s="6" t="str">
        <f t="shared" si="1"/>
        <v>Italy</v>
      </c>
      <c r="F106" s="6" t="s">
        <v>36</v>
      </c>
      <c r="G106" s="6" t="s">
        <v>136</v>
      </c>
      <c r="H106" s="7">
        <v>8122</v>
      </c>
    </row>
    <row r="107" spans="2:8" x14ac:dyDescent="0.3">
      <c r="B107" s="6" t="s">
        <v>10</v>
      </c>
      <c r="C107" s="6">
        <v>2023</v>
      </c>
      <c r="D107" s="6" t="s">
        <v>77</v>
      </c>
      <c r="E107" s="6" t="str">
        <f t="shared" si="1"/>
        <v>Italy</v>
      </c>
      <c r="F107" s="6" t="s">
        <v>36</v>
      </c>
      <c r="G107" s="6" t="s">
        <v>136</v>
      </c>
      <c r="H107" s="7">
        <v>1916</v>
      </c>
    </row>
    <row r="108" spans="2:8" x14ac:dyDescent="0.3">
      <c r="B108" s="6" t="s">
        <v>10</v>
      </c>
      <c r="C108" s="6">
        <v>2023</v>
      </c>
      <c r="D108" s="6" t="s">
        <v>42</v>
      </c>
      <c r="E108" s="6" t="str">
        <f t="shared" si="1"/>
        <v>Italy</v>
      </c>
      <c r="F108" s="6" t="s">
        <v>38</v>
      </c>
      <c r="G108" s="6" t="s">
        <v>135</v>
      </c>
      <c r="H108" s="7">
        <v>2031</v>
      </c>
    </row>
    <row r="109" spans="2:8" x14ac:dyDescent="0.3">
      <c r="B109" s="6" t="s">
        <v>10</v>
      </c>
      <c r="C109" s="6">
        <v>2023</v>
      </c>
      <c r="D109" s="6" t="s">
        <v>72</v>
      </c>
      <c r="E109" s="6" t="str">
        <f t="shared" si="1"/>
        <v>Italy</v>
      </c>
      <c r="F109" s="6" t="s">
        <v>37</v>
      </c>
      <c r="G109" s="6" t="s">
        <v>134</v>
      </c>
      <c r="H109" s="7">
        <v>9383</v>
      </c>
    </row>
    <row r="110" spans="2:8" x14ac:dyDescent="0.3">
      <c r="B110" s="6" t="s">
        <v>10</v>
      </c>
      <c r="C110" s="6">
        <v>2023</v>
      </c>
      <c r="D110" s="6" t="s">
        <v>92</v>
      </c>
      <c r="E110" s="6" t="str">
        <f t="shared" si="1"/>
        <v>Norway</v>
      </c>
      <c r="F110" s="6" t="s">
        <v>36</v>
      </c>
      <c r="G110" s="6" t="s">
        <v>135</v>
      </c>
      <c r="H110" s="7">
        <v>5560</v>
      </c>
    </row>
    <row r="111" spans="2:8" x14ac:dyDescent="0.3">
      <c r="B111" s="6" t="s">
        <v>10</v>
      </c>
      <c r="C111" s="6">
        <v>2023</v>
      </c>
      <c r="D111" s="6" t="s">
        <v>62</v>
      </c>
      <c r="E111" s="6" t="str">
        <f t="shared" si="1"/>
        <v>Italy</v>
      </c>
      <c r="F111" s="6" t="s">
        <v>37</v>
      </c>
      <c r="G111" s="6" t="s">
        <v>134</v>
      </c>
      <c r="H111" s="7">
        <v>16656</v>
      </c>
    </row>
    <row r="112" spans="2:8" x14ac:dyDescent="0.3">
      <c r="B112" s="6" t="s">
        <v>10</v>
      </c>
      <c r="C112" s="6">
        <v>2023</v>
      </c>
      <c r="D112" s="6" t="s">
        <v>53</v>
      </c>
      <c r="E112" s="6" t="str">
        <f t="shared" si="1"/>
        <v>France</v>
      </c>
      <c r="F112" s="6" t="s">
        <v>36</v>
      </c>
      <c r="G112" s="6" t="s">
        <v>134</v>
      </c>
      <c r="H112" s="7">
        <v>5513</v>
      </c>
    </row>
    <row r="113" spans="2:8" x14ac:dyDescent="0.3">
      <c r="B113" s="6" t="s">
        <v>10</v>
      </c>
      <c r="C113" s="6">
        <v>2023</v>
      </c>
      <c r="D113" s="6" t="s">
        <v>60</v>
      </c>
      <c r="E113" s="6" t="str">
        <f t="shared" si="1"/>
        <v>Italy</v>
      </c>
      <c r="F113" s="6" t="s">
        <v>38</v>
      </c>
      <c r="G113" s="6" t="s">
        <v>135</v>
      </c>
      <c r="H113" s="7">
        <v>8815</v>
      </c>
    </row>
    <row r="114" spans="2:8" x14ac:dyDescent="0.3">
      <c r="B114" s="6" t="s">
        <v>10</v>
      </c>
      <c r="C114" s="6">
        <v>2023</v>
      </c>
      <c r="D114" s="6" t="s">
        <v>99</v>
      </c>
      <c r="E114" s="6" t="str">
        <f t="shared" si="1"/>
        <v>Italy</v>
      </c>
      <c r="F114" s="6" t="s">
        <v>38</v>
      </c>
      <c r="G114" s="6" t="s">
        <v>135</v>
      </c>
      <c r="H114" s="7">
        <v>16875</v>
      </c>
    </row>
    <row r="115" spans="2:8" x14ac:dyDescent="0.3">
      <c r="B115" s="6" t="s">
        <v>10</v>
      </c>
      <c r="C115" s="6">
        <v>2023</v>
      </c>
      <c r="D115" s="6" t="s">
        <v>71</v>
      </c>
      <c r="E115" s="6" t="str">
        <f t="shared" si="1"/>
        <v>Italy</v>
      </c>
      <c r="F115" s="6" t="s">
        <v>36</v>
      </c>
      <c r="G115" s="6" t="s">
        <v>136</v>
      </c>
      <c r="H115" s="7">
        <v>16805</v>
      </c>
    </row>
    <row r="116" spans="2:8" x14ac:dyDescent="0.3">
      <c r="B116" s="6" t="s">
        <v>10</v>
      </c>
      <c r="C116" s="6">
        <v>2023</v>
      </c>
      <c r="D116" s="6" t="s">
        <v>54</v>
      </c>
      <c r="E116" s="6" t="str">
        <f t="shared" si="1"/>
        <v>France</v>
      </c>
      <c r="F116" s="6" t="s">
        <v>36</v>
      </c>
      <c r="G116" s="6" t="s">
        <v>137</v>
      </c>
      <c r="H116" s="7">
        <v>4074</v>
      </c>
    </row>
    <row r="117" spans="2:8" x14ac:dyDescent="0.3">
      <c r="B117" s="6" t="s">
        <v>10</v>
      </c>
      <c r="C117" s="6">
        <v>2023</v>
      </c>
      <c r="D117" s="6" t="s">
        <v>100</v>
      </c>
      <c r="E117" s="6" t="str">
        <f t="shared" si="1"/>
        <v>Italy</v>
      </c>
      <c r="F117" s="6" t="s">
        <v>36</v>
      </c>
      <c r="G117" s="6" t="s">
        <v>136</v>
      </c>
      <c r="H117" s="7">
        <v>15170</v>
      </c>
    </row>
    <row r="118" spans="2:8" x14ac:dyDescent="0.3">
      <c r="B118" s="6" t="s">
        <v>10</v>
      </c>
      <c r="C118" s="6">
        <v>2023</v>
      </c>
      <c r="D118" s="6" t="s">
        <v>58</v>
      </c>
      <c r="E118" s="6" t="str">
        <f t="shared" si="1"/>
        <v>Norway</v>
      </c>
      <c r="F118" s="6" t="s">
        <v>36</v>
      </c>
      <c r="G118" s="6" t="s">
        <v>135</v>
      </c>
      <c r="H118" s="7">
        <v>10787</v>
      </c>
    </row>
    <row r="119" spans="2:8" x14ac:dyDescent="0.3">
      <c r="B119" s="6" t="s">
        <v>10</v>
      </c>
      <c r="C119" s="6">
        <v>2023</v>
      </c>
      <c r="D119" s="6" t="s">
        <v>101</v>
      </c>
      <c r="E119" s="6" t="str">
        <f t="shared" si="1"/>
        <v>France</v>
      </c>
      <c r="F119" s="6" t="s">
        <v>36</v>
      </c>
      <c r="G119" s="6" t="s">
        <v>134</v>
      </c>
      <c r="H119" s="7">
        <v>1717</v>
      </c>
    </row>
    <row r="120" spans="2:8" x14ac:dyDescent="0.3">
      <c r="B120" s="6" t="s">
        <v>10</v>
      </c>
      <c r="C120" s="6">
        <v>2023</v>
      </c>
      <c r="D120" s="6" t="s">
        <v>94</v>
      </c>
      <c r="E120" s="6" t="str">
        <f t="shared" si="1"/>
        <v>Italy</v>
      </c>
      <c r="F120" s="6" t="s">
        <v>36</v>
      </c>
      <c r="G120" s="6" t="s">
        <v>136</v>
      </c>
      <c r="H120" s="7">
        <v>5142</v>
      </c>
    </row>
    <row r="121" spans="2:8" x14ac:dyDescent="0.3">
      <c r="B121" s="6" t="s">
        <v>10</v>
      </c>
      <c r="C121" s="6">
        <v>2023</v>
      </c>
      <c r="D121" s="6" t="s">
        <v>102</v>
      </c>
      <c r="E121" s="6" t="str">
        <f t="shared" si="1"/>
        <v>USA</v>
      </c>
      <c r="F121" s="6" t="s">
        <v>37</v>
      </c>
      <c r="G121" s="6" t="s">
        <v>136</v>
      </c>
      <c r="H121" s="7">
        <v>16319</v>
      </c>
    </row>
    <row r="122" spans="2:8" x14ac:dyDescent="0.3">
      <c r="B122" s="6" t="s">
        <v>10</v>
      </c>
      <c r="C122" s="6">
        <v>2023</v>
      </c>
      <c r="D122" s="6" t="s">
        <v>56</v>
      </c>
      <c r="E122" s="6" t="str">
        <f t="shared" si="1"/>
        <v>Norway</v>
      </c>
      <c r="F122" s="6" t="s">
        <v>36</v>
      </c>
      <c r="G122" s="6" t="s">
        <v>135</v>
      </c>
      <c r="H122" s="7">
        <v>12619</v>
      </c>
    </row>
    <row r="123" spans="2:8" x14ac:dyDescent="0.3">
      <c r="B123" s="6" t="s">
        <v>10</v>
      </c>
      <c r="C123" s="6">
        <v>2023</v>
      </c>
      <c r="D123" s="6" t="s">
        <v>44</v>
      </c>
      <c r="E123" s="6" t="str">
        <f t="shared" si="1"/>
        <v>USA</v>
      </c>
      <c r="F123" s="6" t="s">
        <v>37</v>
      </c>
      <c r="G123" s="6" t="s">
        <v>136</v>
      </c>
      <c r="H123" s="7">
        <v>4949</v>
      </c>
    </row>
    <row r="124" spans="2:8" x14ac:dyDescent="0.3">
      <c r="B124" s="6" t="s">
        <v>10</v>
      </c>
      <c r="C124" s="6">
        <v>2023</v>
      </c>
      <c r="D124" s="6" t="s">
        <v>103</v>
      </c>
      <c r="E124" s="6" t="str">
        <f t="shared" si="1"/>
        <v>Italy</v>
      </c>
      <c r="F124" s="6" t="s">
        <v>37</v>
      </c>
      <c r="G124" s="6" t="s">
        <v>134</v>
      </c>
      <c r="H124" s="7">
        <v>2044</v>
      </c>
    </row>
    <row r="125" spans="2:8" x14ac:dyDescent="0.3">
      <c r="B125" s="6" t="s">
        <v>10</v>
      </c>
      <c r="C125" s="6">
        <v>2023</v>
      </c>
      <c r="D125" s="6" t="s">
        <v>46</v>
      </c>
      <c r="E125" s="6" t="str">
        <f t="shared" si="1"/>
        <v>Italy</v>
      </c>
      <c r="F125" s="6" t="s">
        <v>36</v>
      </c>
      <c r="G125" s="6" t="s">
        <v>137</v>
      </c>
      <c r="H125" s="7">
        <v>5137</v>
      </c>
    </row>
    <row r="126" spans="2:8" x14ac:dyDescent="0.3">
      <c r="B126" s="6" t="s">
        <v>10</v>
      </c>
      <c r="C126" s="6">
        <v>2023</v>
      </c>
      <c r="D126" s="6" t="s">
        <v>84</v>
      </c>
      <c r="E126" s="6" t="str">
        <f t="shared" si="1"/>
        <v>Italy</v>
      </c>
      <c r="F126" s="6" t="s">
        <v>38</v>
      </c>
      <c r="G126" s="6" t="s">
        <v>135</v>
      </c>
      <c r="H126" s="7">
        <v>10683</v>
      </c>
    </row>
    <row r="127" spans="2:8" x14ac:dyDescent="0.3">
      <c r="B127" s="6" t="s">
        <v>10</v>
      </c>
      <c r="C127" s="6">
        <v>2023</v>
      </c>
      <c r="D127" s="6" t="s">
        <v>76</v>
      </c>
      <c r="E127" s="6" t="str">
        <f t="shared" si="1"/>
        <v>Italy</v>
      </c>
      <c r="F127" s="6" t="s">
        <v>36</v>
      </c>
      <c r="G127" s="6" t="s">
        <v>136</v>
      </c>
      <c r="H127" s="7">
        <v>16679</v>
      </c>
    </row>
    <row r="128" spans="2:8" x14ac:dyDescent="0.3">
      <c r="B128" s="6" t="s">
        <v>10</v>
      </c>
      <c r="C128" s="6">
        <v>2023</v>
      </c>
      <c r="D128" s="6" t="s">
        <v>80</v>
      </c>
      <c r="E128" s="6" t="str">
        <f t="shared" si="1"/>
        <v>Italy</v>
      </c>
      <c r="F128" s="6" t="s">
        <v>36</v>
      </c>
      <c r="G128" s="6" t="s">
        <v>136</v>
      </c>
      <c r="H128" s="7">
        <v>2337</v>
      </c>
    </row>
    <row r="129" spans="2:8" x14ac:dyDescent="0.3">
      <c r="B129" s="6" t="s">
        <v>10</v>
      </c>
      <c r="C129" s="6">
        <v>2023</v>
      </c>
      <c r="D129" s="6" t="s">
        <v>104</v>
      </c>
      <c r="E129" s="6" t="str">
        <f t="shared" si="1"/>
        <v>Italy</v>
      </c>
      <c r="F129" s="6" t="s">
        <v>36</v>
      </c>
      <c r="G129" s="6" t="s">
        <v>136</v>
      </c>
      <c r="H129" s="7">
        <v>6497</v>
      </c>
    </row>
    <row r="130" spans="2:8" x14ac:dyDescent="0.3">
      <c r="B130" s="6" t="s">
        <v>10</v>
      </c>
      <c r="C130" s="6">
        <v>2023</v>
      </c>
      <c r="D130" s="6" t="s">
        <v>45</v>
      </c>
      <c r="E130" s="6" t="str">
        <f t="shared" si="1"/>
        <v>France</v>
      </c>
      <c r="F130" s="6" t="s">
        <v>36</v>
      </c>
      <c r="G130" s="6" t="s">
        <v>134</v>
      </c>
      <c r="H130" s="7">
        <v>5202</v>
      </c>
    </row>
    <row r="131" spans="2:8" x14ac:dyDescent="0.3">
      <c r="B131" s="6" t="s">
        <v>10</v>
      </c>
      <c r="C131" s="6">
        <v>2023</v>
      </c>
      <c r="D131" s="6" t="s">
        <v>84</v>
      </c>
      <c r="E131" s="6" t="str">
        <f t="shared" si="1"/>
        <v>Italy</v>
      </c>
      <c r="F131" s="6" t="s">
        <v>38</v>
      </c>
      <c r="G131" s="6" t="s">
        <v>135</v>
      </c>
      <c r="H131" s="7">
        <v>9116</v>
      </c>
    </row>
    <row r="132" spans="2:8" x14ac:dyDescent="0.3">
      <c r="B132" s="6" t="s">
        <v>10</v>
      </c>
      <c r="C132" s="6">
        <v>2023</v>
      </c>
      <c r="D132" s="6" t="s">
        <v>87</v>
      </c>
      <c r="E132" s="6" t="str">
        <f t="shared" si="1"/>
        <v>Italy</v>
      </c>
      <c r="F132" s="6" t="s">
        <v>36</v>
      </c>
      <c r="G132" s="6" t="s">
        <v>136</v>
      </c>
      <c r="H132" s="7">
        <v>1784</v>
      </c>
    </row>
    <row r="133" spans="2:8" x14ac:dyDescent="0.3">
      <c r="B133" s="6" t="s">
        <v>10</v>
      </c>
      <c r="C133" s="6">
        <v>2023</v>
      </c>
      <c r="D133" s="6" t="s">
        <v>105</v>
      </c>
      <c r="E133" s="6" t="str">
        <f t="shared" si="1"/>
        <v>USA</v>
      </c>
      <c r="F133" s="6" t="s">
        <v>37</v>
      </c>
      <c r="G133" s="6" t="s">
        <v>136</v>
      </c>
      <c r="H133" s="7">
        <v>1701</v>
      </c>
    </row>
    <row r="134" spans="2:8" x14ac:dyDescent="0.3">
      <c r="B134" s="6" t="s">
        <v>10</v>
      </c>
      <c r="C134" s="6">
        <v>2023</v>
      </c>
      <c r="D134" s="6" t="s">
        <v>98</v>
      </c>
      <c r="E134" s="6" t="str">
        <f t="shared" si="1"/>
        <v>Italy</v>
      </c>
      <c r="F134" s="6" t="s">
        <v>36</v>
      </c>
      <c r="G134" s="6" t="s">
        <v>136</v>
      </c>
      <c r="H134" s="7">
        <v>3928</v>
      </c>
    </row>
    <row r="135" spans="2:8" x14ac:dyDescent="0.3">
      <c r="B135" s="6" t="s">
        <v>10</v>
      </c>
      <c r="C135" s="6">
        <v>2023</v>
      </c>
      <c r="D135" s="6" t="s">
        <v>106</v>
      </c>
      <c r="E135" s="6" t="str">
        <f t="shared" si="1"/>
        <v>Italy</v>
      </c>
      <c r="F135" s="6" t="s">
        <v>38</v>
      </c>
      <c r="G135" s="6" t="s">
        <v>135</v>
      </c>
      <c r="H135" s="7">
        <v>11885</v>
      </c>
    </row>
    <row r="136" spans="2:8" x14ac:dyDescent="0.3">
      <c r="B136" s="6" t="s">
        <v>10</v>
      </c>
      <c r="C136" s="6">
        <v>2023</v>
      </c>
      <c r="D136" s="6" t="s">
        <v>53</v>
      </c>
      <c r="E136" s="6" t="str">
        <f t="shared" ref="E136:E199" si="2">_xlfn.SWITCH(RIGHT(D136,1), "0", "Germany", "1", "USA", "2", "Norway", "3", "France", "Italy")</f>
        <v>France</v>
      </c>
      <c r="F136" s="6" t="s">
        <v>36</v>
      </c>
      <c r="G136" s="6" t="s">
        <v>134</v>
      </c>
      <c r="H136" s="7">
        <v>4758</v>
      </c>
    </row>
    <row r="137" spans="2:8" x14ac:dyDescent="0.3">
      <c r="B137" s="6" t="s">
        <v>10</v>
      </c>
      <c r="C137" s="6">
        <v>2023</v>
      </c>
      <c r="D137" s="6" t="s">
        <v>81</v>
      </c>
      <c r="E137" s="6" t="str">
        <f t="shared" si="2"/>
        <v>Italy</v>
      </c>
      <c r="F137" s="6" t="s">
        <v>38</v>
      </c>
      <c r="G137" s="6" t="s">
        <v>135</v>
      </c>
      <c r="H137" s="7">
        <v>13207</v>
      </c>
    </row>
    <row r="138" spans="2:8" x14ac:dyDescent="0.3">
      <c r="B138" s="6" t="s">
        <v>11</v>
      </c>
      <c r="C138" s="6">
        <v>2022</v>
      </c>
      <c r="D138" s="6" t="s">
        <v>68</v>
      </c>
      <c r="E138" s="6" t="str">
        <f t="shared" si="2"/>
        <v>Norway</v>
      </c>
      <c r="F138" s="6" t="s">
        <v>36</v>
      </c>
      <c r="G138" s="6" t="s">
        <v>135</v>
      </c>
      <c r="H138" s="7">
        <v>14305</v>
      </c>
    </row>
    <row r="139" spans="2:8" x14ac:dyDescent="0.3">
      <c r="B139" s="6" t="s">
        <v>11</v>
      </c>
      <c r="C139" s="6">
        <v>2022</v>
      </c>
      <c r="D139" s="6" t="s">
        <v>65</v>
      </c>
      <c r="E139" s="6" t="str">
        <f t="shared" si="2"/>
        <v>Germany</v>
      </c>
      <c r="F139" s="6" t="s">
        <v>35</v>
      </c>
      <c r="G139" s="6" t="s">
        <v>135</v>
      </c>
      <c r="H139" s="7">
        <v>10942</v>
      </c>
    </row>
    <row r="140" spans="2:8" x14ac:dyDescent="0.3">
      <c r="B140" s="6" t="s">
        <v>11</v>
      </c>
      <c r="C140" s="6">
        <v>2022</v>
      </c>
      <c r="D140" s="6" t="s">
        <v>27</v>
      </c>
      <c r="E140" s="6" t="str">
        <f t="shared" si="2"/>
        <v>Italy</v>
      </c>
      <c r="F140" s="6" t="s">
        <v>36</v>
      </c>
      <c r="G140" s="6" t="s">
        <v>136</v>
      </c>
      <c r="H140" s="7">
        <v>9340</v>
      </c>
    </row>
    <row r="141" spans="2:8" x14ac:dyDescent="0.3">
      <c r="B141" s="6" t="s">
        <v>11</v>
      </c>
      <c r="C141" s="6">
        <v>2022</v>
      </c>
      <c r="D141" s="6" t="s">
        <v>74</v>
      </c>
      <c r="E141" s="6" t="str">
        <f t="shared" si="2"/>
        <v>Italy</v>
      </c>
      <c r="F141" s="6" t="s">
        <v>36</v>
      </c>
      <c r="G141" s="6" t="s">
        <v>136</v>
      </c>
      <c r="H141" s="7">
        <v>14406</v>
      </c>
    </row>
    <row r="142" spans="2:8" x14ac:dyDescent="0.3">
      <c r="B142" s="6" t="s">
        <v>11</v>
      </c>
      <c r="C142" s="6">
        <v>2022</v>
      </c>
      <c r="D142" s="6" t="s">
        <v>107</v>
      </c>
      <c r="E142" s="6" t="str">
        <f t="shared" si="2"/>
        <v>Italy</v>
      </c>
      <c r="F142" s="6" t="s">
        <v>36</v>
      </c>
      <c r="G142" s="6" t="s">
        <v>136</v>
      </c>
      <c r="H142" s="7">
        <v>4571</v>
      </c>
    </row>
    <row r="143" spans="2:8" x14ac:dyDescent="0.3">
      <c r="B143" s="6" t="s">
        <v>11</v>
      </c>
      <c r="C143" s="6">
        <v>2022</v>
      </c>
      <c r="D143" s="6" t="s">
        <v>72</v>
      </c>
      <c r="E143" s="6" t="str">
        <f t="shared" si="2"/>
        <v>Italy</v>
      </c>
      <c r="F143" s="6" t="s">
        <v>37</v>
      </c>
      <c r="G143" s="6" t="s">
        <v>134</v>
      </c>
      <c r="H143" s="7">
        <v>16349</v>
      </c>
    </row>
    <row r="144" spans="2:8" x14ac:dyDescent="0.3">
      <c r="B144" s="6" t="s">
        <v>11</v>
      </c>
      <c r="C144" s="6">
        <v>2022</v>
      </c>
      <c r="D144" s="6" t="s">
        <v>26</v>
      </c>
      <c r="E144" s="6" t="str">
        <f t="shared" si="2"/>
        <v>Italy</v>
      </c>
      <c r="F144" s="6" t="s">
        <v>36</v>
      </c>
      <c r="G144" s="6" t="s">
        <v>136</v>
      </c>
      <c r="H144" s="7">
        <v>12612</v>
      </c>
    </row>
    <row r="145" spans="2:8" x14ac:dyDescent="0.3">
      <c r="B145" s="6" t="s">
        <v>11</v>
      </c>
      <c r="C145" s="6">
        <v>2022</v>
      </c>
      <c r="D145" s="6" t="s">
        <v>45</v>
      </c>
      <c r="E145" s="6" t="str">
        <f t="shared" si="2"/>
        <v>France</v>
      </c>
      <c r="F145" s="6" t="s">
        <v>36</v>
      </c>
      <c r="G145" s="6" t="s">
        <v>134</v>
      </c>
      <c r="H145" s="7">
        <v>17691</v>
      </c>
    </row>
    <row r="146" spans="2:8" x14ac:dyDescent="0.3">
      <c r="B146" s="6" t="s">
        <v>11</v>
      </c>
      <c r="C146" s="6">
        <v>2022</v>
      </c>
      <c r="D146" s="6" t="s">
        <v>46</v>
      </c>
      <c r="E146" s="6" t="str">
        <f t="shared" si="2"/>
        <v>Italy</v>
      </c>
      <c r="F146" s="6" t="s">
        <v>36</v>
      </c>
      <c r="G146" s="6" t="s">
        <v>137</v>
      </c>
      <c r="H146" s="7">
        <v>11686</v>
      </c>
    </row>
    <row r="147" spans="2:8" x14ac:dyDescent="0.3">
      <c r="B147" s="6" t="s">
        <v>11</v>
      </c>
      <c r="C147" s="6">
        <v>2022</v>
      </c>
      <c r="D147" s="6" t="s">
        <v>108</v>
      </c>
      <c r="E147" s="6" t="str">
        <f t="shared" si="2"/>
        <v>USA</v>
      </c>
      <c r="F147" s="6" t="s">
        <v>37</v>
      </c>
      <c r="G147" s="6" t="s">
        <v>136</v>
      </c>
      <c r="H147" s="7">
        <v>11042</v>
      </c>
    </row>
    <row r="148" spans="2:8" x14ac:dyDescent="0.3">
      <c r="B148" s="6" t="s">
        <v>11</v>
      </c>
      <c r="C148" s="6">
        <v>2022</v>
      </c>
      <c r="D148" s="6" t="s">
        <v>89</v>
      </c>
      <c r="E148" s="6" t="str">
        <f t="shared" si="2"/>
        <v>Italy</v>
      </c>
      <c r="F148" s="6" t="s">
        <v>37</v>
      </c>
      <c r="G148" s="6" t="s">
        <v>134</v>
      </c>
      <c r="H148" s="7">
        <v>7385</v>
      </c>
    </row>
    <row r="149" spans="2:8" x14ac:dyDescent="0.3">
      <c r="B149" s="6" t="s">
        <v>11</v>
      </c>
      <c r="C149" s="6">
        <v>2022</v>
      </c>
      <c r="D149" s="6" t="s">
        <v>42</v>
      </c>
      <c r="E149" s="6" t="str">
        <f t="shared" si="2"/>
        <v>Italy</v>
      </c>
      <c r="F149" s="6" t="s">
        <v>38</v>
      </c>
      <c r="G149" s="6" t="s">
        <v>135</v>
      </c>
      <c r="H149" s="7">
        <v>13657</v>
      </c>
    </row>
    <row r="150" spans="2:8" x14ac:dyDescent="0.3">
      <c r="B150" s="6" t="s">
        <v>11</v>
      </c>
      <c r="C150" s="6">
        <v>2023</v>
      </c>
      <c r="D150" s="6" t="s">
        <v>25</v>
      </c>
      <c r="E150" s="6" t="str">
        <f t="shared" si="2"/>
        <v>Italy</v>
      </c>
      <c r="F150" s="6" t="s">
        <v>38</v>
      </c>
      <c r="G150" s="6" t="s">
        <v>135</v>
      </c>
      <c r="H150" s="7">
        <v>10057</v>
      </c>
    </row>
    <row r="151" spans="2:8" x14ac:dyDescent="0.3">
      <c r="B151" s="6" t="s">
        <v>11</v>
      </c>
      <c r="C151" s="6">
        <v>2023</v>
      </c>
      <c r="D151" s="6" t="s">
        <v>40</v>
      </c>
      <c r="E151" s="6" t="str">
        <f t="shared" si="2"/>
        <v>Italy</v>
      </c>
      <c r="F151" s="6" t="s">
        <v>38</v>
      </c>
      <c r="G151" s="6" t="s">
        <v>135</v>
      </c>
      <c r="H151" s="7">
        <v>14683</v>
      </c>
    </row>
    <row r="152" spans="2:8" x14ac:dyDescent="0.3">
      <c r="B152" s="6" t="s">
        <v>11</v>
      </c>
      <c r="C152" s="6">
        <v>2023</v>
      </c>
      <c r="D152" s="6" t="s">
        <v>109</v>
      </c>
      <c r="E152" s="6" t="str">
        <f t="shared" si="2"/>
        <v>Italy</v>
      </c>
      <c r="F152" s="6" t="s">
        <v>36</v>
      </c>
      <c r="G152" s="6" t="s">
        <v>136</v>
      </c>
      <c r="H152" s="7">
        <v>4068</v>
      </c>
    </row>
    <row r="153" spans="2:8" x14ac:dyDescent="0.3">
      <c r="B153" s="6" t="s">
        <v>11</v>
      </c>
      <c r="C153" s="6">
        <v>2023</v>
      </c>
      <c r="D153" s="6" t="s">
        <v>89</v>
      </c>
      <c r="E153" s="6" t="str">
        <f t="shared" si="2"/>
        <v>Italy</v>
      </c>
      <c r="F153" s="6" t="s">
        <v>37</v>
      </c>
      <c r="G153" s="6" t="s">
        <v>134</v>
      </c>
      <c r="H153" s="7">
        <v>9809</v>
      </c>
    </row>
    <row r="154" spans="2:8" x14ac:dyDescent="0.3">
      <c r="B154" s="6" t="s">
        <v>11</v>
      </c>
      <c r="C154" s="6">
        <v>2023</v>
      </c>
      <c r="D154" s="6" t="s">
        <v>24</v>
      </c>
      <c r="E154" s="6" t="str">
        <f t="shared" si="2"/>
        <v>Italy</v>
      </c>
      <c r="F154" s="6" t="s">
        <v>37</v>
      </c>
      <c r="G154" s="6" t="s">
        <v>134</v>
      </c>
      <c r="H154" s="7">
        <v>4480</v>
      </c>
    </row>
    <row r="155" spans="2:8" x14ac:dyDescent="0.3">
      <c r="B155" s="6" t="s">
        <v>11</v>
      </c>
      <c r="C155" s="6">
        <v>2023</v>
      </c>
      <c r="D155" s="6" t="s">
        <v>47</v>
      </c>
      <c r="E155" s="6" t="str">
        <f t="shared" si="2"/>
        <v>Norway</v>
      </c>
      <c r="F155" s="6" t="s">
        <v>36</v>
      </c>
      <c r="G155" s="6" t="s">
        <v>135</v>
      </c>
      <c r="H155" s="7">
        <v>3007</v>
      </c>
    </row>
    <row r="156" spans="2:8" x14ac:dyDescent="0.3">
      <c r="B156" s="6" t="s">
        <v>11</v>
      </c>
      <c r="C156" s="6">
        <v>2023</v>
      </c>
      <c r="D156" s="6" t="s">
        <v>110</v>
      </c>
      <c r="E156" s="6" t="str">
        <f t="shared" si="2"/>
        <v>Italy</v>
      </c>
      <c r="F156" s="6" t="s">
        <v>36</v>
      </c>
      <c r="G156" s="6" t="s">
        <v>136</v>
      </c>
      <c r="H156" s="7">
        <v>1848</v>
      </c>
    </row>
    <row r="157" spans="2:8" x14ac:dyDescent="0.3">
      <c r="B157" s="6" t="s">
        <v>11</v>
      </c>
      <c r="C157" s="6">
        <v>2023</v>
      </c>
      <c r="D157" s="6" t="s">
        <v>45</v>
      </c>
      <c r="E157" s="6" t="str">
        <f t="shared" si="2"/>
        <v>France</v>
      </c>
      <c r="F157" s="6" t="s">
        <v>36</v>
      </c>
      <c r="G157" s="6" t="s">
        <v>134</v>
      </c>
      <c r="H157" s="7">
        <v>5881</v>
      </c>
    </row>
    <row r="158" spans="2:8" x14ac:dyDescent="0.3">
      <c r="B158" s="6" t="s">
        <v>11</v>
      </c>
      <c r="C158" s="6">
        <v>2023</v>
      </c>
      <c r="D158" s="6" t="s">
        <v>81</v>
      </c>
      <c r="E158" s="6" t="str">
        <f t="shared" si="2"/>
        <v>Italy</v>
      </c>
      <c r="F158" s="6" t="s">
        <v>38</v>
      </c>
      <c r="G158" s="6" t="s">
        <v>135</v>
      </c>
      <c r="H158" s="7">
        <v>7509</v>
      </c>
    </row>
    <row r="159" spans="2:8" x14ac:dyDescent="0.3">
      <c r="B159" s="6" t="s">
        <v>11</v>
      </c>
      <c r="C159" s="6">
        <v>2023</v>
      </c>
      <c r="D159" s="6" t="s">
        <v>71</v>
      </c>
      <c r="E159" s="6" t="str">
        <f t="shared" si="2"/>
        <v>Italy</v>
      </c>
      <c r="F159" s="6" t="s">
        <v>36</v>
      </c>
      <c r="G159" s="6" t="s">
        <v>136</v>
      </c>
      <c r="H159" s="7">
        <v>7636</v>
      </c>
    </row>
    <row r="160" spans="2:8" x14ac:dyDescent="0.3">
      <c r="B160" s="6" t="s">
        <v>11</v>
      </c>
      <c r="C160" s="6">
        <v>2023</v>
      </c>
      <c r="D160" s="6" t="s">
        <v>25</v>
      </c>
      <c r="E160" s="6" t="str">
        <f t="shared" si="2"/>
        <v>Italy</v>
      </c>
      <c r="F160" s="6" t="s">
        <v>38</v>
      </c>
      <c r="G160" s="6" t="s">
        <v>135</v>
      </c>
      <c r="H160" s="7">
        <v>1406</v>
      </c>
    </row>
    <row r="161" spans="2:8" x14ac:dyDescent="0.3">
      <c r="B161" s="6" t="s">
        <v>11</v>
      </c>
      <c r="C161" s="6">
        <v>2023</v>
      </c>
      <c r="D161" s="6" t="s">
        <v>111</v>
      </c>
      <c r="E161" s="6" t="str">
        <f t="shared" si="2"/>
        <v>USA</v>
      </c>
      <c r="F161" s="6" t="s">
        <v>37</v>
      </c>
      <c r="G161" s="6" t="s">
        <v>136</v>
      </c>
      <c r="H161" s="7">
        <v>5119</v>
      </c>
    </row>
    <row r="162" spans="2:8" x14ac:dyDescent="0.3">
      <c r="B162" s="6" t="s">
        <v>11</v>
      </c>
      <c r="C162" s="6">
        <v>2023</v>
      </c>
      <c r="D162" s="6" t="s">
        <v>27</v>
      </c>
      <c r="E162" s="6" t="str">
        <f t="shared" si="2"/>
        <v>Italy</v>
      </c>
      <c r="F162" s="6" t="s">
        <v>36</v>
      </c>
      <c r="G162" s="6" t="s">
        <v>136</v>
      </c>
      <c r="H162" s="7">
        <v>8950</v>
      </c>
    </row>
    <row r="163" spans="2:8" x14ac:dyDescent="0.3">
      <c r="B163" s="6" t="s">
        <v>11</v>
      </c>
      <c r="C163" s="6">
        <v>2023</v>
      </c>
      <c r="D163" s="6" t="s">
        <v>70</v>
      </c>
      <c r="E163" s="6" t="str">
        <f t="shared" si="2"/>
        <v>Italy</v>
      </c>
      <c r="F163" s="6" t="s">
        <v>36</v>
      </c>
      <c r="G163" s="6" t="s">
        <v>136</v>
      </c>
      <c r="H163" s="7">
        <v>9786</v>
      </c>
    </row>
    <row r="164" spans="2:8" x14ac:dyDescent="0.3">
      <c r="B164" s="6" t="s">
        <v>11</v>
      </c>
      <c r="C164" s="6">
        <v>2023</v>
      </c>
      <c r="D164" s="6" t="s">
        <v>68</v>
      </c>
      <c r="E164" s="6" t="str">
        <f t="shared" si="2"/>
        <v>Norway</v>
      </c>
      <c r="F164" s="6" t="s">
        <v>36</v>
      </c>
      <c r="G164" s="6" t="s">
        <v>135</v>
      </c>
      <c r="H164" s="7">
        <v>1755</v>
      </c>
    </row>
    <row r="165" spans="2:8" x14ac:dyDescent="0.3">
      <c r="B165" s="6" t="s">
        <v>11</v>
      </c>
      <c r="C165" s="6">
        <v>2023</v>
      </c>
      <c r="D165" s="6" t="s">
        <v>25</v>
      </c>
      <c r="E165" s="6" t="str">
        <f t="shared" si="2"/>
        <v>Italy</v>
      </c>
      <c r="F165" s="6" t="s">
        <v>38</v>
      </c>
      <c r="G165" s="6" t="s">
        <v>135</v>
      </c>
      <c r="H165" s="7">
        <v>9967</v>
      </c>
    </row>
    <row r="166" spans="2:8" x14ac:dyDescent="0.3">
      <c r="B166" s="6" t="s">
        <v>11</v>
      </c>
      <c r="C166" s="6">
        <v>2023</v>
      </c>
      <c r="D166" s="6" t="s">
        <v>66</v>
      </c>
      <c r="E166" s="6" t="str">
        <f t="shared" si="2"/>
        <v>Italy</v>
      </c>
      <c r="F166" s="6" t="s">
        <v>36</v>
      </c>
      <c r="G166" s="6" t="s">
        <v>136</v>
      </c>
      <c r="H166" s="7">
        <v>13471</v>
      </c>
    </row>
    <row r="167" spans="2:8" x14ac:dyDescent="0.3">
      <c r="B167" s="6" t="s">
        <v>11</v>
      </c>
      <c r="C167" s="6">
        <v>2023</v>
      </c>
      <c r="D167" s="6" t="s">
        <v>23</v>
      </c>
      <c r="E167" s="6" t="str">
        <f t="shared" si="2"/>
        <v>Italy</v>
      </c>
      <c r="F167" s="6" t="s">
        <v>36</v>
      </c>
      <c r="G167" s="6" t="s">
        <v>136</v>
      </c>
      <c r="H167" s="7">
        <v>8049</v>
      </c>
    </row>
    <row r="168" spans="2:8" x14ac:dyDescent="0.3">
      <c r="B168" s="6" t="s">
        <v>11</v>
      </c>
      <c r="C168" s="6">
        <v>2023</v>
      </c>
      <c r="D168" s="6" t="s">
        <v>83</v>
      </c>
      <c r="E168" s="6" t="str">
        <f t="shared" si="2"/>
        <v>Italy</v>
      </c>
      <c r="F168" s="6" t="s">
        <v>36</v>
      </c>
      <c r="G168" s="6" t="s">
        <v>136</v>
      </c>
      <c r="H168" s="7">
        <v>2220</v>
      </c>
    </row>
    <row r="169" spans="2:8" x14ac:dyDescent="0.3">
      <c r="B169" s="6" t="s">
        <v>12</v>
      </c>
      <c r="C169" s="6">
        <v>2022</v>
      </c>
      <c r="D169" s="6" t="s">
        <v>103</v>
      </c>
      <c r="E169" s="6" t="str">
        <f t="shared" si="2"/>
        <v>Italy</v>
      </c>
      <c r="F169" s="6" t="s">
        <v>37</v>
      </c>
      <c r="G169" s="6" t="s">
        <v>134</v>
      </c>
      <c r="H169" s="7">
        <v>9533</v>
      </c>
    </row>
    <row r="170" spans="2:8" x14ac:dyDescent="0.3">
      <c r="B170" s="6" t="s">
        <v>12</v>
      </c>
      <c r="C170" s="6">
        <v>2022</v>
      </c>
      <c r="D170" s="6" t="s">
        <v>41</v>
      </c>
      <c r="E170" s="6" t="str">
        <f t="shared" si="2"/>
        <v>Germany</v>
      </c>
      <c r="F170" s="6" t="s">
        <v>35</v>
      </c>
      <c r="G170" s="6" t="s">
        <v>135</v>
      </c>
      <c r="H170" s="7">
        <v>14951</v>
      </c>
    </row>
    <row r="171" spans="2:8" x14ac:dyDescent="0.3">
      <c r="B171" s="6" t="s">
        <v>12</v>
      </c>
      <c r="C171" s="6">
        <v>2022</v>
      </c>
      <c r="D171" s="6" t="s">
        <v>81</v>
      </c>
      <c r="E171" s="6" t="str">
        <f t="shared" si="2"/>
        <v>Italy</v>
      </c>
      <c r="F171" s="6" t="s">
        <v>38</v>
      </c>
      <c r="G171" s="6" t="s">
        <v>135</v>
      </c>
      <c r="H171" s="7">
        <v>3541</v>
      </c>
    </row>
    <row r="172" spans="2:8" x14ac:dyDescent="0.3">
      <c r="B172" s="6" t="s">
        <v>12</v>
      </c>
      <c r="C172" s="6">
        <v>2022</v>
      </c>
      <c r="D172" s="6" t="s">
        <v>60</v>
      </c>
      <c r="E172" s="6" t="str">
        <f t="shared" si="2"/>
        <v>Italy</v>
      </c>
      <c r="F172" s="6" t="s">
        <v>38</v>
      </c>
      <c r="G172" s="6" t="s">
        <v>135</v>
      </c>
      <c r="H172" s="7">
        <v>11553</v>
      </c>
    </row>
    <row r="173" spans="2:8" x14ac:dyDescent="0.3">
      <c r="B173" s="6" t="s">
        <v>12</v>
      </c>
      <c r="C173" s="6">
        <v>2022</v>
      </c>
      <c r="D173" s="6" t="s">
        <v>109</v>
      </c>
      <c r="E173" s="6" t="str">
        <f t="shared" si="2"/>
        <v>Italy</v>
      </c>
      <c r="F173" s="6" t="s">
        <v>36</v>
      </c>
      <c r="G173" s="6" t="s">
        <v>136</v>
      </c>
      <c r="H173" s="7">
        <v>1191</v>
      </c>
    </row>
    <row r="174" spans="2:8" x14ac:dyDescent="0.3">
      <c r="B174" s="6" t="s">
        <v>12</v>
      </c>
      <c r="C174" s="6">
        <v>2022</v>
      </c>
      <c r="D174" s="6" t="s">
        <v>93</v>
      </c>
      <c r="E174" s="6" t="str">
        <f t="shared" si="2"/>
        <v>Italy</v>
      </c>
      <c r="F174" s="6" t="s">
        <v>36</v>
      </c>
      <c r="G174" s="6" t="s">
        <v>136</v>
      </c>
      <c r="H174" s="7">
        <v>5864</v>
      </c>
    </row>
    <row r="175" spans="2:8" x14ac:dyDescent="0.3">
      <c r="B175" s="6" t="s">
        <v>12</v>
      </c>
      <c r="C175" s="6">
        <v>2022</v>
      </c>
      <c r="D175" s="6" t="s">
        <v>84</v>
      </c>
      <c r="E175" s="6" t="str">
        <f t="shared" si="2"/>
        <v>Italy</v>
      </c>
      <c r="F175" s="6" t="s">
        <v>38</v>
      </c>
      <c r="G175" s="6" t="s">
        <v>135</v>
      </c>
      <c r="H175" s="7">
        <v>9281</v>
      </c>
    </row>
    <row r="176" spans="2:8" x14ac:dyDescent="0.3">
      <c r="B176" s="6" t="s">
        <v>12</v>
      </c>
      <c r="C176" s="6">
        <v>2022</v>
      </c>
      <c r="D176" s="6" t="s">
        <v>40</v>
      </c>
      <c r="E176" s="6" t="str">
        <f t="shared" si="2"/>
        <v>Italy</v>
      </c>
      <c r="F176" s="6" t="s">
        <v>38</v>
      </c>
      <c r="G176" s="6" t="s">
        <v>135</v>
      </c>
      <c r="H176" s="7">
        <v>1094</v>
      </c>
    </row>
    <row r="177" spans="2:8" x14ac:dyDescent="0.3">
      <c r="B177" s="6" t="s">
        <v>12</v>
      </c>
      <c r="C177" s="6">
        <v>2022</v>
      </c>
      <c r="D177" s="6" t="s">
        <v>22</v>
      </c>
      <c r="E177" s="6" t="str">
        <f t="shared" si="2"/>
        <v>France</v>
      </c>
      <c r="F177" s="6" t="s">
        <v>36</v>
      </c>
      <c r="G177" s="6" t="s">
        <v>134</v>
      </c>
      <c r="H177" s="7">
        <v>6547</v>
      </c>
    </row>
    <row r="178" spans="2:8" x14ac:dyDescent="0.3">
      <c r="B178" s="6" t="s">
        <v>12</v>
      </c>
      <c r="C178" s="6">
        <v>2022</v>
      </c>
      <c r="D178" s="6" t="s">
        <v>110</v>
      </c>
      <c r="E178" s="6" t="str">
        <f t="shared" si="2"/>
        <v>Italy</v>
      </c>
      <c r="F178" s="6" t="s">
        <v>36</v>
      </c>
      <c r="G178" s="6" t="s">
        <v>136</v>
      </c>
      <c r="H178" s="7">
        <v>2712</v>
      </c>
    </row>
    <row r="179" spans="2:8" x14ac:dyDescent="0.3">
      <c r="B179" s="6" t="s">
        <v>12</v>
      </c>
      <c r="C179" s="6">
        <v>2022</v>
      </c>
      <c r="D179" s="6" t="s">
        <v>112</v>
      </c>
      <c r="E179" s="6" t="str">
        <f t="shared" si="2"/>
        <v>USA</v>
      </c>
      <c r="F179" s="6" t="s">
        <v>37</v>
      </c>
      <c r="G179" s="6" t="s">
        <v>136</v>
      </c>
      <c r="H179" s="7">
        <v>8740</v>
      </c>
    </row>
    <row r="180" spans="2:8" x14ac:dyDescent="0.3">
      <c r="B180" s="6" t="s">
        <v>12</v>
      </c>
      <c r="C180" s="6">
        <v>2022</v>
      </c>
      <c r="D180" s="6" t="s">
        <v>113</v>
      </c>
      <c r="E180" s="6" t="str">
        <f t="shared" si="2"/>
        <v>Norway</v>
      </c>
      <c r="F180" s="6" t="s">
        <v>36</v>
      </c>
      <c r="G180" s="6" t="s">
        <v>135</v>
      </c>
      <c r="H180" s="7">
        <v>15021</v>
      </c>
    </row>
    <row r="181" spans="2:8" x14ac:dyDescent="0.3">
      <c r="B181" s="6" t="s">
        <v>12</v>
      </c>
      <c r="C181" s="6">
        <v>2022</v>
      </c>
      <c r="D181" s="6" t="s">
        <v>96</v>
      </c>
      <c r="E181" s="6" t="str">
        <f t="shared" si="2"/>
        <v>USA</v>
      </c>
      <c r="F181" s="6" t="s">
        <v>37</v>
      </c>
      <c r="G181" s="6" t="s">
        <v>136</v>
      </c>
      <c r="H181" s="7">
        <v>4344</v>
      </c>
    </row>
    <row r="182" spans="2:8" x14ac:dyDescent="0.3">
      <c r="B182" s="6" t="s">
        <v>12</v>
      </c>
      <c r="C182" s="6">
        <v>2022</v>
      </c>
      <c r="D182" s="6" t="s">
        <v>96</v>
      </c>
      <c r="E182" s="6" t="str">
        <f t="shared" si="2"/>
        <v>USA</v>
      </c>
      <c r="F182" s="6" t="s">
        <v>37</v>
      </c>
      <c r="G182" s="6" t="s">
        <v>136</v>
      </c>
      <c r="H182" s="7">
        <v>9620</v>
      </c>
    </row>
    <row r="183" spans="2:8" x14ac:dyDescent="0.3">
      <c r="B183" s="6" t="s">
        <v>12</v>
      </c>
      <c r="C183" s="6">
        <v>2022</v>
      </c>
      <c r="D183" s="6" t="s">
        <v>66</v>
      </c>
      <c r="E183" s="6" t="str">
        <f t="shared" si="2"/>
        <v>Italy</v>
      </c>
      <c r="F183" s="6" t="s">
        <v>36</v>
      </c>
      <c r="G183" s="6" t="s">
        <v>136</v>
      </c>
      <c r="H183" s="7">
        <v>15285</v>
      </c>
    </row>
    <row r="184" spans="2:8" x14ac:dyDescent="0.3">
      <c r="B184" s="6" t="s">
        <v>12</v>
      </c>
      <c r="C184" s="6">
        <v>2022</v>
      </c>
      <c r="D184" s="6" t="s">
        <v>54</v>
      </c>
      <c r="E184" s="6" t="str">
        <f t="shared" si="2"/>
        <v>France</v>
      </c>
      <c r="F184" s="6" t="s">
        <v>36</v>
      </c>
      <c r="G184" s="6" t="s">
        <v>137</v>
      </c>
      <c r="H184" s="7">
        <v>8088</v>
      </c>
    </row>
    <row r="185" spans="2:8" x14ac:dyDescent="0.3">
      <c r="B185" s="6" t="s">
        <v>12</v>
      </c>
      <c r="C185" s="6">
        <v>2022</v>
      </c>
      <c r="D185" s="6" t="s">
        <v>56</v>
      </c>
      <c r="E185" s="6" t="str">
        <f t="shared" si="2"/>
        <v>Norway</v>
      </c>
      <c r="F185" s="6" t="s">
        <v>36</v>
      </c>
      <c r="G185" s="6" t="s">
        <v>135</v>
      </c>
      <c r="H185" s="7">
        <v>13959</v>
      </c>
    </row>
    <row r="186" spans="2:8" x14ac:dyDescent="0.3">
      <c r="B186" s="6" t="s">
        <v>12</v>
      </c>
      <c r="C186" s="6">
        <v>2022</v>
      </c>
      <c r="D186" s="6" t="s">
        <v>114</v>
      </c>
      <c r="E186" s="6" t="str">
        <f t="shared" si="2"/>
        <v>Norway</v>
      </c>
      <c r="F186" s="6" t="s">
        <v>36</v>
      </c>
      <c r="G186" s="6" t="s">
        <v>135</v>
      </c>
      <c r="H186" s="7">
        <v>3778</v>
      </c>
    </row>
    <row r="187" spans="2:8" x14ac:dyDescent="0.3">
      <c r="B187" s="6" t="s">
        <v>12</v>
      </c>
      <c r="C187" s="6">
        <v>2022</v>
      </c>
      <c r="D187" s="6" t="s">
        <v>93</v>
      </c>
      <c r="E187" s="6" t="str">
        <f t="shared" si="2"/>
        <v>Italy</v>
      </c>
      <c r="F187" s="6" t="s">
        <v>36</v>
      </c>
      <c r="G187" s="6" t="s">
        <v>136</v>
      </c>
      <c r="H187" s="7">
        <v>10492</v>
      </c>
    </row>
    <row r="188" spans="2:8" x14ac:dyDescent="0.3">
      <c r="B188" s="6" t="s">
        <v>12</v>
      </c>
      <c r="C188" s="6">
        <v>2022</v>
      </c>
      <c r="D188" s="6" t="s">
        <v>112</v>
      </c>
      <c r="E188" s="6" t="str">
        <f t="shared" si="2"/>
        <v>USA</v>
      </c>
      <c r="F188" s="6" t="s">
        <v>37</v>
      </c>
      <c r="G188" s="6" t="s">
        <v>136</v>
      </c>
      <c r="H188" s="7">
        <v>12047</v>
      </c>
    </row>
    <row r="189" spans="2:8" x14ac:dyDescent="0.3">
      <c r="B189" s="6" t="s">
        <v>12</v>
      </c>
      <c r="C189" s="6">
        <v>2023</v>
      </c>
      <c r="D189" s="6" t="s">
        <v>115</v>
      </c>
      <c r="E189" s="6" t="str">
        <f t="shared" si="2"/>
        <v>Italy</v>
      </c>
      <c r="F189" s="6" t="s">
        <v>36</v>
      </c>
      <c r="G189" s="6" t="s">
        <v>136</v>
      </c>
      <c r="H189" s="7">
        <v>8619</v>
      </c>
    </row>
    <row r="190" spans="2:8" x14ac:dyDescent="0.3">
      <c r="B190" s="6" t="s">
        <v>12</v>
      </c>
      <c r="C190" s="6">
        <v>2023</v>
      </c>
      <c r="D190" s="6" t="s">
        <v>76</v>
      </c>
      <c r="E190" s="6" t="str">
        <f t="shared" si="2"/>
        <v>Italy</v>
      </c>
      <c r="F190" s="6" t="s">
        <v>36</v>
      </c>
      <c r="G190" s="6" t="s">
        <v>136</v>
      </c>
      <c r="H190" s="7">
        <v>2691</v>
      </c>
    </row>
    <row r="191" spans="2:8" x14ac:dyDescent="0.3">
      <c r="B191" s="6" t="s">
        <v>12</v>
      </c>
      <c r="C191" s="6">
        <v>2023</v>
      </c>
      <c r="D191" s="6" t="s">
        <v>113</v>
      </c>
      <c r="E191" s="6" t="str">
        <f t="shared" si="2"/>
        <v>Norway</v>
      </c>
      <c r="F191" s="6" t="s">
        <v>36</v>
      </c>
      <c r="G191" s="6" t="s">
        <v>135</v>
      </c>
      <c r="H191" s="7">
        <v>4956</v>
      </c>
    </row>
    <row r="192" spans="2:8" x14ac:dyDescent="0.3">
      <c r="B192" s="6" t="s">
        <v>12</v>
      </c>
      <c r="C192" s="6">
        <v>2023</v>
      </c>
      <c r="D192" s="6" t="s">
        <v>116</v>
      </c>
      <c r="E192" s="6" t="str">
        <f t="shared" si="2"/>
        <v>Italy</v>
      </c>
      <c r="F192" s="6" t="s">
        <v>36</v>
      </c>
      <c r="G192" s="6" t="s">
        <v>136</v>
      </c>
      <c r="H192" s="7">
        <v>8961</v>
      </c>
    </row>
    <row r="193" spans="2:8" x14ac:dyDescent="0.3">
      <c r="B193" s="6" t="s">
        <v>12</v>
      </c>
      <c r="C193" s="6">
        <v>2023</v>
      </c>
      <c r="D193" s="6" t="s">
        <v>59</v>
      </c>
      <c r="E193" s="6" t="str">
        <f t="shared" si="2"/>
        <v>USA</v>
      </c>
      <c r="F193" s="6" t="s">
        <v>37</v>
      </c>
      <c r="G193" s="6" t="s">
        <v>136</v>
      </c>
      <c r="H193" s="7">
        <v>13414</v>
      </c>
    </row>
    <row r="194" spans="2:8" x14ac:dyDescent="0.3">
      <c r="B194" s="6" t="s">
        <v>12</v>
      </c>
      <c r="C194" s="6">
        <v>2023</v>
      </c>
      <c r="D194" s="6" t="s">
        <v>96</v>
      </c>
      <c r="E194" s="6" t="str">
        <f t="shared" si="2"/>
        <v>USA</v>
      </c>
      <c r="F194" s="6" t="s">
        <v>37</v>
      </c>
      <c r="G194" s="6" t="s">
        <v>136</v>
      </c>
      <c r="H194" s="7">
        <v>9153</v>
      </c>
    </row>
    <row r="195" spans="2:8" x14ac:dyDescent="0.3">
      <c r="B195" s="6" t="s">
        <v>12</v>
      </c>
      <c r="C195" s="6">
        <v>2023</v>
      </c>
      <c r="D195" s="6" t="s">
        <v>113</v>
      </c>
      <c r="E195" s="6" t="str">
        <f t="shared" si="2"/>
        <v>Norway</v>
      </c>
      <c r="F195" s="6" t="s">
        <v>36</v>
      </c>
      <c r="G195" s="6" t="s">
        <v>135</v>
      </c>
      <c r="H195" s="7">
        <v>5871</v>
      </c>
    </row>
    <row r="196" spans="2:8" x14ac:dyDescent="0.3">
      <c r="B196" s="6" t="s">
        <v>12</v>
      </c>
      <c r="C196" s="6">
        <v>2023</v>
      </c>
      <c r="D196" s="6" t="s">
        <v>72</v>
      </c>
      <c r="E196" s="6" t="str">
        <f t="shared" si="2"/>
        <v>Italy</v>
      </c>
      <c r="F196" s="6" t="s">
        <v>37</v>
      </c>
      <c r="G196" s="6" t="s">
        <v>134</v>
      </c>
      <c r="H196" s="7">
        <v>4210</v>
      </c>
    </row>
    <row r="197" spans="2:8" x14ac:dyDescent="0.3">
      <c r="B197" s="6" t="s">
        <v>12</v>
      </c>
      <c r="C197" s="6">
        <v>2023</v>
      </c>
      <c r="D197" s="6" t="s">
        <v>101</v>
      </c>
      <c r="E197" s="6" t="str">
        <f t="shared" si="2"/>
        <v>France</v>
      </c>
      <c r="F197" s="6" t="s">
        <v>36</v>
      </c>
      <c r="G197" s="6" t="s">
        <v>134</v>
      </c>
      <c r="H197" s="7">
        <v>5370</v>
      </c>
    </row>
    <row r="198" spans="2:8" x14ac:dyDescent="0.3">
      <c r="B198" s="6" t="s">
        <v>12</v>
      </c>
      <c r="C198" s="6">
        <v>2023</v>
      </c>
      <c r="D198" s="6" t="s">
        <v>89</v>
      </c>
      <c r="E198" s="6" t="str">
        <f t="shared" si="2"/>
        <v>Italy</v>
      </c>
      <c r="F198" s="6" t="s">
        <v>37</v>
      </c>
      <c r="G198" s="6" t="s">
        <v>134</v>
      </c>
      <c r="H198" s="7">
        <v>11606</v>
      </c>
    </row>
    <row r="199" spans="2:8" x14ac:dyDescent="0.3">
      <c r="B199" s="6" t="s">
        <v>12</v>
      </c>
      <c r="C199" s="6">
        <v>2023</v>
      </c>
      <c r="D199" s="6" t="s">
        <v>117</v>
      </c>
      <c r="E199" s="6" t="str">
        <f t="shared" si="2"/>
        <v>France</v>
      </c>
      <c r="F199" s="6" t="s">
        <v>36</v>
      </c>
      <c r="G199" s="6" t="s">
        <v>134</v>
      </c>
      <c r="H199" s="7">
        <v>7208</v>
      </c>
    </row>
    <row r="200" spans="2:8" x14ac:dyDescent="0.3">
      <c r="B200" s="6" t="s">
        <v>12</v>
      </c>
      <c r="C200" s="6">
        <v>2023</v>
      </c>
      <c r="D200" s="6" t="s">
        <v>99</v>
      </c>
      <c r="E200" s="6" t="str">
        <f t="shared" ref="E200:E263" si="3">_xlfn.SWITCH(RIGHT(D200,1), "0", "Germany", "1", "USA", "2", "Norway", "3", "France", "Italy")</f>
        <v>Italy</v>
      </c>
      <c r="F200" s="6" t="s">
        <v>38</v>
      </c>
      <c r="G200" s="6" t="s">
        <v>135</v>
      </c>
      <c r="H200" s="7">
        <v>8945</v>
      </c>
    </row>
    <row r="201" spans="2:8" x14ac:dyDescent="0.3">
      <c r="B201" s="6" t="s">
        <v>12</v>
      </c>
      <c r="C201" s="6">
        <v>2023</v>
      </c>
      <c r="D201" s="6" t="s">
        <v>64</v>
      </c>
      <c r="E201" s="6" t="str">
        <f t="shared" si="3"/>
        <v>Italy</v>
      </c>
      <c r="F201" s="6" t="s">
        <v>36</v>
      </c>
      <c r="G201" s="6" t="s">
        <v>136</v>
      </c>
      <c r="H201" s="7">
        <v>12282</v>
      </c>
    </row>
    <row r="202" spans="2:8" x14ac:dyDescent="0.3">
      <c r="B202" s="6" t="s">
        <v>12</v>
      </c>
      <c r="C202" s="6">
        <v>2023</v>
      </c>
      <c r="D202" s="6" t="s">
        <v>41</v>
      </c>
      <c r="E202" s="6" t="str">
        <f t="shared" si="3"/>
        <v>Germany</v>
      </c>
      <c r="F202" s="6" t="s">
        <v>35</v>
      </c>
      <c r="G202" s="6" t="s">
        <v>135</v>
      </c>
      <c r="H202" s="7">
        <v>13011</v>
      </c>
    </row>
    <row r="203" spans="2:8" x14ac:dyDescent="0.3">
      <c r="B203" s="6" t="s">
        <v>12</v>
      </c>
      <c r="C203" s="6">
        <v>2023</v>
      </c>
      <c r="D203" s="6" t="s">
        <v>25</v>
      </c>
      <c r="E203" s="6" t="str">
        <f t="shared" si="3"/>
        <v>Italy</v>
      </c>
      <c r="F203" s="6" t="s">
        <v>38</v>
      </c>
      <c r="G203" s="6" t="s">
        <v>135</v>
      </c>
      <c r="H203" s="7">
        <v>17043</v>
      </c>
    </row>
    <row r="204" spans="2:8" x14ac:dyDescent="0.3">
      <c r="B204" s="6" t="s">
        <v>12</v>
      </c>
      <c r="C204" s="6">
        <v>2023</v>
      </c>
      <c r="D204" s="6" t="s">
        <v>78</v>
      </c>
      <c r="E204" s="6" t="str">
        <f t="shared" si="3"/>
        <v>Italy</v>
      </c>
      <c r="F204" s="6" t="s">
        <v>37</v>
      </c>
      <c r="G204" s="6" t="s">
        <v>134</v>
      </c>
      <c r="H204" s="7">
        <v>6112</v>
      </c>
    </row>
    <row r="205" spans="2:8" x14ac:dyDescent="0.3">
      <c r="B205" s="6" t="s">
        <v>12</v>
      </c>
      <c r="C205" s="6">
        <v>2023</v>
      </c>
      <c r="D205" s="6" t="s">
        <v>49</v>
      </c>
      <c r="E205" s="6" t="str">
        <f t="shared" si="3"/>
        <v>Italy</v>
      </c>
      <c r="F205" s="6" t="s">
        <v>36</v>
      </c>
      <c r="G205" s="6" t="s">
        <v>136</v>
      </c>
      <c r="H205" s="7">
        <v>14942</v>
      </c>
    </row>
    <row r="206" spans="2:8" x14ac:dyDescent="0.3">
      <c r="B206" s="6" t="s">
        <v>12</v>
      </c>
      <c r="C206" s="6">
        <v>2023</v>
      </c>
      <c r="D206" s="6" t="s">
        <v>90</v>
      </c>
      <c r="E206" s="6" t="str">
        <f t="shared" si="3"/>
        <v>Italy</v>
      </c>
      <c r="F206" s="6" t="s">
        <v>36</v>
      </c>
      <c r="G206" s="6" t="s">
        <v>136</v>
      </c>
      <c r="H206" s="7">
        <v>11892</v>
      </c>
    </row>
    <row r="207" spans="2:8" x14ac:dyDescent="0.3">
      <c r="B207" s="6" t="s">
        <v>13</v>
      </c>
      <c r="C207" s="6">
        <v>2022</v>
      </c>
      <c r="D207" s="6" t="s">
        <v>59</v>
      </c>
      <c r="E207" s="6" t="str">
        <f t="shared" si="3"/>
        <v>USA</v>
      </c>
      <c r="F207" s="6" t="s">
        <v>37</v>
      </c>
      <c r="G207" s="6" t="s">
        <v>136</v>
      </c>
      <c r="H207" s="7">
        <v>15057</v>
      </c>
    </row>
    <row r="208" spans="2:8" x14ac:dyDescent="0.3">
      <c r="B208" s="6" t="s">
        <v>13</v>
      </c>
      <c r="C208" s="6">
        <v>2022</v>
      </c>
      <c r="D208" s="6" t="s">
        <v>44</v>
      </c>
      <c r="E208" s="6" t="str">
        <f t="shared" si="3"/>
        <v>USA</v>
      </c>
      <c r="F208" s="6" t="s">
        <v>37</v>
      </c>
      <c r="G208" s="6" t="s">
        <v>136</v>
      </c>
      <c r="H208" s="7">
        <v>15463</v>
      </c>
    </row>
    <row r="209" spans="2:8" x14ac:dyDescent="0.3">
      <c r="B209" s="6" t="s">
        <v>13</v>
      </c>
      <c r="C209" s="6">
        <v>2022</v>
      </c>
      <c r="D209" s="6" t="s">
        <v>91</v>
      </c>
      <c r="E209" s="6" t="str">
        <f t="shared" si="3"/>
        <v>Italy</v>
      </c>
      <c r="F209" s="6" t="s">
        <v>38</v>
      </c>
      <c r="G209" s="6" t="s">
        <v>135</v>
      </c>
      <c r="H209" s="7">
        <v>11776</v>
      </c>
    </row>
    <row r="210" spans="2:8" x14ac:dyDescent="0.3">
      <c r="B210" s="6" t="s">
        <v>13</v>
      </c>
      <c r="C210" s="6">
        <v>2022</v>
      </c>
      <c r="D210" s="6" t="s">
        <v>118</v>
      </c>
      <c r="E210" s="6" t="str">
        <f t="shared" si="3"/>
        <v>Italy</v>
      </c>
      <c r="F210" s="6" t="s">
        <v>36</v>
      </c>
      <c r="G210" s="6" t="s">
        <v>136</v>
      </c>
      <c r="H210" s="7">
        <v>8315</v>
      </c>
    </row>
    <row r="211" spans="2:8" x14ac:dyDescent="0.3">
      <c r="B211" s="6" t="s">
        <v>13</v>
      </c>
      <c r="C211" s="6">
        <v>2022</v>
      </c>
      <c r="D211" s="6" t="s">
        <v>95</v>
      </c>
      <c r="E211" s="6" t="str">
        <f t="shared" si="3"/>
        <v>Germany</v>
      </c>
      <c r="F211" s="6" t="s">
        <v>35</v>
      </c>
      <c r="G211" s="6" t="s">
        <v>135</v>
      </c>
      <c r="H211" s="7">
        <v>11876</v>
      </c>
    </row>
    <row r="212" spans="2:8" x14ac:dyDescent="0.3">
      <c r="B212" s="6" t="s">
        <v>13</v>
      </c>
      <c r="C212" s="6">
        <v>2022</v>
      </c>
      <c r="D212" s="6" t="s">
        <v>87</v>
      </c>
      <c r="E212" s="6" t="str">
        <f t="shared" si="3"/>
        <v>Italy</v>
      </c>
      <c r="F212" s="6" t="s">
        <v>36</v>
      </c>
      <c r="G212" s="6" t="s">
        <v>136</v>
      </c>
      <c r="H212" s="7">
        <v>13675</v>
      </c>
    </row>
    <row r="213" spans="2:8" x14ac:dyDescent="0.3">
      <c r="B213" s="6" t="s">
        <v>13</v>
      </c>
      <c r="C213" s="6">
        <v>2022</v>
      </c>
      <c r="D213" s="6" t="s">
        <v>119</v>
      </c>
      <c r="E213" s="6" t="str">
        <f t="shared" si="3"/>
        <v>Italy</v>
      </c>
      <c r="F213" s="6" t="s">
        <v>36</v>
      </c>
      <c r="G213" s="6" t="s">
        <v>136</v>
      </c>
      <c r="H213" s="7">
        <v>3703</v>
      </c>
    </row>
    <row r="214" spans="2:8" x14ac:dyDescent="0.3">
      <c r="B214" s="6" t="s">
        <v>13</v>
      </c>
      <c r="C214" s="6">
        <v>2022</v>
      </c>
      <c r="D214" s="6" t="s">
        <v>102</v>
      </c>
      <c r="E214" s="6" t="str">
        <f t="shared" si="3"/>
        <v>USA</v>
      </c>
      <c r="F214" s="6" t="s">
        <v>37</v>
      </c>
      <c r="G214" s="6" t="s">
        <v>136</v>
      </c>
      <c r="H214" s="7">
        <v>14565</v>
      </c>
    </row>
    <row r="215" spans="2:8" x14ac:dyDescent="0.3">
      <c r="B215" s="6" t="s">
        <v>13</v>
      </c>
      <c r="C215" s="6">
        <v>2022</v>
      </c>
      <c r="D215" s="6" t="s">
        <v>120</v>
      </c>
      <c r="E215" s="6" t="str">
        <f t="shared" si="3"/>
        <v>Italy</v>
      </c>
      <c r="F215" s="6" t="s">
        <v>36</v>
      </c>
      <c r="G215" s="6" t="s">
        <v>136</v>
      </c>
      <c r="H215" s="7">
        <v>1164</v>
      </c>
    </row>
    <row r="216" spans="2:8" x14ac:dyDescent="0.3">
      <c r="B216" s="6" t="s">
        <v>13</v>
      </c>
      <c r="C216" s="6">
        <v>2022</v>
      </c>
      <c r="D216" s="6" t="s">
        <v>48</v>
      </c>
      <c r="E216" s="6" t="str">
        <f t="shared" si="3"/>
        <v>France</v>
      </c>
      <c r="F216" s="6" t="s">
        <v>36</v>
      </c>
      <c r="G216" s="6" t="s">
        <v>134</v>
      </c>
      <c r="H216" s="7">
        <v>12310</v>
      </c>
    </row>
    <row r="217" spans="2:8" x14ac:dyDescent="0.3">
      <c r="B217" s="6" t="s">
        <v>13</v>
      </c>
      <c r="C217" s="6">
        <v>2023</v>
      </c>
      <c r="D217" s="6" t="s">
        <v>120</v>
      </c>
      <c r="E217" s="6" t="str">
        <f t="shared" si="3"/>
        <v>Italy</v>
      </c>
      <c r="F217" s="6" t="s">
        <v>36</v>
      </c>
      <c r="G217" s="6" t="s">
        <v>136</v>
      </c>
      <c r="H217" s="7">
        <v>10290</v>
      </c>
    </row>
    <row r="218" spans="2:8" x14ac:dyDescent="0.3">
      <c r="B218" s="6" t="s">
        <v>13</v>
      </c>
      <c r="C218" s="6">
        <v>2023</v>
      </c>
      <c r="D218" s="6" t="s">
        <v>115</v>
      </c>
      <c r="E218" s="6" t="str">
        <f t="shared" si="3"/>
        <v>Italy</v>
      </c>
      <c r="F218" s="6" t="s">
        <v>36</v>
      </c>
      <c r="G218" s="6" t="s">
        <v>136</v>
      </c>
      <c r="H218" s="7">
        <v>4212</v>
      </c>
    </row>
    <row r="219" spans="2:8" x14ac:dyDescent="0.3">
      <c r="B219" s="6" t="s">
        <v>13</v>
      </c>
      <c r="C219" s="6">
        <v>2023</v>
      </c>
      <c r="D219" s="6" t="s">
        <v>114</v>
      </c>
      <c r="E219" s="6" t="str">
        <f t="shared" si="3"/>
        <v>Norway</v>
      </c>
      <c r="F219" s="6" t="s">
        <v>36</v>
      </c>
      <c r="G219" s="6" t="s">
        <v>135</v>
      </c>
      <c r="H219" s="7">
        <v>2495</v>
      </c>
    </row>
    <row r="220" spans="2:8" x14ac:dyDescent="0.3">
      <c r="B220" s="6" t="s">
        <v>13</v>
      </c>
      <c r="C220" s="6">
        <v>2023</v>
      </c>
      <c r="D220" s="6" t="s">
        <v>45</v>
      </c>
      <c r="E220" s="6" t="str">
        <f t="shared" si="3"/>
        <v>France</v>
      </c>
      <c r="F220" s="6" t="s">
        <v>36</v>
      </c>
      <c r="G220" s="6" t="s">
        <v>134</v>
      </c>
      <c r="H220" s="7">
        <v>2947</v>
      </c>
    </row>
    <row r="221" spans="2:8" x14ac:dyDescent="0.3">
      <c r="B221" s="6" t="s">
        <v>13</v>
      </c>
      <c r="C221" s="6">
        <v>2023</v>
      </c>
      <c r="D221" s="6" t="s">
        <v>111</v>
      </c>
      <c r="E221" s="6" t="str">
        <f t="shared" si="3"/>
        <v>USA</v>
      </c>
      <c r="F221" s="6" t="s">
        <v>37</v>
      </c>
      <c r="G221" s="6" t="s">
        <v>136</v>
      </c>
      <c r="H221" s="7">
        <v>1296</v>
      </c>
    </row>
    <row r="222" spans="2:8" x14ac:dyDescent="0.3">
      <c r="B222" s="6" t="s">
        <v>13</v>
      </c>
      <c r="C222" s="6">
        <v>2023</v>
      </c>
      <c r="D222" s="6" t="s">
        <v>80</v>
      </c>
      <c r="E222" s="6" t="str">
        <f t="shared" si="3"/>
        <v>Italy</v>
      </c>
      <c r="F222" s="6" t="s">
        <v>36</v>
      </c>
      <c r="G222" s="6" t="s">
        <v>136</v>
      </c>
      <c r="H222" s="7">
        <v>17899</v>
      </c>
    </row>
    <row r="223" spans="2:8" x14ac:dyDescent="0.3">
      <c r="B223" s="6" t="s">
        <v>13</v>
      </c>
      <c r="C223" s="6">
        <v>2023</v>
      </c>
      <c r="D223" s="6" t="s">
        <v>102</v>
      </c>
      <c r="E223" s="6" t="str">
        <f t="shared" si="3"/>
        <v>USA</v>
      </c>
      <c r="F223" s="6" t="s">
        <v>37</v>
      </c>
      <c r="G223" s="6" t="s">
        <v>136</v>
      </c>
      <c r="H223" s="7">
        <v>15587</v>
      </c>
    </row>
    <row r="224" spans="2:8" x14ac:dyDescent="0.3">
      <c r="B224" s="6" t="s">
        <v>13</v>
      </c>
      <c r="C224" s="6">
        <v>2023</v>
      </c>
      <c r="D224" s="6" t="s">
        <v>95</v>
      </c>
      <c r="E224" s="6" t="str">
        <f t="shared" si="3"/>
        <v>Germany</v>
      </c>
      <c r="F224" s="6" t="s">
        <v>35</v>
      </c>
      <c r="G224" s="6" t="s">
        <v>135</v>
      </c>
      <c r="H224" s="7">
        <v>13931</v>
      </c>
    </row>
    <row r="225" spans="2:8" x14ac:dyDescent="0.3">
      <c r="B225" s="6" t="s">
        <v>13</v>
      </c>
      <c r="C225" s="6">
        <v>2023</v>
      </c>
      <c r="D225" s="6" t="s">
        <v>55</v>
      </c>
      <c r="E225" s="6" t="str">
        <f t="shared" si="3"/>
        <v>Norway</v>
      </c>
      <c r="F225" s="6" t="s">
        <v>36</v>
      </c>
      <c r="G225" s="6" t="s">
        <v>135</v>
      </c>
      <c r="H225" s="7">
        <v>8056</v>
      </c>
    </row>
    <row r="226" spans="2:8" x14ac:dyDescent="0.3">
      <c r="B226" s="6" t="s">
        <v>14</v>
      </c>
      <c r="C226" s="6">
        <v>2022</v>
      </c>
      <c r="D226" s="6" t="s">
        <v>93</v>
      </c>
      <c r="E226" s="6" t="str">
        <f t="shared" si="3"/>
        <v>Italy</v>
      </c>
      <c r="F226" s="6" t="s">
        <v>36</v>
      </c>
      <c r="G226" s="6" t="s">
        <v>136</v>
      </c>
      <c r="H226" s="7">
        <v>8087</v>
      </c>
    </row>
    <row r="227" spans="2:8" x14ac:dyDescent="0.3">
      <c r="B227" s="6" t="s">
        <v>14</v>
      </c>
      <c r="C227" s="6">
        <v>2022</v>
      </c>
      <c r="D227" s="6" t="s">
        <v>41</v>
      </c>
      <c r="E227" s="6" t="str">
        <f t="shared" si="3"/>
        <v>Germany</v>
      </c>
      <c r="F227" s="6" t="s">
        <v>35</v>
      </c>
      <c r="G227" s="6" t="s">
        <v>135</v>
      </c>
      <c r="H227" s="7">
        <v>7472</v>
      </c>
    </row>
    <row r="228" spans="2:8" x14ac:dyDescent="0.3">
      <c r="B228" s="6" t="s">
        <v>14</v>
      </c>
      <c r="C228" s="6">
        <v>2022</v>
      </c>
      <c r="D228" s="6" t="s">
        <v>90</v>
      </c>
      <c r="E228" s="6" t="str">
        <f t="shared" si="3"/>
        <v>Italy</v>
      </c>
      <c r="F228" s="6" t="s">
        <v>36</v>
      </c>
      <c r="G228" s="6" t="s">
        <v>136</v>
      </c>
      <c r="H228" s="7">
        <v>6447</v>
      </c>
    </row>
    <row r="229" spans="2:8" x14ac:dyDescent="0.3">
      <c r="B229" s="6" t="s">
        <v>14</v>
      </c>
      <c r="C229" s="6">
        <v>2022</v>
      </c>
      <c r="D229" s="6" t="s">
        <v>96</v>
      </c>
      <c r="E229" s="6" t="str">
        <f t="shared" si="3"/>
        <v>USA</v>
      </c>
      <c r="F229" s="6" t="s">
        <v>37</v>
      </c>
      <c r="G229" s="6" t="s">
        <v>136</v>
      </c>
      <c r="H229" s="7">
        <v>1603</v>
      </c>
    </row>
    <row r="230" spans="2:8" x14ac:dyDescent="0.3">
      <c r="B230" s="6" t="s">
        <v>14</v>
      </c>
      <c r="C230" s="6">
        <v>2022</v>
      </c>
      <c r="D230" s="6" t="s">
        <v>72</v>
      </c>
      <c r="E230" s="6" t="str">
        <f t="shared" si="3"/>
        <v>Italy</v>
      </c>
      <c r="F230" s="6" t="s">
        <v>37</v>
      </c>
      <c r="G230" s="6" t="s">
        <v>134</v>
      </c>
      <c r="H230" s="7">
        <v>11088</v>
      </c>
    </row>
    <row r="231" spans="2:8" x14ac:dyDescent="0.3">
      <c r="B231" s="6" t="s">
        <v>14</v>
      </c>
      <c r="C231" s="6">
        <v>2022</v>
      </c>
      <c r="D231" s="6" t="s">
        <v>121</v>
      </c>
      <c r="E231" s="6" t="str">
        <f t="shared" si="3"/>
        <v>Italy</v>
      </c>
      <c r="F231" s="6" t="s">
        <v>37</v>
      </c>
      <c r="G231" s="6" t="s">
        <v>134</v>
      </c>
      <c r="H231" s="7">
        <v>7588</v>
      </c>
    </row>
    <row r="232" spans="2:8" x14ac:dyDescent="0.3">
      <c r="B232" s="6" t="s">
        <v>14</v>
      </c>
      <c r="C232" s="6">
        <v>2022</v>
      </c>
      <c r="D232" s="6" t="s">
        <v>122</v>
      </c>
      <c r="E232" s="6" t="str">
        <f t="shared" si="3"/>
        <v>Italy</v>
      </c>
      <c r="F232" s="6" t="s">
        <v>36</v>
      </c>
      <c r="G232" s="6" t="s">
        <v>136</v>
      </c>
      <c r="H232" s="7">
        <v>7821</v>
      </c>
    </row>
    <row r="233" spans="2:8" x14ac:dyDescent="0.3">
      <c r="B233" s="6" t="s">
        <v>14</v>
      </c>
      <c r="C233" s="6">
        <v>2022</v>
      </c>
      <c r="D233" s="6" t="s">
        <v>106</v>
      </c>
      <c r="E233" s="6" t="str">
        <f t="shared" si="3"/>
        <v>Italy</v>
      </c>
      <c r="F233" s="6" t="s">
        <v>38</v>
      </c>
      <c r="G233" s="6" t="s">
        <v>135</v>
      </c>
      <c r="H233" s="7">
        <v>15971</v>
      </c>
    </row>
    <row r="234" spans="2:8" x14ac:dyDescent="0.3">
      <c r="B234" s="6" t="s">
        <v>14</v>
      </c>
      <c r="C234" s="6">
        <v>2022</v>
      </c>
      <c r="D234" s="6" t="s">
        <v>120</v>
      </c>
      <c r="E234" s="6" t="str">
        <f t="shared" si="3"/>
        <v>Italy</v>
      </c>
      <c r="F234" s="6" t="s">
        <v>36</v>
      </c>
      <c r="G234" s="6" t="s">
        <v>136</v>
      </c>
      <c r="H234" s="7">
        <v>15126</v>
      </c>
    </row>
    <row r="235" spans="2:8" x14ac:dyDescent="0.3">
      <c r="B235" s="6" t="s">
        <v>14</v>
      </c>
      <c r="C235" s="6">
        <v>2023</v>
      </c>
      <c r="D235" s="6" t="s">
        <v>66</v>
      </c>
      <c r="E235" s="6" t="str">
        <f t="shared" si="3"/>
        <v>Italy</v>
      </c>
      <c r="F235" s="6" t="s">
        <v>36</v>
      </c>
      <c r="G235" s="6" t="s">
        <v>136</v>
      </c>
      <c r="H235" s="7">
        <v>10942</v>
      </c>
    </row>
    <row r="236" spans="2:8" x14ac:dyDescent="0.3">
      <c r="B236" s="6" t="s">
        <v>14</v>
      </c>
      <c r="C236" s="6">
        <v>2023</v>
      </c>
      <c r="D236" s="6" t="s">
        <v>94</v>
      </c>
      <c r="E236" s="6" t="str">
        <f t="shared" si="3"/>
        <v>Italy</v>
      </c>
      <c r="F236" s="6" t="s">
        <v>36</v>
      </c>
      <c r="G236" s="6" t="s">
        <v>136</v>
      </c>
      <c r="H236" s="7">
        <v>11949</v>
      </c>
    </row>
    <row r="237" spans="2:8" x14ac:dyDescent="0.3">
      <c r="B237" s="6" t="s">
        <v>14</v>
      </c>
      <c r="C237" s="6">
        <v>2023</v>
      </c>
      <c r="D237" s="6" t="s">
        <v>24</v>
      </c>
      <c r="E237" s="6" t="str">
        <f t="shared" si="3"/>
        <v>Italy</v>
      </c>
      <c r="F237" s="6" t="s">
        <v>37</v>
      </c>
      <c r="G237" s="6" t="s">
        <v>134</v>
      </c>
      <c r="H237" s="7">
        <v>2204</v>
      </c>
    </row>
    <row r="238" spans="2:8" x14ac:dyDescent="0.3">
      <c r="B238" s="6" t="s">
        <v>14</v>
      </c>
      <c r="C238" s="6">
        <v>2023</v>
      </c>
      <c r="D238" s="6" t="s">
        <v>123</v>
      </c>
      <c r="E238" s="6" t="str">
        <f t="shared" si="3"/>
        <v>Italy</v>
      </c>
      <c r="F238" s="6" t="s">
        <v>36</v>
      </c>
      <c r="G238" s="6" t="s">
        <v>136</v>
      </c>
      <c r="H238" s="7">
        <v>4255</v>
      </c>
    </row>
    <row r="239" spans="2:8" x14ac:dyDescent="0.3">
      <c r="B239" s="6" t="s">
        <v>14</v>
      </c>
      <c r="C239" s="6">
        <v>2023</v>
      </c>
      <c r="D239" s="6" t="s">
        <v>124</v>
      </c>
      <c r="E239" s="6" t="str">
        <f t="shared" si="3"/>
        <v>Germany</v>
      </c>
      <c r="F239" s="6" t="s">
        <v>35</v>
      </c>
      <c r="G239" s="6" t="s">
        <v>135</v>
      </c>
      <c r="H239" s="7">
        <v>9448</v>
      </c>
    </row>
    <row r="240" spans="2:8" x14ac:dyDescent="0.3">
      <c r="B240" s="6" t="s">
        <v>14</v>
      </c>
      <c r="C240" s="6">
        <v>2023</v>
      </c>
      <c r="D240" s="6" t="s">
        <v>26</v>
      </c>
      <c r="E240" s="6" t="str">
        <f t="shared" si="3"/>
        <v>Italy</v>
      </c>
      <c r="F240" s="6" t="s">
        <v>36</v>
      </c>
      <c r="G240" s="6" t="s">
        <v>136</v>
      </c>
      <c r="H240" s="7">
        <v>14657</v>
      </c>
    </row>
    <row r="241" spans="2:8" x14ac:dyDescent="0.3">
      <c r="B241" s="6" t="s">
        <v>14</v>
      </c>
      <c r="C241" s="6">
        <v>2023</v>
      </c>
      <c r="D241" s="6" t="s">
        <v>109</v>
      </c>
      <c r="E241" s="6" t="str">
        <f t="shared" si="3"/>
        <v>Italy</v>
      </c>
      <c r="F241" s="6" t="s">
        <v>36</v>
      </c>
      <c r="G241" s="6" t="s">
        <v>136</v>
      </c>
      <c r="H241" s="7">
        <v>2935</v>
      </c>
    </row>
    <row r="242" spans="2:8" x14ac:dyDescent="0.3">
      <c r="B242" s="6" t="s">
        <v>14</v>
      </c>
      <c r="C242" s="6">
        <v>2023</v>
      </c>
      <c r="D242" s="6" t="s">
        <v>87</v>
      </c>
      <c r="E242" s="6" t="str">
        <f t="shared" si="3"/>
        <v>Italy</v>
      </c>
      <c r="F242" s="6" t="s">
        <v>36</v>
      </c>
      <c r="G242" s="6" t="s">
        <v>136</v>
      </c>
      <c r="H242" s="7">
        <v>12810</v>
      </c>
    </row>
    <row r="243" spans="2:8" x14ac:dyDescent="0.3">
      <c r="B243" s="6" t="s">
        <v>14</v>
      </c>
      <c r="C243" s="6">
        <v>2023</v>
      </c>
      <c r="D243" s="6" t="s">
        <v>87</v>
      </c>
      <c r="E243" s="6" t="str">
        <f t="shared" si="3"/>
        <v>Italy</v>
      </c>
      <c r="F243" s="6" t="s">
        <v>36</v>
      </c>
      <c r="G243" s="6" t="s">
        <v>136</v>
      </c>
      <c r="H243" s="7">
        <v>3732</v>
      </c>
    </row>
    <row r="244" spans="2:8" x14ac:dyDescent="0.3">
      <c r="B244" s="6" t="s">
        <v>14</v>
      </c>
      <c r="C244" s="6">
        <v>2023</v>
      </c>
      <c r="D244" s="6" t="s">
        <v>52</v>
      </c>
      <c r="E244" s="6" t="str">
        <f t="shared" si="3"/>
        <v>Italy</v>
      </c>
      <c r="F244" s="6" t="s">
        <v>36</v>
      </c>
      <c r="G244" s="6" t="s">
        <v>136</v>
      </c>
      <c r="H244" s="7">
        <v>17564</v>
      </c>
    </row>
    <row r="245" spans="2:8" x14ac:dyDescent="0.3">
      <c r="B245" s="6" t="s">
        <v>15</v>
      </c>
      <c r="C245" s="6">
        <v>2022</v>
      </c>
      <c r="D245" s="6" t="s">
        <v>40</v>
      </c>
      <c r="E245" s="6" t="str">
        <f t="shared" si="3"/>
        <v>Italy</v>
      </c>
      <c r="F245" s="6" t="s">
        <v>38</v>
      </c>
      <c r="G245" s="6" t="s">
        <v>135</v>
      </c>
      <c r="H245" s="7">
        <v>5244</v>
      </c>
    </row>
    <row r="246" spans="2:8" x14ac:dyDescent="0.3">
      <c r="B246" s="6" t="s">
        <v>15</v>
      </c>
      <c r="C246" s="6">
        <v>2022</v>
      </c>
      <c r="D246" s="6" t="s">
        <v>21</v>
      </c>
      <c r="E246" s="6" t="str">
        <f t="shared" si="3"/>
        <v>Norway</v>
      </c>
      <c r="F246" s="6" t="s">
        <v>36</v>
      </c>
      <c r="G246" s="6" t="s">
        <v>135</v>
      </c>
      <c r="H246" s="7">
        <v>10666</v>
      </c>
    </row>
    <row r="247" spans="2:8" x14ac:dyDescent="0.3">
      <c r="B247" s="6" t="s">
        <v>15</v>
      </c>
      <c r="C247" s="6">
        <v>2022</v>
      </c>
      <c r="D247" s="6" t="s">
        <v>85</v>
      </c>
      <c r="E247" s="6" t="str">
        <f t="shared" si="3"/>
        <v>Germany</v>
      </c>
      <c r="F247" s="6" t="s">
        <v>35</v>
      </c>
      <c r="G247" s="6" t="s">
        <v>135</v>
      </c>
      <c r="H247" s="7">
        <v>14527</v>
      </c>
    </row>
    <row r="248" spans="2:8" x14ac:dyDescent="0.3">
      <c r="B248" s="6" t="s">
        <v>15</v>
      </c>
      <c r="C248" s="6">
        <v>2022</v>
      </c>
      <c r="D248" s="6" t="s">
        <v>124</v>
      </c>
      <c r="E248" s="6" t="str">
        <f t="shared" si="3"/>
        <v>Germany</v>
      </c>
      <c r="F248" s="6" t="s">
        <v>35</v>
      </c>
      <c r="G248" s="6" t="s">
        <v>135</v>
      </c>
      <c r="H248" s="7">
        <v>9274</v>
      </c>
    </row>
    <row r="249" spans="2:8" x14ac:dyDescent="0.3">
      <c r="B249" s="6" t="s">
        <v>15</v>
      </c>
      <c r="C249" s="6">
        <v>2022</v>
      </c>
      <c r="D249" s="6" t="s">
        <v>124</v>
      </c>
      <c r="E249" s="6" t="str">
        <f t="shared" si="3"/>
        <v>Germany</v>
      </c>
      <c r="F249" s="6" t="s">
        <v>35</v>
      </c>
      <c r="G249" s="6" t="s">
        <v>135</v>
      </c>
      <c r="H249" s="7">
        <v>12289</v>
      </c>
    </row>
    <row r="250" spans="2:8" x14ac:dyDescent="0.3">
      <c r="B250" s="6" t="s">
        <v>15</v>
      </c>
      <c r="C250" s="6">
        <v>2022</v>
      </c>
      <c r="D250" s="6" t="s">
        <v>121</v>
      </c>
      <c r="E250" s="6" t="str">
        <f t="shared" si="3"/>
        <v>Italy</v>
      </c>
      <c r="F250" s="6" t="s">
        <v>37</v>
      </c>
      <c r="G250" s="6" t="s">
        <v>134</v>
      </c>
      <c r="H250" s="7">
        <v>14978</v>
      </c>
    </row>
    <row r="251" spans="2:8" x14ac:dyDescent="0.3">
      <c r="B251" s="6" t="s">
        <v>15</v>
      </c>
      <c r="C251" s="6">
        <v>2022</v>
      </c>
      <c r="D251" s="6" t="s">
        <v>68</v>
      </c>
      <c r="E251" s="6" t="str">
        <f t="shared" si="3"/>
        <v>Norway</v>
      </c>
      <c r="F251" s="6" t="s">
        <v>36</v>
      </c>
      <c r="G251" s="6" t="s">
        <v>135</v>
      </c>
      <c r="H251" s="7">
        <v>14484</v>
      </c>
    </row>
    <row r="252" spans="2:8" x14ac:dyDescent="0.3">
      <c r="B252" s="6" t="s">
        <v>15</v>
      </c>
      <c r="C252" s="6">
        <v>2022</v>
      </c>
      <c r="D252" s="6" t="s">
        <v>76</v>
      </c>
      <c r="E252" s="6" t="str">
        <f t="shared" si="3"/>
        <v>Italy</v>
      </c>
      <c r="F252" s="6" t="s">
        <v>36</v>
      </c>
      <c r="G252" s="6" t="s">
        <v>136</v>
      </c>
      <c r="H252" s="7">
        <v>17818</v>
      </c>
    </row>
    <row r="253" spans="2:8" x14ac:dyDescent="0.3">
      <c r="B253" s="6" t="s">
        <v>15</v>
      </c>
      <c r="C253" s="6">
        <v>2022</v>
      </c>
      <c r="D253" s="6" t="s">
        <v>106</v>
      </c>
      <c r="E253" s="6" t="str">
        <f t="shared" si="3"/>
        <v>Italy</v>
      </c>
      <c r="F253" s="6" t="s">
        <v>38</v>
      </c>
      <c r="G253" s="6" t="s">
        <v>135</v>
      </c>
      <c r="H253" s="7">
        <v>1937</v>
      </c>
    </row>
    <row r="254" spans="2:8" x14ac:dyDescent="0.3">
      <c r="B254" s="6" t="s">
        <v>15</v>
      </c>
      <c r="C254" s="6">
        <v>2022</v>
      </c>
      <c r="D254" s="6" t="s">
        <v>70</v>
      </c>
      <c r="E254" s="6" t="str">
        <f t="shared" si="3"/>
        <v>Italy</v>
      </c>
      <c r="F254" s="6" t="s">
        <v>36</v>
      </c>
      <c r="G254" s="6" t="s">
        <v>136</v>
      </c>
      <c r="H254" s="7">
        <v>5750</v>
      </c>
    </row>
    <row r="255" spans="2:8" x14ac:dyDescent="0.3">
      <c r="B255" s="6" t="s">
        <v>15</v>
      </c>
      <c r="C255" s="6">
        <v>2022</v>
      </c>
      <c r="D255" s="6" t="s">
        <v>45</v>
      </c>
      <c r="E255" s="6" t="str">
        <f t="shared" si="3"/>
        <v>France</v>
      </c>
      <c r="F255" s="6" t="s">
        <v>36</v>
      </c>
      <c r="G255" s="6" t="s">
        <v>134</v>
      </c>
      <c r="H255" s="7">
        <v>11094</v>
      </c>
    </row>
    <row r="256" spans="2:8" x14ac:dyDescent="0.3">
      <c r="B256" s="6" t="s">
        <v>15</v>
      </c>
      <c r="C256" s="6">
        <v>2022</v>
      </c>
      <c r="D256" s="6" t="s">
        <v>110</v>
      </c>
      <c r="E256" s="6" t="str">
        <f t="shared" si="3"/>
        <v>Italy</v>
      </c>
      <c r="F256" s="6" t="s">
        <v>36</v>
      </c>
      <c r="G256" s="6" t="s">
        <v>136</v>
      </c>
      <c r="H256" s="7">
        <v>1202</v>
      </c>
    </row>
    <row r="257" spans="2:8" x14ac:dyDescent="0.3">
      <c r="B257" s="6" t="s">
        <v>15</v>
      </c>
      <c r="C257" s="6">
        <v>2022</v>
      </c>
      <c r="D257" s="6" t="s">
        <v>39</v>
      </c>
      <c r="E257" s="6" t="str">
        <f t="shared" si="3"/>
        <v>Italy</v>
      </c>
      <c r="F257" s="6" t="s">
        <v>36</v>
      </c>
      <c r="G257" s="6" t="s">
        <v>136</v>
      </c>
      <c r="H257" s="7">
        <v>4350</v>
      </c>
    </row>
    <row r="258" spans="2:8" x14ac:dyDescent="0.3">
      <c r="B258" s="6" t="s">
        <v>15</v>
      </c>
      <c r="C258" s="6">
        <v>2022</v>
      </c>
      <c r="D258" s="6" t="s">
        <v>49</v>
      </c>
      <c r="E258" s="6" t="str">
        <f t="shared" si="3"/>
        <v>Italy</v>
      </c>
      <c r="F258" s="6" t="s">
        <v>36</v>
      </c>
      <c r="G258" s="6" t="s">
        <v>136</v>
      </c>
      <c r="H258" s="7">
        <v>15830</v>
      </c>
    </row>
    <row r="259" spans="2:8" x14ac:dyDescent="0.3">
      <c r="B259" s="6" t="s">
        <v>15</v>
      </c>
      <c r="C259" s="6">
        <v>2022</v>
      </c>
      <c r="D259" s="6" t="s">
        <v>74</v>
      </c>
      <c r="E259" s="6" t="str">
        <f t="shared" si="3"/>
        <v>Italy</v>
      </c>
      <c r="F259" s="6" t="s">
        <v>36</v>
      </c>
      <c r="G259" s="6" t="s">
        <v>136</v>
      </c>
      <c r="H259" s="7">
        <v>7402</v>
      </c>
    </row>
    <row r="260" spans="2:8" x14ac:dyDescent="0.3">
      <c r="B260" s="6" t="s">
        <v>15</v>
      </c>
      <c r="C260" s="6">
        <v>2022</v>
      </c>
      <c r="D260" s="6" t="s">
        <v>68</v>
      </c>
      <c r="E260" s="6" t="str">
        <f t="shared" si="3"/>
        <v>Norway</v>
      </c>
      <c r="F260" s="6" t="s">
        <v>36</v>
      </c>
      <c r="G260" s="6" t="s">
        <v>135</v>
      </c>
      <c r="H260" s="7">
        <v>2195</v>
      </c>
    </row>
    <row r="261" spans="2:8" x14ac:dyDescent="0.3">
      <c r="B261" s="6" t="s">
        <v>15</v>
      </c>
      <c r="C261" s="6">
        <v>2022</v>
      </c>
      <c r="D261" s="6" t="s">
        <v>100</v>
      </c>
      <c r="E261" s="6" t="str">
        <f t="shared" si="3"/>
        <v>Italy</v>
      </c>
      <c r="F261" s="6" t="s">
        <v>36</v>
      </c>
      <c r="G261" s="6" t="s">
        <v>136</v>
      </c>
      <c r="H261" s="7">
        <v>5465</v>
      </c>
    </row>
    <row r="262" spans="2:8" x14ac:dyDescent="0.3">
      <c r="B262" s="6" t="s">
        <v>15</v>
      </c>
      <c r="C262" s="6">
        <v>2022</v>
      </c>
      <c r="D262" s="6" t="s">
        <v>60</v>
      </c>
      <c r="E262" s="6" t="str">
        <f t="shared" si="3"/>
        <v>Italy</v>
      </c>
      <c r="F262" s="6" t="s">
        <v>38</v>
      </c>
      <c r="G262" s="6" t="s">
        <v>135</v>
      </c>
      <c r="H262" s="7">
        <v>6465</v>
      </c>
    </row>
    <row r="263" spans="2:8" x14ac:dyDescent="0.3">
      <c r="B263" s="6" t="s">
        <v>15</v>
      </c>
      <c r="C263" s="6">
        <v>2022</v>
      </c>
      <c r="D263" s="6" t="s">
        <v>84</v>
      </c>
      <c r="E263" s="6" t="str">
        <f t="shared" si="3"/>
        <v>Italy</v>
      </c>
      <c r="F263" s="6" t="s">
        <v>38</v>
      </c>
      <c r="G263" s="6" t="s">
        <v>135</v>
      </c>
      <c r="H263" s="7">
        <v>1526</v>
      </c>
    </row>
    <row r="264" spans="2:8" x14ac:dyDescent="0.3">
      <c r="B264" s="6" t="s">
        <v>15</v>
      </c>
      <c r="C264" s="6">
        <v>2022</v>
      </c>
      <c r="D264" s="6" t="s">
        <v>71</v>
      </c>
      <c r="E264" s="6" t="str">
        <f t="shared" ref="E264:E327" si="4">_xlfn.SWITCH(RIGHT(D264,1), "0", "Germany", "1", "USA", "2", "Norway", "3", "France", "Italy")</f>
        <v>Italy</v>
      </c>
      <c r="F264" s="6" t="s">
        <v>36</v>
      </c>
      <c r="G264" s="6" t="s">
        <v>136</v>
      </c>
      <c r="H264" s="7">
        <v>16523</v>
      </c>
    </row>
    <row r="265" spans="2:8" x14ac:dyDescent="0.3">
      <c r="B265" s="6" t="s">
        <v>15</v>
      </c>
      <c r="C265" s="6">
        <v>2022</v>
      </c>
      <c r="D265" s="6" t="s">
        <v>59</v>
      </c>
      <c r="E265" s="6" t="str">
        <f t="shared" si="4"/>
        <v>USA</v>
      </c>
      <c r="F265" s="6" t="s">
        <v>37</v>
      </c>
      <c r="G265" s="6" t="s">
        <v>136</v>
      </c>
      <c r="H265" s="7">
        <v>1426</v>
      </c>
    </row>
    <row r="266" spans="2:8" x14ac:dyDescent="0.3">
      <c r="B266" s="6" t="s">
        <v>15</v>
      </c>
      <c r="C266" s="6">
        <v>2022</v>
      </c>
      <c r="D266" s="6" t="s">
        <v>84</v>
      </c>
      <c r="E266" s="6" t="str">
        <f t="shared" si="4"/>
        <v>Italy</v>
      </c>
      <c r="F266" s="6" t="s">
        <v>38</v>
      </c>
      <c r="G266" s="6" t="s">
        <v>135</v>
      </c>
      <c r="H266" s="7">
        <v>4409</v>
      </c>
    </row>
    <row r="267" spans="2:8" x14ac:dyDescent="0.3">
      <c r="B267" s="6" t="s">
        <v>15</v>
      </c>
      <c r="C267" s="6">
        <v>2022</v>
      </c>
      <c r="D267" s="6" t="s">
        <v>55</v>
      </c>
      <c r="E267" s="6" t="str">
        <f t="shared" si="4"/>
        <v>Norway</v>
      </c>
      <c r="F267" s="6" t="s">
        <v>36</v>
      </c>
      <c r="G267" s="6" t="s">
        <v>135</v>
      </c>
      <c r="H267" s="7">
        <v>13910</v>
      </c>
    </row>
    <row r="268" spans="2:8" x14ac:dyDescent="0.3">
      <c r="B268" s="6" t="s">
        <v>15</v>
      </c>
      <c r="C268" s="6">
        <v>2022</v>
      </c>
      <c r="D268" s="6" t="s">
        <v>60</v>
      </c>
      <c r="E268" s="6" t="str">
        <f t="shared" si="4"/>
        <v>Italy</v>
      </c>
      <c r="F268" s="6" t="s">
        <v>38</v>
      </c>
      <c r="G268" s="6" t="s">
        <v>135</v>
      </c>
      <c r="H268" s="7">
        <v>7172</v>
      </c>
    </row>
    <row r="269" spans="2:8" x14ac:dyDescent="0.3">
      <c r="B269" s="6" t="s">
        <v>15</v>
      </c>
      <c r="C269" s="6">
        <v>2022</v>
      </c>
      <c r="D269" s="6" t="s">
        <v>73</v>
      </c>
      <c r="E269" s="6" t="str">
        <f t="shared" si="4"/>
        <v>Germany</v>
      </c>
      <c r="F269" s="6" t="s">
        <v>35</v>
      </c>
      <c r="G269" s="6" t="s">
        <v>135</v>
      </c>
      <c r="H269" s="7">
        <v>5539</v>
      </c>
    </row>
    <row r="270" spans="2:8" x14ac:dyDescent="0.3">
      <c r="B270" s="6" t="s">
        <v>15</v>
      </c>
      <c r="C270" s="6">
        <v>2023</v>
      </c>
      <c r="D270" s="6" t="s">
        <v>44</v>
      </c>
      <c r="E270" s="6" t="str">
        <f t="shared" si="4"/>
        <v>USA</v>
      </c>
      <c r="F270" s="6" t="s">
        <v>37</v>
      </c>
      <c r="G270" s="6" t="s">
        <v>136</v>
      </c>
      <c r="H270" s="7">
        <v>8956</v>
      </c>
    </row>
    <row r="271" spans="2:8" x14ac:dyDescent="0.3">
      <c r="B271" s="6" t="s">
        <v>15</v>
      </c>
      <c r="C271" s="6">
        <v>2023</v>
      </c>
      <c r="D271" s="6" t="s">
        <v>23</v>
      </c>
      <c r="E271" s="6" t="str">
        <f t="shared" si="4"/>
        <v>Italy</v>
      </c>
      <c r="F271" s="6" t="s">
        <v>36</v>
      </c>
      <c r="G271" s="6" t="s">
        <v>136</v>
      </c>
      <c r="H271" s="7">
        <v>7145</v>
      </c>
    </row>
    <row r="272" spans="2:8" x14ac:dyDescent="0.3">
      <c r="B272" s="6" t="s">
        <v>15</v>
      </c>
      <c r="C272" s="6">
        <v>2023</v>
      </c>
      <c r="D272" s="6" t="s">
        <v>29</v>
      </c>
      <c r="E272" s="6" t="str">
        <f t="shared" si="4"/>
        <v>Germany</v>
      </c>
      <c r="F272" s="6" t="s">
        <v>35</v>
      </c>
      <c r="G272" s="6" t="s">
        <v>135</v>
      </c>
      <c r="H272" s="7">
        <v>2786</v>
      </c>
    </row>
    <row r="273" spans="2:8" x14ac:dyDescent="0.3">
      <c r="B273" s="6" t="s">
        <v>15</v>
      </c>
      <c r="C273" s="6">
        <v>2023</v>
      </c>
      <c r="D273" s="6" t="s">
        <v>49</v>
      </c>
      <c r="E273" s="6" t="str">
        <f t="shared" si="4"/>
        <v>Italy</v>
      </c>
      <c r="F273" s="6" t="s">
        <v>36</v>
      </c>
      <c r="G273" s="6" t="s">
        <v>136</v>
      </c>
      <c r="H273" s="7">
        <v>6948</v>
      </c>
    </row>
    <row r="274" spans="2:8" x14ac:dyDescent="0.3">
      <c r="B274" s="6" t="s">
        <v>15</v>
      </c>
      <c r="C274" s="6">
        <v>2023</v>
      </c>
      <c r="D274" s="6" t="s">
        <v>117</v>
      </c>
      <c r="E274" s="6" t="str">
        <f t="shared" si="4"/>
        <v>France</v>
      </c>
      <c r="F274" s="6" t="s">
        <v>36</v>
      </c>
      <c r="G274" s="6" t="s">
        <v>134</v>
      </c>
      <c r="H274" s="7">
        <v>12977</v>
      </c>
    </row>
    <row r="275" spans="2:8" x14ac:dyDescent="0.3">
      <c r="B275" s="6" t="s">
        <v>15</v>
      </c>
      <c r="C275" s="6">
        <v>2023</v>
      </c>
      <c r="D275" s="6" t="s">
        <v>124</v>
      </c>
      <c r="E275" s="6" t="str">
        <f t="shared" si="4"/>
        <v>Germany</v>
      </c>
      <c r="F275" s="6" t="s">
        <v>35</v>
      </c>
      <c r="G275" s="6" t="s">
        <v>135</v>
      </c>
      <c r="H275" s="7">
        <v>12740</v>
      </c>
    </row>
    <row r="276" spans="2:8" x14ac:dyDescent="0.3">
      <c r="B276" s="6" t="s">
        <v>15</v>
      </c>
      <c r="C276" s="6">
        <v>2023</v>
      </c>
      <c r="D276" s="6" t="s">
        <v>120</v>
      </c>
      <c r="E276" s="6" t="str">
        <f t="shared" si="4"/>
        <v>Italy</v>
      </c>
      <c r="F276" s="6" t="s">
        <v>36</v>
      </c>
      <c r="G276" s="6" t="s">
        <v>136</v>
      </c>
      <c r="H276" s="7">
        <v>8845</v>
      </c>
    </row>
    <row r="277" spans="2:8" x14ac:dyDescent="0.3">
      <c r="B277" s="6" t="s">
        <v>15</v>
      </c>
      <c r="C277" s="6">
        <v>2023</v>
      </c>
      <c r="D277" s="6" t="s">
        <v>125</v>
      </c>
      <c r="E277" s="6" t="str">
        <f t="shared" si="4"/>
        <v>USA</v>
      </c>
      <c r="F277" s="6" t="s">
        <v>37</v>
      </c>
      <c r="G277" s="6" t="s">
        <v>136</v>
      </c>
      <c r="H277" s="7">
        <v>8618</v>
      </c>
    </row>
    <row r="278" spans="2:8" x14ac:dyDescent="0.3">
      <c r="B278" s="6" t="s">
        <v>15</v>
      </c>
      <c r="C278" s="6">
        <v>2023</v>
      </c>
      <c r="D278" s="6" t="s">
        <v>126</v>
      </c>
      <c r="E278" s="6" t="str">
        <f t="shared" si="4"/>
        <v>France</v>
      </c>
      <c r="F278" s="6" t="s">
        <v>36</v>
      </c>
      <c r="G278" s="6" t="s">
        <v>134</v>
      </c>
      <c r="H278" s="7">
        <v>10177</v>
      </c>
    </row>
    <row r="279" spans="2:8" x14ac:dyDescent="0.3">
      <c r="B279" s="6" t="s">
        <v>15</v>
      </c>
      <c r="C279" s="6">
        <v>2023</v>
      </c>
      <c r="D279" s="6" t="s">
        <v>127</v>
      </c>
      <c r="E279" s="6" t="str">
        <f t="shared" si="4"/>
        <v>France</v>
      </c>
      <c r="F279" s="6" t="s">
        <v>36</v>
      </c>
      <c r="G279" s="6" t="s">
        <v>134</v>
      </c>
      <c r="H279" s="7">
        <v>16604</v>
      </c>
    </row>
    <row r="280" spans="2:8" x14ac:dyDescent="0.3">
      <c r="B280" s="6" t="s">
        <v>15</v>
      </c>
      <c r="C280" s="6">
        <v>2023</v>
      </c>
      <c r="D280" s="6" t="s">
        <v>46</v>
      </c>
      <c r="E280" s="6" t="str">
        <f t="shared" si="4"/>
        <v>Italy</v>
      </c>
      <c r="F280" s="6" t="s">
        <v>36</v>
      </c>
      <c r="G280" s="6" t="s">
        <v>137</v>
      </c>
      <c r="H280" s="7">
        <v>13948</v>
      </c>
    </row>
    <row r="281" spans="2:8" x14ac:dyDescent="0.3">
      <c r="B281" s="6" t="s">
        <v>15</v>
      </c>
      <c r="C281" s="6">
        <v>2023</v>
      </c>
      <c r="D281" s="6" t="s">
        <v>92</v>
      </c>
      <c r="E281" s="6" t="str">
        <f t="shared" si="4"/>
        <v>Norway</v>
      </c>
      <c r="F281" s="6" t="s">
        <v>36</v>
      </c>
      <c r="G281" s="6" t="s">
        <v>135</v>
      </c>
      <c r="H281" s="7">
        <v>16410</v>
      </c>
    </row>
    <row r="282" spans="2:8" x14ac:dyDescent="0.3">
      <c r="B282" s="6" t="s">
        <v>15</v>
      </c>
      <c r="C282" s="6">
        <v>2023</v>
      </c>
      <c r="D282" s="6" t="s">
        <v>67</v>
      </c>
      <c r="E282" s="6" t="str">
        <f t="shared" si="4"/>
        <v>Germany</v>
      </c>
      <c r="F282" s="6" t="s">
        <v>35</v>
      </c>
      <c r="G282" s="6" t="s">
        <v>135</v>
      </c>
      <c r="H282" s="7">
        <v>14813</v>
      </c>
    </row>
    <row r="283" spans="2:8" x14ac:dyDescent="0.3">
      <c r="B283" s="6" t="s">
        <v>15</v>
      </c>
      <c r="C283" s="6">
        <v>2023</v>
      </c>
      <c r="D283" s="6" t="s">
        <v>124</v>
      </c>
      <c r="E283" s="6" t="str">
        <f t="shared" si="4"/>
        <v>Germany</v>
      </c>
      <c r="F283" s="6" t="s">
        <v>35</v>
      </c>
      <c r="G283" s="6" t="s">
        <v>135</v>
      </c>
      <c r="H283" s="7">
        <v>2434</v>
      </c>
    </row>
    <row r="284" spans="2:8" x14ac:dyDescent="0.3">
      <c r="B284" s="6" t="s">
        <v>15</v>
      </c>
      <c r="C284" s="6">
        <v>2023</v>
      </c>
      <c r="D284" s="6" t="s">
        <v>94</v>
      </c>
      <c r="E284" s="6" t="str">
        <f t="shared" si="4"/>
        <v>Italy</v>
      </c>
      <c r="F284" s="6" t="s">
        <v>36</v>
      </c>
      <c r="G284" s="6" t="s">
        <v>136</v>
      </c>
      <c r="H284" s="7">
        <v>7918</v>
      </c>
    </row>
    <row r="285" spans="2:8" x14ac:dyDescent="0.3">
      <c r="B285" s="6" t="s">
        <v>15</v>
      </c>
      <c r="C285" s="6">
        <v>2023</v>
      </c>
      <c r="D285" s="6" t="s">
        <v>94</v>
      </c>
      <c r="E285" s="6" t="str">
        <f t="shared" si="4"/>
        <v>Italy</v>
      </c>
      <c r="F285" s="6" t="s">
        <v>36</v>
      </c>
      <c r="G285" s="6" t="s">
        <v>136</v>
      </c>
      <c r="H285" s="7">
        <v>12812</v>
      </c>
    </row>
    <row r="286" spans="2:8" x14ac:dyDescent="0.3">
      <c r="B286" s="6" t="s">
        <v>15</v>
      </c>
      <c r="C286" s="6">
        <v>2023</v>
      </c>
      <c r="D286" s="6" t="s">
        <v>63</v>
      </c>
      <c r="E286" s="6" t="str">
        <f t="shared" si="4"/>
        <v>Italy</v>
      </c>
      <c r="F286" s="6" t="s">
        <v>37</v>
      </c>
      <c r="G286" s="6" t="s">
        <v>134</v>
      </c>
      <c r="H286" s="7">
        <v>3308</v>
      </c>
    </row>
    <row r="287" spans="2:8" x14ac:dyDescent="0.3">
      <c r="B287" s="6" t="s">
        <v>16</v>
      </c>
      <c r="C287" s="6">
        <v>2022</v>
      </c>
      <c r="D287" s="6" t="s">
        <v>73</v>
      </c>
      <c r="E287" s="6" t="str">
        <f t="shared" si="4"/>
        <v>Germany</v>
      </c>
      <c r="F287" s="6" t="s">
        <v>35</v>
      </c>
      <c r="G287" s="6" t="s">
        <v>135</v>
      </c>
      <c r="H287" s="7">
        <v>1994</v>
      </c>
    </row>
    <row r="288" spans="2:8" x14ac:dyDescent="0.3">
      <c r="B288" s="6" t="s">
        <v>16</v>
      </c>
      <c r="C288" s="6">
        <v>2022</v>
      </c>
      <c r="D288" s="6" t="s">
        <v>124</v>
      </c>
      <c r="E288" s="6" t="str">
        <f t="shared" si="4"/>
        <v>Germany</v>
      </c>
      <c r="F288" s="6" t="s">
        <v>35</v>
      </c>
      <c r="G288" s="6" t="s">
        <v>135</v>
      </c>
      <c r="H288" s="7">
        <v>1950</v>
      </c>
    </row>
    <row r="289" spans="2:8" x14ac:dyDescent="0.3">
      <c r="B289" s="6" t="s">
        <v>16</v>
      </c>
      <c r="C289" s="6">
        <v>2022</v>
      </c>
      <c r="D289" s="6" t="s">
        <v>68</v>
      </c>
      <c r="E289" s="6" t="str">
        <f t="shared" si="4"/>
        <v>Norway</v>
      </c>
      <c r="F289" s="6" t="s">
        <v>36</v>
      </c>
      <c r="G289" s="6" t="s">
        <v>135</v>
      </c>
      <c r="H289" s="7">
        <v>10995</v>
      </c>
    </row>
    <row r="290" spans="2:8" x14ac:dyDescent="0.3">
      <c r="B290" s="6" t="s">
        <v>16</v>
      </c>
      <c r="C290" s="6">
        <v>2022</v>
      </c>
      <c r="D290" s="6" t="s">
        <v>125</v>
      </c>
      <c r="E290" s="6" t="str">
        <f t="shared" si="4"/>
        <v>USA</v>
      </c>
      <c r="F290" s="6" t="s">
        <v>37</v>
      </c>
      <c r="G290" s="6" t="s">
        <v>136</v>
      </c>
      <c r="H290" s="7">
        <v>15095</v>
      </c>
    </row>
    <row r="291" spans="2:8" x14ac:dyDescent="0.3">
      <c r="B291" s="6" t="s">
        <v>16</v>
      </c>
      <c r="C291" s="6">
        <v>2022</v>
      </c>
      <c r="D291" s="6" t="s">
        <v>72</v>
      </c>
      <c r="E291" s="6" t="str">
        <f t="shared" si="4"/>
        <v>Italy</v>
      </c>
      <c r="F291" s="6" t="s">
        <v>37</v>
      </c>
      <c r="G291" s="6" t="s">
        <v>134</v>
      </c>
      <c r="H291" s="7">
        <v>6223</v>
      </c>
    </row>
    <row r="292" spans="2:8" x14ac:dyDescent="0.3">
      <c r="B292" s="6" t="s">
        <v>16</v>
      </c>
      <c r="C292" s="6">
        <v>2022</v>
      </c>
      <c r="D292" s="6" t="s">
        <v>41</v>
      </c>
      <c r="E292" s="6" t="str">
        <f t="shared" si="4"/>
        <v>Germany</v>
      </c>
      <c r="F292" s="6" t="s">
        <v>35</v>
      </c>
      <c r="G292" s="6" t="s">
        <v>135</v>
      </c>
      <c r="H292" s="7">
        <v>3057</v>
      </c>
    </row>
    <row r="293" spans="2:8" x14ac:dyDescent="0.3">
      <c r="B293" s="6" t="s">
        <v>16</v>
      </c>
      <c r="C293" s="6">
        <v>2022</v>
      </c>
      <c r="D293" s="6" t="s">
        <v>73</v>
      </c>
      <c r="E293" s="6" t="str">
        <f t="shared" si="4"/>
        <v>Germany</v>
      </c>
      <c r="F293" s="6" t="s">
        <v>35</v>
      </c>
      <c r="G293" s="6" t="s">
        <v>135</v>
      </c>
      <c r="H293" s="7">
        <v>4366</v>
      </c>
    </row>
    <row r="294" spans="2:8" x14ac:dyDescent="0.3">
      <c r="B294" s="6" t="s">
        <v>16</v>
      </c>
      <c r="C294" s="6">
        <v>2022</v>
      </c>
      <c r="D294" s="6" t="s">
        <v>66</v>
      </c>
      <c r="E294" s="6" t="str">
        <f t="shared" si="4"/>
        <v>Italy</v>
      </c>
      <c r="F294" s="6" t="s">
        <v>36</v>
      </c>
      <c r="G294" s="6" t="s">
        <v>136</v>
      </c>
      <c r="H294" s="7">
        <v>15993</v>
      </c>
    </row>
    <row r="295" spans="2:8" x14ac:dyDescent="0.3">
      <c r="B295" s="6" t="s">
        <v>16</v>
      </c>
      <c r="C295" s="6">
        <v>2022</v>
      </c>
      <c r="D295" s="6" t="s">
        <v>128</v>
      </c>
      <c r="E295" s="6" t="str">
        <f t="shared" si="4"/>
        <v>Italy</v>
      </c>
      <c r="F295" s="6" t="s">
        <v>36</v>
      </c>
      <c r="G295" s="6" t="s">
        <v>136</v>
      </c>
      <c r="H295" s="7">
        <v>2289</v>
      </c>
    </row>
    <row r="296" spans="2:8" x14ac:dyDescent="0.3">
      <c r="B296" s="6" t="s">
        <v>16</v>
      </c>
      <c r="C296" s="6">
        <v>2022</v>
      </c>
      <c r="D296" s="6" t="s">
        <v>20</v>
      </c>
      <c r="E296" s="6" t="str">
        <f t="shared" si="4"/>
        <v>USA</v>
      </c>
      <c r="F296" s="6" t="s">
        <v>37</v>
      </c>
      <c r="G296" s="6" t="s">
        <v>136</v>
      </c>
      <c r="H296" s="7">
        <v>2983</v>
      </c>
    </row>
    <row r="297" spans="2:8" x14ac:dyDescent="0.3">
      <c r="B297" s="6" t="s">
        <v>16</v>
      </c>
      <c r="C297" s="6">
        <v>2022</v>
      </c>
      <c r="D297" s="6" t="s">
        <v>75</v>
      </c>
      <c r="E297" s="6" t="str">
        <f t="shared" si="4"/>
        <v>Italy</v>
      </c>
      <c r="F297" s="6" t="s">
        <v>36</v>
      </c>
      <c r="G297" s="6" t="s">
        <v>136</v>
      </c>
      <c r="H297" s="7">
        <v>7204</v>
      </c>
    </row>
    <row r="298" spans="2:8" x14ac:dyDescent="0.3">
      <c r="B298" s="6" t="s">
        <v>16</v>
      </c>
      <c r="C298" s="6">
        <v>2022</v>
      </c>
      <c r="D298" s="6" t="s">
        <v>77</v>
      </c>
      <c r="E298" s="6" t="str">
        <f t="shared" si="4"/>
        <v>Italy</v>
      </c>
      <c r="F298" s="6" t="s">
        <v>36</v>
      </c>
      <c r="G298" s="6" t="s">
        <v>136</v>
      </c>
      <c r="H298" s="7">
        <v>14457</v>
      </c>
    </row>
    <row r="299" spans="2:8" x14ac:dyDescent="0.3">
      <c r="B299" s="6" t="s">
        <v>16</v>
      </c>
      <c r="C299" s="6">
        <v>2022</v>
      </c>
      <c r="D299" s="6" t="s">
        <v>78</v>
      </c>
      <c r="E299" s="6" t="str">
        <f t="shared" si="4"/>
        <v>Italy</v>
      </c>
      <c r="F299" s="6" t="s">
        <v>37</v>
      </c>
      <c r="G299" s="6" t="s">
        <v>134</v>
      </c>
      <c r="H299" s="7">
        <v>3929</v>
      </c>
    </row>
    <row r="300" spans="2:8" x14ac:dyDescent="0.3">
      <c r="B300" s="6" t="s">
        <v>16</v>
      </c>
      <c r="C300" s="6">
        <v>2022</v>
      </c>
      <c r="D300" s="6" t="s">
        <v>129</v>
      </c>
      <c r="E300" s="6" t="str">
        <f t="shared" si="4"/>
        <v>Italy</v>
      </c>
      <c r="F300" s="6" t="s">
        <v>36</v>
      </c>
      <c r="G300" s="6" t="s">
        <v>136</v>
      </c>
      <c r="H300" s="7">
        <v>3661</v>
      </c>
    </row>
    <row r="301" spans="2:8" x14ac:dyDescent="0.3">
      <c r="B301" s="6" t="s">
        <v>16</v>
      </c>
      <c r="C301" s="6">
        <v>2022</v>
      </c>
      <c r="D301" s="6" t="s">
        <v>124</v>
      </c>
      <c r="E301" s="6" t="str">
        <f t="shared" si="4"/>
        <v>Germany</v>
      </c>
      <c r="F301" s="6" t="s">
        <v>35</v>
      </c>
      <c r="G301" s="6" t="s">
        <v>135</v>
      </c>
      <c r="H301" s="7">
        <v>13333</v>
      </c>
    </row>
    <row r="302" spans="2:8" x14ac:dyDescent="0.3">
      <c r="B302" s="6" t="s">
        <v>16</v>
      </c>
      <c r="C302" s="6">
        <v>2022</v>
      </c>
      <c r="D302" s="6" t="s">
        <v>52</v>
      </c>
      <c r="E302" s="6" t="str">
        <f t="shared" si="4"/>
        <v>Italy</v>
      </c>
      <c r="F302" s="6" t="s">
        <v>36</v>
      </c>
      <c r="G302" s="6" t="s">
        <v>136</v>
      </c>
      <c r="H302" s="7">
        <v>2459</v>
      </c>
    </row>
    <row r="303" spans="2:8" x14ac:dyDescent="0.3">
      <c r="B303" s="6" t="s">
        <v>16</v>
      </c>
      <c r="C303" s="6">
        <v>2022</v>
      </c>
      <c r="D303" s="6" t="s">
        <v>22</v>
      </c>
      <c r="E303" s="6" t="str">
        <f t="shared" si="4"/>
        <v>France</v>
      </c>
      <c r="F303" s="6" t="s">
        <v>36</v>
      </c>
      <c r="G303" s="6" t="s">
        <v>134</v>
      </c>
      <c r="H303" s="7">
        <v>10033</v>
      </c>
    </row>
    <row r="304" spans="2:8" x14ac:dyDescent="0.3">
      <c r="B304" s="6" t="s">
        <v>16</v>
      </c>
      <c r="C304" s="6">
        <v>2022</v>
      </c>
      <c r="D304" s="6" t="s">
        <v>129</v>
      </c>
      <c r="E304" s="6" t="str">
        <f t="shared" si="4"/>
        <v>Italy</v>
      </c>
      <c r="F304" s="6" t="s">
        <v>36</v>
      </c>
      <c r="G304" s="6" t="s">
        <v>136</v>
      </c>
      <c r="H304" s="7">
        <v>16950</v>
      </c>
    </row>
    <row r="305" spans="2:8" x14ac:dyDescent="0.3">
      <c r="B305" s="6" t="s">
        <v>16</v>
      </c>
      <c r="C305" s="6">
        <v>2022</v>
      </c>
      <c r="D305" s="6" t="s">
        <v>53</v>
      </c>
      <c r="E305" s="6" t="str">
        <f t="shared" si="4"/>
        <v>France</v>
      </c>
      <c r="F305" s="6" t="s">
        <v>36</v>
      </c>
      <c r="G305" s="6" t="s">
        <v>134</v>
      </c>
      <c r="H305" s="7">
        <v>17647</v>
      </c>
    </row>
    <row r="306" spans="2:8" x14ac:dyDescent="0.3">
      <c r="B306" s="6" t="s">
        <v>16</v>
      </c>
      <c r="C306" s="6">
        <v>2022</v>
      </c>
      <c r="D306" s="6" t="s">
        <v>122</v>
      </c>
      <c r="E306" s="6" t="str">
        <f t="shared" si="4"/>
        <v>Italy</v>
      </c>
      <c r="F306" s="6" t="s">
        <v>36</v>
      </c>
      <c r="G306" s="6" t="s">
        <v>136</v>
      </c>
      <c r="H306" s="7">
        <v>16416</v>
      </c>
    </row>
    <row r="307" spans="2:8" x14ac:dyDescent="0.3">
      <c r="B307" s="6" t="s">
        <v>16</v>
      </c>
      <c r="C307" s="6">
        <v>2022</v>
      </c>
      <c r="D307" s="6" t="s">
        <v>51</v>
      </c>
      <c r="E307" s="6" t="str">
        <f t="shared" si="4"/>
        <v>Germany</v>
      </c>
      <c r="F307" s="6" t="s">
        <v>35</v>
      </c>
      <c r="G307" s="6" t="s">
        <v>135</v>
      </c>
      <c r="H307" s="7">
        <v>4666</v>
      </c>
    </row>
    <row r="308" spans="2:8" x14ac:dyDescent="0.3">
      <c r="B308" s="6" t="s">
        <v>16</v>
      </c>
      <c r="C308" s="6">
        <v>2023</v>
      </c>
      <c r="D308" s="6" t="s">
        <v>113</v>
      </c>
      <c r="E308" s="6" t="str">
        <f t="shared" si="4"/>
        <v>Norway</v>
      </c>
      <c r="F308" s="6" t="s">
        <v>36</v>
      </c>
      <c r="G308" s="6" t="s">
        <v>135</v>
      </c>
      <c r="H308" s="7">
        <v>11995</v>
      </c>
    </row>
    <row r="309" spans="2:8" x14ac:dyDescent="0.3">
      <c r="B309" s="6" t="s">
        <v>16</v>
      </c>
      <c r="C309" s="6">
        <v>2023</v>
      </c>
      <c r="D309" s="6" t="s">
        <v>74</v>
      </c>
      <c r="E309" s="6" t="str">
        <f t="shared" si="4"/>
        <v>Italy</v>
      </c>
      <c r="F309" s="6" t="s">
        <v>36</v>
      </c>
      <c r="G309" s="6" t="s">
        <v>136</v>
      </c>
      <c r="H309" s="7">
        <v>7967</v>
      </c>
    </row>
    <row r="310" spans="2:8" x14ac:dyDescent="0.3">
      <c r="B310" s="6" t="s">
        <v>16</v>
      </c>
      <c r="C310" s="6">
        <v>2023</v>
      </c>
      <c r="D310" s="6" t="s">
        <v>66</v>
      </c>
      <c r="E310" s="6" t="str">
        <f t="shared" si="4"/>
        <v>Italy</v>
      </c>
      <c r="F310" s="6" t="s">
        <v>36</v>
      </c>
      <c r="G310" s="6" t="s">
        <v>136</v>
      </c>
      <c r="H310" s="7">
        <v>13344</v>
      </c>
    </row>
    <row r="311" spans="2:8" x14ac:dyDescent="0.3">
      <c r="B311" s="6" t="s">
        <v>16</v>
      </c>
      <c r="C311" s="6">
        <v>2023</v>
      </c>
      <c r="D311" s="6" t="s">
        <v>123</v>
      </c>
      <c r="E311" s="6" t="str">
        <f t="shared" si="4"/>
        <v>Italy</v>
      </c>
      <c r="F311" s="6" t="s">
        <v>36</v>
      </c>
      <c r="G311" s="6" t="s">
        <v>136</v>
      </c>
      <c r="H311" s="7">
        <v>10675</v>
      </c>
    </row>
    <row r="312" spans="2:8" x14ac:dyDescent="0.3">
      <c r="B312" s="6" t="s">
        <v>16</v>
      </c>
      <c r="C312" s="6">
        <v>2023</v>
      </c>
      <c r="D312" s="6" t="s">
        <v>64</v>
      </c>
      <c r="E312" s="6" t="str">
        <f t="shared" si="4"/>
        <v>Italy</v>
      </c>
      <c r="F312" s="6" t="s">
        <v>36</v>
      </c>
      <c r="G312" s="6" t="s">
        <v>136</v>
      </c>
      <c r="H312" s="7">
        <v>7819</v>
      </c>
    </row>
    <row r="313" spans="2:8" x14ac:dyDescent="0.3">
      <c r="B313" s="6" t="s">
        <v>16</v>
      </c>
      <c r="C313" s="6">
        <v>2023</v>
      </c>
      <c r="D313" s="6" t="s">
        <v>54</v>
      </c>
      <c r="E313" s="6" t="str">
        <f t="shared" si="4"/>
        <v>France</v>
      </c>
      <c r="F313" s="6" t="s">
        <v>36</v>
      </c>
      <c r="G313" s="6" t="s">
        <v>137</v>
      </c>
      <c r="H313" s="7">
        <v>13548</v>
      </c>
    </row>
    <row r="314" spans="2:8" x14ac:dyDescent="0.3">
      <c r="B314" s="6" t="s">
        <v>16</v>
      </c>
      <c r="C314" s="6">
        <v>2023</v>
      </c>
      <c r="D314" s="6" t="s">
        <v>97</v>
      </c>
      <c r="E314" s="6" t="str">
        <f t="shared" si="4"/>
        <v>Italy</v>
      </c>
      <c r="F314" s="6" t="s">
        <v>36</v>
      </c>
      <c r="G314" s="6" t="s">
        <v>136</v>
      </c>
      <c r="H314" s="7">
        <v>6677</v>
      </c>
    </row>
    <row r="315" spans="2:8" x14ac:dyDescent="0.3">
      <c r="B315" s="6" t="s">
        <v>16</v>
      </c>
      <c r="C315" s="6">
        <v>2023</v>
      </c>
      <c r="D315" s="6" t="s">
        <v>130</v>
      </c>
      <c r="E315" s="6" t="str">
        <f t="shared" si="4"/>
        <v>Norway</v>
      </c>
      <c r="F315" s="6" t="s">
        <v>36</v>
      </c>
      <c r="G315" s="6" t="s">
        <v>135</v>
      </c>
      <c r="H315" s="7">
        <v>9077</v>
      </c>
    </row>
    <row r="316" spans="2:8" x14ac:dyDescent="0.3">
      <c r="B316" s="6" t="s">
        <v>16</v>
      </c>
      <c r="C316" s="6">
        <v>2023</v>
      </c>
      <c r="D316" s="6" t="s">
        <v>72</v>
      </c>
      <c r="E316" s="6" t="str">
        <f t="shared" si="4"/>
        <v>Italy</v>
      </c>
      <c r="F316" s="6" t="s">
        <v>37</v>
      </c>
      <c r="G316" s="6" t="s">
        <v>134</v>
      </c>
      <c r="H316" s="7">
        <v>2654</v>
      </c>
    </row>
    <row r="317" spans="2:8" x14ac:dyDescent="0.3">
      <c r="B317" s="6" t="s">
        <v>16</v>
      </c>
      <c r="C317" s="6">
        <v>2023</v>
      </c>
      <c r="D317" s="6" t="s">
        <v>24</v>
      </c>
      <c r="E317" s="6" t="str">
        <f t="shared" si="4"/>
        <v>Italy</v>
      </c>
      <c r="F317" s="6" t="s">
        <v>37</v>
      </c>
      <c r="G317" s="6" t="s">
        <v>134</v>
      </c>
      <c r="H317" s="7">
        <v>6633</v>
      </c>
    </row>
    <row r="318" spans="2:8" x14ac:dyDescent="0.3">
      <c r="B318" s="6" t="s">
        <v>17</v>
      </c>
      <c r="C318" s="6">
        <v>2022</v>
      </c>
      <c r="D318" s="6" t="s">
        <v>95</v>
      </c>
      <c r="E318" s="6" t="str">
        <f t="shared" si="4"/>
        <v>Germany</v>
      </c>
      <c r="F318" s="6" t="s">
        <v>35</v>
      </c>
      <c r="G318" s="6" t="s">
        <v>135</v>
      </c>
      <c r="H318" s="7">
        <v>8606</v>
      </c>
    </row>
    <row r="319" spans="2:8" x14ac:dyDescent="0.3">
      <c r="B319" s="6" t="s">
        <v>17</v>
      </c>
      <c r="C319" s="6">
        <v>2022</v>
      </c>
      <c r="D319" s="6" t="s">
        <v>26</v>
      </c>
      <c r="E319" s="6" t="str">
        <f t="shared" si="4"/>
        <v>Italy</v>
      </c>
      <c r="F319" s="6" t="s">
        <v>36</v>
      </c>
      <c r="G319" s="6" t="s">
        <v>136</v>
      </c>
      <c r="H319" s="7">
        <v>9785</v>
      </c>
    </row>
    <row r="320" spans="2:8" x14ac:dyDescent="0.3">
      <c r="B320" s="6" t="s">
        <v>17</v>
      </c>
      <c r="C320" s="6">
        <v>2022</v>
      </c>
      <c r="D320" s="6" t="s">
        <v>108</v>
      </c>
      <c r="E320" s="6" t="str">
        <f t="shared" si="4"/>
        <v>USA</v>
      </c>
      <c r="F320" s="6" t="s">
        <v>37</v>
      </c>
      <c r="G320" s="6" t="s">
        <v>136</v>
      </c>
      <c r="H320" s="7">
        <v>2446</v>
      </c>
    </row>
    <row r="321" spans="2:8" x14ac:dyDescent="0.3">
      <c r="B321" s="6" t="s">
        <v>17</v>
      </c>
      <c r="C321" s="6">
        <v>2022</v>
      </c>
      <c r="D321" s="6" t="s">
        <v>99</v>
      </c>
      <c r="E321" s="6" t="str">
        <f t="shared" si="4"/>
        <v>Italy</v>
      </c>
      <c r="F321" s="6" t="s">
        <v>38</v>
      </c>
      <c r="G321" s="6" t="s">
        <v>135</v>
      </c>
      <c r="H321" s="7">
        <v>1771</v>
      </c>
    </row>
    <row r="322" spans="2:8" x14ac:dyDescent="0.3">
      <c r="B322" s="6" t="s">
        <v>17</v>
      </c>
      <c r="C322" s="6">
        <v>2022</v>
      </c>
      <c r="D322" s="6" t="s">
        <v>125</v>
      </c>
      <c r="E322" s="6" t="str">
        <f t="shared" si="4"/>
        <v>USA</v>
      </c>
      <c r="F322" s="6" t="s">
        <v>37</v>
      </c>
      <c r="G322" s="6" t="s">
        <v>136</v>
      </c>
      <c r="H322" s="7">
        <v>9617</v>
      </c>
    </row>
    <row r="323" spans="2:8" x14ac:dyDescent="0.3">
      <c r="B323" s="6" t="s">
        <v>17</v>
      </c>
      <c r="C323" s="6">
        <v>2022</v>
      </c>
      <c r="D323" s="6" t="s">
        <v>100</v>
      </c>
      <c r="E323" s="6" t="str">
        <f t="shared" si="4"/>
        <v>Italy</v>
      </c>
      <c r="F323" s="6" t="s">
        <v>36</v>
      </c>
      <c r="G323" s="6" t="s">
        <v>136</v>
      </c>
      <c r="H323" s="7">
        <v>11640</v>
      </c>
    </row>
    <row r="324" spans="2:8" x14ac:dyDescent="0.3">
      <c r="B324" s="6" t="s">
        <v>17</v>
      </c>
      <c r="C324" s="6">
        <v>2022</v>
      </c>
      <c r="D324" s="6" t="s">
        <v>72</v>
      </c>
      <c r="E324" s="6" t="str">
        <f t="shared" si="4"/>
        <v>Italy</v>
      </c>
      <c r="F324" s="6" t="s">
        <v>37</v>
      </c>
      <c r="G324" s="6" t="s">
        <v>134</v>
      </c>
      <c r="H324" s="7">
        <v>15014</v>
      </c>
    </row>
    <row r="325" spans="2:8" x14ac:dyDescent="0.3">
      <c r="B325" s="6" t="s">
        <v>17</v>
      </c>
      <c r="C325" s="6">
        <v>2022</v>
      </c>
      <c r="D325" s="6" t="s">
        <v>26</v>
      </c>
      <c r="E325" s="6" t="str">
        <f t="shared" si="4"/>
        <v>Italy</v>
      </c>
      <c r="F325" s="6" t="s">
        <v>36</v>
      </c>
      <c r="G325" s="6" t="s">
        <v>136</v>
      </c>
      <c r="H325" s="7">
        <v>15607</v>
      </c>
    </row>
    <row r="326" spans="2:8" x14ac:dyDescent="0.3">
      <c r="B326" s="6" t="s">
        <v>17</v>
      </c>
      <c r="C326" s="6">
        <v>2022</v>
      </c>
      <c r="D326" s="6" t="s">
        <v>109</v>
      </c>
      <c r="E326" s="6" t="str">
        <f t="shared" si="4"/>
        <v>Italy</v>
      </c>
      <c r="F326" s="6" t="s">
        <v>36</v>
      </c>
      <c r="G326" s="6" t="s">
        <v>136</v>
      </c>
      <c r="H326" s="7">
        <v>9614</v>
      </c>
    </row>
    <row r="327" spans="2:8" x14ac:dyDescent="0.3">
      <c r="B327" s="6" t="s">
        <v>17</v>
      </c>
      <c r="C327" s="6">
        <v>2022</v>
      </c>
      <c r="D327" s="6" t="s">
        <v>53</v>
      </c>
      <c r="E327" s="6" t="str">
        <f t="shared" si="4"/>
        <v>France</v>
      </c>
      <c r="F327" s="6" t="s">
        <v>36</v>
      </c>
      <c r="G327" s="6" t="s">
        <v>134</v>
      </c>
      <c r="H327" s="7">
        <v>12736</v>
      </c>
    </row>
    <row r="328" spans="2:8" x14ac:dyDescent="0.3">
      <c r="B328" s="6" t="s">
        <v>17</v>
      </c>
      <c r="C328" s="6">
        <v>2022</v>
      </c>
      <c r="D328" s="6" t="s">
        <v>52</v>
      </c>
      <c r="E328" s="6" t="str">
        <f t="shared" ref="E328:E391" si="5">_xlfn.SWITCH(RIGHT(D328,1), "0", "Germany", "1", "USA", "2", "Norway", "3", "France", "Italy")</f>
        <v>Italy</v>
      </c>
      <c r="F328" s="6" t="s">
        <v>36</v>
      </c>
      <c r="G328" s="6" t="s">
        <v>136</v>
      </c>
      <c r="H328" s="7">
        <v>17685</v>
      </c>
    </row>
    <row r="329" spans="2:8" x14ac:dyDescent="0.3">
      <c r="B329" s="6" t="s">
        <v>17</v>
      </c>
      <c r="C329" s="6">
        <v>2022</v>
      </c>
      <c r="D329" s="6" t="s">
        <v>48</v>
      </c>
      <c r="E329" s="6" t="str">
        <f t="shared" si="5"/>
        <v>France</v>
      </c>
      <c r="F329" s="6" t="s">
        <v>36</v>
      </c>
      <c r="G329" s="6" t="s">
        <v>134</v>
      </c>
      <c r="H329" s="7">
        <v>12905</v>
      </c>
    </row>
    <row r="330" spans="2:8" x14ac:dyDescent="0.3">
      <c r="B330" s="6" t="s">
        <v>17</v>
      </c>
      <c r="C330" s="6">
        <v>2022</v>
      </c>
      <c r="D330" s="6" t="s">
        <v>90</v>
      </c>
      <c r="E330" s="6" t="str">
        <f t="shared" si="5"/>
        <v>Italy</v>
      </c>
      <c r="F330" s="6" t="s">
        <v>36</v>
      </c>
      <c r="G330" s="6" t="s">
        <v>136</v>
      </c>
      <c r="H330" s="7">
        <v>5618</v>
      </c>
    </row>
    <row r="331" spans="2:8" x14ac:dyDescent="0.3">
      <c r="B331" s="6" t="s">
        <v>17</v>
      </c>
      <c r="C331" s="6">
        <v>2022</v>
      </c>
      <c r="D331" s="6" t="s">
        <v>111</v>
      </c>
      <c r="E331" s="6" t="str">
        <f t="shared" si="5"/>
        <v>USA</v>
      </c>
      <c r="F331" s="6" t="s">
        <v>37</v>
      </c>
      <c r="G331" s="6" t="s">
        <v>136</v>
      </c>
      <c r="H331" s="7">
        <v>12316</v>
      </c>
    </row>
    <row r="332" spans="2:8" x14ac:dyDescent="0.3">
      <c r="B332" s="6" t="s">
        <v>17</v>
      </c>
      <c r="C332" s="6">
        <v>2022</v>
      </c>
      <c r="D332" s="6" t="s">
        <v>109</v>
      </c>
      <c r="E332" s="6" t="str">
        <f t="shared" si="5"/>
        <v>Italy</v>
      </c>
      <c r="F332" s="6" t="s">
        <v>36</v>
      </c>
      <c r="G332" s="6" t="s">
        <v>136</v>
      </c>
      <c r="H332" s="7">
        <v>13818</v>
      </c>
    </row>
    <row r="333" spans="2:8" x14ac:dyDescent="0.3">
      <c r="B333" s="6" t="s">
        <v>17</v>
      </c>
      <c r="C333" s="6">
        <v>2022</v>
      </c>
      <c r="D333" s="6" t="s">
        <v>22</v>
      </c>
      <c r="E333" s="6" t="str">
        <f t="shared" si="5"/>
        <v>France</v>
      </c>
      <c r="F333" s="6" t="s">
        <v>36</v>
      </c>
      <c r="G333" s="6" t="s">
        <v>134</v>
      </c>
      <c r="H333" s="7">
        <v>14931</v>
      </c>
    </row>
    <row r="334" spans="2:8" x14ac:dyDescent="0.3">
      <c r="B334" s="6" t="s">
        <v>17</v>
      </c>
      <c r="C334" s="6">
        <v>2022</v>
      </c>
      <c r="D334" s="6" t="s">
        <v>52</v>
      </c>
      <c r="E334" s="6" t="str">
        <f t="shared" si="5"/>
        <v>Italy</v>
      </c>
      <c r="F334" s="6" t="s">
        <v>36</v>
      </c>
      <c r="G334" s="6" t="s">
        <v>136</v>
      </c>
      <c r="H334" s="7">
        <v>6178</v>
      </c>
    </row>
    <row r="335" spans="2:8" x14ac:dyDescent="0.3">
      <c r="B335" s="6" t="s">
        <v>17</v>
      </c>
      <c r="C335" s="6">
        <v>2023</v>
      </c>
      <c r="D335" s="6" t="s">
        <v>115</v>
      </c>
      <c r="E335" s="6" t="str">
        <f t="shared" si="5"/>
        <v>Italy</v>
      </c>
      <c r="F335" s="6" t="s">
        <v>36</v>
      </c>
      <c r="G335" s="6" t="s">
        <v>136</v>
      </c>
      <c r="H335" s="7">
        <v>9754</v>
      </c>
    </row>
    <row r="336" spans="2:8" x14ac:dyDescent="0.3">
      <c r="B336" s="6" t="s">
        <v>17</v>
      </c>
      <c r="C336" s="6">
        <v>2023</v>
      </c>
      <c r="D336" s="6" t="s">
        <v>41</v>
      </c>
      <c r="E336" s="6" t="str">
        <f t="shared" si="5"/>
        <v>Germany</v>
      </c>
      <c r="F336" s="6" t="s">
        <v>35</v>
      </c>
      <c r="G336" s="6" t="s">
        <v>135</v>
      </c>
      <c r="H336" s="7">
        <v>14219</v>
      </c>
    </row>
    <row r="337" spans="2:8" x14ac:dyDescent="0.3">
      <c r="B337" s="6" t="s">
        <v>17</v>
      </c>
      <c r="C337" s="6">
        <v>2023</v>
      </c>
      <c r="D337" s="6" t="s">
        <v>80</v>
      </c>
      <c r="E337" s="6" t="str">
        <f t="shared" si="5"/>
        <v>Italy</v>
      </c>
      <c r="F337" s="6" t="s">
        <v>36</v>
      </c>
      <c r="G337" s="6" t="s">
        <v>136</v>
      </c>
      <c r="H337" s="7">
        <v>16014</v>
      </c>
    </row>
    <row r="338" spans="2:8" x14ac:dyDescent="0.3">
      <c r="B338" s="6" t="s">
        <v>17</v>
      </c>
      <c r="C338" s="6">
        <v>2023</v>
      </c>
      <c r="D338" s="6" t="s">
        <v>131</v>
      </c>
      <c r="E338" s="6" t="str">
        <f t="shared" si="5"/>
        <v>USA</v>
      </c>
      <c r="F338" s="6" t="s">
        <v>37</v>
      </c>
      <c r="G338" s="6" t="s">
        <v>136</v>
      </c>
      <c r="H338" s="7">
        <v>4359</v>
      </c>
    </row>
    <row r="339" spans="2:8" x14ac:dyDescent="0.3">
      <c r="B339" s="6" t="s">
        <v>17</v>
      </c>
      <c r="C339" s="6">
        <v>2023</v>
      </c>
      <c r="D339" s="6" t="s">
        <v>20</v>
      </c>
      <c r="E339" s="6" t="str">
        <f t="shared" si="5"/>
        <v>USA</v>
      </c>
      <c r="F339" s="6" t="s">
        <v>37</v>
      </c>
      <c r="G339" s="6" t="s">
        <v>136</v>
      </c>
      <c r="H339" s="7">
        <v>14546</v>
      </c>
    </row>
    <row r="340" spans="2:8" x14ac:dyDescent="0.3">
      <c r="B340" s="6" t="s">
        <v>17</v>
      </c>
      <c r="C340" s="6">
        <v>2023</v>
      </c>
      <c r="D340" s="6" t="s">
        <v>72</v>
      </c>
      <c r="E340" s="6" t="str">
        <f t="shared" si="5"/>
        <v>Italy</v>
      </c>
      <c r="F340" s="6" t="s">
        <v>37</v>
      </c>
      <c r="G340" s="6" t="s">
        <v>134</v>
      </c>
      <c r="H340" s="7">
        <v>17150</v>
      </c>
    </row>
    <row r="341" spans="2:8" x14ac:dyDescent="0.3">
      <c r="B341" s="6" t="s">
        <v>17</v>
      </c>
      <c r="C341" s="6">
        <v>2023</v>
      </c>
      <c r="D341" s="6" t="s">
        <v>42</v>
      </c>
      <c r="E341" s="6" t="str">
        <f t="shared" si="5"/>
        <v>Italy</v>
      </c>
      <c r="F341" s="6" t="s">
        <v>38</v>
      </c>
      <c r="G341" s="6" t="s">
        <v>135</v>
      </c>
      <c r="H341" s="7">
        <v>14072</v>
      </c>
    </row>
    <row r="342" spans="2:8" x14ac:dyDescent="0.3">
      <c r="B342" s="6" t="s">
        <v>17</v>
      </c>
      <c r="C342" s="6">
        <v>2023</v>
      </c>
      <c r="D342" s="6" t="s">
        <v>104</v>
      </c>
      <c r="E342" s="6" t="str">
        <f t="shared" si="5"/>
        <v>Italy</v>
      </c>
      <c r="F342" s="6" t="s">
        <v>36</v>
      </c>
      <c r="G342" s="6" t="s">
        <v>136</v>
      </c>
      <c r="H342" s="7">
        <v>4115</v>
      </c>
    </row>
    <row r="343" spans="2:8" x14ac:dyDescent="0.3">
      <c r="B343" s="6" t="s">
        <v>17</v>
      </c>
      <c r="C343" s="6">
        <v>2023</v>
      </c>
      <c r="D343" s="6" t="s">
        <v>105</v>
      </c>
      <c r="E343" s="6" t="str">
        <f t="shared" si="5"/>
        <v>USA</v>
      </c>
      <c r="F343" s="6" t="s">
        <v>37</v>
      </c>
      <c r="G343" s="6" t="s">
        <v>136</v>
      </c>
      <c r="H343" s="7">
        <v>9026</v>
      </c>
    </row>
    <row r="344" spans="2:8" x14ac:dyDescent="0.3">
      <c r="B344" s="6" t="s">
        <v>17</v>
      </c>
      <c r="C344" s="6">
        <v>2023</v>
      </c>
      <c r="D344" s="6" t="s">
        <v>85</v>
      </c>
      <c r="E344" s="6" t="str">
        <f t="shared" si="5"/>
        <v>Germany</v>
      </c>
      <c r="F344" s="6" t="s">
        <v>35</v>
      </c>
      <c r="G344" s="6" t="s">
        <v>135</v>
      </c>
      <c r="H344" s="7">
        <v>1702</v>
      </c>
    </row>
    <row r="345" spans="2:8" x14ac:dyDescent="0.3">
      <c r="B345" s="6" t="s">
        <v>17</v>
      </c>
      <c r="C345" s="6">
        <v>2023</v>
      </c>
      <c r="D345" s="6" t="s">
        <v>91</v>
      </c>
      <c r="E345" s="6" t="str">
        <f t="shared" si="5"/>
        <v>Italy</v>
      </c>
      <c r="F345" s="6" t="s">
        <v>38</v>
      </c>
      <c r="G345" s="6" t="s">
        <v>135</v>
      </c>
      <c r="H345" s="7">
        <v>12414</v>
      </c>
    </row>
    <row r="346" spans="2:8" x14ac:dyDescent="0.3">
      <c r="B346" s="6" t="s">
        <v>17</v>
      </c>
      <c r="C346" s="6">
        <v>2023</v>
      </c>
      <c r="D346" s="6" t="s">
        <v>83</v>
      </c>
      <c r="E346" s="6" t="str">
        <f t="shared" si="5"/>
        <v>Italy</v>
      </c>
      <c r="F346" s="6" t="s">
        <v>36</v>
      </c>
      <c r="G346" s="6" t="s">
        <v>136</v>
      </c>
      <c r="H346" s="7">
        <v>12684</v>
      </c>
    </row>
    <row r="347" spans="2:8" x14ac:dyDescent="0.3">
      <c r="B347" s="6" t="s">
        <v>17</v>
      </c>
      <c r="C347" s="6">
        <v>2023</v>
      </c>
      <c r="D347" s="6" t="s">
        <v>84</v>
      </c>
      <c r="E347" s="6" t="str">
        <f t="shared" si="5"/>
        <v>Italy</v>
      </c>
      <c r="F347" s="6" t="s">
        <v>38</v>
      </c>
      <c r="G347" s="6" t="s">
        <v>135</v>
      </c>
      <c r="H347" s="7">
        <v>13218</v>
      </c>
    </row>
    <row r="348" spans="2:8" x14ac:dyDescent="0.3">
      <c r="B348" s="6" t="s">
        <v>17</v>
      </c>
      <c r="C348" s="6">
        <v>2023</v>
      </c>
      <c r="D348" s="6" t="s">
        <v>110</v>
      </c>
      <c r="E348" s="6" t="str">
        <f t="shared" si="5"/>
        <v>Italy</v>
      </c>
      <c r="F348" s="6" t="s">
        <v>36</v>
      </c>
      <c r="G348" s="6" t="s">
        <v>136</v>
      </c>
      <c r="H348" s="7">
        <v>6926</v>
      </c>
    </row>
    <row r="349" spans="2:8" x14ac:dyDescent="0.3">
      <c r="B349" s="6" t="s">
        <v>17</v>
      </c>
      <c r="C349" s="6">
        <v>2023</v>
      </c>
      <c r="D349" s="6" t="s">
        <v>125</v>
      </c>
      <c r="E349" s="6" t="str">
        <f t="shared" si="5"/>
        <v>USA</v>
      </c>
      <c r="F349" s="6" t="s">
        <v>37</v>
      </c>
      <c r="G349" s="6" t="s">
        <v>136</v>
      </c>
      <c r="H349" s="7">
        <v>4356</v>
      </c>
    </row>
    <row r="350" spans="2:8" x14ac:dyDescent="0.3">
      <c r="B350" s="6" t="s">
        <v>17</v>
      </c>
      <c r="C350" s="6">
        <v>2023</v>
      </c>
      <c r="D350" s="6" t="s">
        <v>77</v>
      </c>
      <c r="E350" s="6" t="str">
        <f t="shared" si="5"/>
        <v>Italy</v>
      </c>
      <c r="F350" s="6" t="s">
        <v>36</v>
      </c>
      <c r="G350" s="6" t="s">
        <v>136</v>
      </c>
      <c r="H350" s="7">
        <v>7563</v>
      </c>
    </row>
    <row r="351" spans="2:8" x14ac:dyDescent="0.3">
      <c r="B351" s="6" t="s">
        <v>17</v>
      </c>
      <c r="C351" s="6">
        <v>2023</v>
      </c>
      <c r="D351" s="6" t="s">
        <v>39</v>
      </c>
      <c r="E351" s="6" t="str">
        <f t="shared" si="5"/>
        <v>Italy</v>
      </c>
      <c r="F351" s="6" t="s">
        <v>36</v>
      </c>
      <c r="G351" s="6" t="s">
        <v>136</v>
      </c>
      <c r="H351" s="7">
        <v>7984</v>
      </c>
    </row>
    <row r="352" spans="2:8" x14ac:dyDescent="0.3">
      <c r="B352" s="6" t="s">
        <v>17</v>
      </c>
      <c r="C352" s="6">
        <v>2023</v>
      </c>
      <c r="D352" s="6" t="s">
        <v>82</v>
      </c>
      <c r="E352" s="6" t="str">
        <f t="shared" si="5"/>
        <v>Italy</v>
      </c>
      <c r="F352" s="6" t="s">
        <v>36</v>
      </c>
      <c r="G352" s="6" t="s">
        <v>136</v>
      </c>
      <c r="H352" s="7">
        <v>6849</v>
      </c>
    </row>
    <row r="353" spans="2:8" x14ac:dyDescent="0.3">
      <c r="B353" s="6" t="s">
        <v>17</v>
      </c>
      <c r="C353" s="6">
        <v>2023</v>
      </c>
      <c r="D353" s="6" t="s">
        <v>68</v>
      </c>
      <c r="E353" s="6" t="str">
        <f t="shared" si="5"/>
        <v>Norway</v>
      </c>
      <c r="F353" s="6" t="s">
        <v>36</v>
      </c>
      <c r="G353" s="6" t="s">
        <v>135</v>
      </c>
      <c r="H353" s="7">
        <v>2567</v>
      </c>
    </row>
    <row r="354" spans="2:8" x14ac:dyDescent="0.3">
      <c r="B354" s="6" t="s">
        <v>17</v>
      </c>
      <c r="C354" s="6">
        <v>2023</v>
      </c>
      <c r="D354" s="6" t="s">
        <v>24</v>
      </c>
      <c r="E354" s="6" t="str">
        <f t="shared" si="5"/>
        <v>Italy</v>
      </c>
      <c r="F354" s="6" t="s">
        <v>37</v>
      </c>
      <c r="G354" s="6" t="s">
        <v>134</v>
      </c>
      <c r="H354" s="7">
        <v>15147</v>
      </c>
    </row>
    <row r="355" spans="2:8" x14ac:dyDescent="0.3">
      <c r="B355" s="6" t="s">
        <v>17</v>
      </c>
      <c r="C355" s="6">
        <v>2023</v>
      </c>
      <c r="D355" s="6" t="s">
        <v>82</v>
      </c>
      <c r="E355" s="6" t="str">
        <f t="shared" si="5"/>
        <v>Italy</v>
      </c>
      <c r="F355" s="6" t="s">
        <v>36</v>
      </c>
      <c r="G355" s="6" t="s">
        <v>136</v>
      </c>
      <c r="H355" s="7">
        <v>12548</v>
      </c>
    </row>
    <row r="356" spans="2:8" x14ac:dyDescent="0.3">
      <c r="B356" s="6" t="s">
        <v>17</v>
      </c>
      <c r="C356" s="6">
        <v>2023</v>
      </c>
      <c r="D356" s="6" t="s">
        <v>123</v>
      </c>
      <c r="E356" s="6" t="str">
        <f t="shared" si="5"/>
        <v>Italy</v>
      </c>
      <c r="F356" s="6" t="s">
        <v>36</v>
      </c>
      <c r="G356" s="6" t="s">
        <v>136</v>
      </c>
      <c r="H356" s="7">
        <v>16066</v>
      </c>
    </row>
    <row r="357" spans="2:8" x14ac:dyDescent="0.3">
      <c r="B357" s="6" t="s">
        <v>17</v>
      </c>
      <c r="C357" s="6">
        <v>2023</v>
      </c>
      <c r="D357" s="6" t="s">
        <v>119</v>
      </c>
      <c r="E357" s="6" t="str">
        <f t="shared" si="5"/>
        <v>Italy</v>
      </c>
      <c r="F357" s="6" t="s">
        <v>36</v>
      </c>
      <c r="G357" s="6" t="s">
        <v>136</v>
      </c>
      <c r="H357" s="7">
        <v>13071</v>
      </c>
    </row>
    <row r="358" spans="2:8" x14ac:dyDescent="0.3">
      <c r="B358" s="6" t="s">
        <v>17</v>
      </c>
      <c r="C358" s="6">
        <v>2023</v>
      </c>
      <c r="D358" s="6" t="s">
        <v>131</v>
      </c>
      <c r="E358" s="6" t="str">
        <f t="shared" si="5"/>
        <v>USA</v>
      </c>
      <c r="F358" s="6" t="s">
        <v>37</v>
      </c>
      <c r="G358" s="6" t="s">
        <v>136</v>
      </c>
      <c r="H358" s="7">
        <v>16552</v>
      </c>
    </row>
    <row r="359" spans="2:8" x14ac:dyDescent="0.3">
      <c r="B359" s="6" t="s">
        <v>17</v>
      </c>
      <c r="C359" s="6">
        <v>2023</v>
      </c>
      <c r="D359" s="6" t="s">
        <v>83</v>
      </c>
      <c r="E359" s="6" t="str">
        <f t="shared" si="5"/>
        <v>Italy</v>
      </c>
      <c r="F359" s="6" t="s">
        <v>36</v>
      </c>
      <c r="G359" s="6" t="s">
        <v>136</v>
      </c>
      <c r="H359" s="7">
        <v>13888</v>
      </c>
    </row>
    <row r="360" spans="2:8" x14ac:dyDescent="0.3">
      <c r="B360" s="6" t="s">
        <v>17</v>
      </c>
      <c r="C360" s="6">
        <v>2023</v>
      </c>
      <c r="D360" s="6" t="s">
        <v>132</v>
      </c>
      <c r="E360" s="6" t="str">
        <f t="shared" si="5"/>
        <v>Italy</v>
      </c>
      <c r="F360" s="6" t="s">
        <v>37</v>
      </c>
      <c r="G360" s="6" t="s">
        <v>134</v>
      </c>
      <c r="H360" s="7">
        <v>7064</v>
      </c>
    </row>
    <row r="361" spans="2:8" x14ac:dyDescent="0.3">
      <c r="B361" s="6" t="s">
        <v>17</v>
      </c>
      <c r="C361" s="6">
        <v>2023</v>
      </c>
      <c r="D361" s="6" t="s">
        <v>76</v>
      </c>
      <c r="E361" s="6" t="str">
        <f t="shared" si="5"/>
        <v>Italy</v>
      </c>
      <c r="F361" s="6" t="s">
        <v>36</v>
      </c>
      <c r="G361" s="6" t="s">
        <v>136</v>
      </c>
      <c r="H361" s="7">
        <v>12541</v>
      </c>
    </row>
    <row r="362" spans="2:8" x14ac:dyDescent="0.3">
      <c r="B362" s="6" t="s">
        <v>17</v>
      </c>
      <c r="C362" s="6">
        <v>2023</v>
      </c>
      <c r="D362" s="6" t="s">
        <v>133</v>
      </c>
      <c r="E362" s="6" t="str">
        <f t="shared" si="5"/>
        <v>France</v>
      </c>
      <c r="F362" s="6" t="s">
        <v>36</v>
      </c>
      <c r="G362" s="6" t="s">
        <v>134</v>
      </c>
      <c r="H362" s="7">
        <v>4278</v>
      </c>
    </row>
    <row r="363" spans="2:8" x14ac:dyDescent="0.3">
      <c r="B363" s="6" t="s">
        <v>17</v>
      </c>
      <c r="C363" s="6">
        <v>2023</v>
      </c>
      <c r="D363" s="6" t="s">
        <v>133</v>
      </c>
      <c r="E363" s="6" t="str">
        <f t="shared" si="5"/>
        <v>France</v>
      </c>
      <c r="F363" s="6" t="s">
        <v>36</v>
      </c>
      <c r="G363" s="6" t="s">
        <v>134</v>
      </c>
      <c r="H363" s="7">
        <v>6622</v>
      </c>
    </row>
    <row r="364" spans="2:8" x14ac:dyDescent="0.3">
      <c r="B364" s="6" t="s">
        <v>17</v>
      </c>
      <c r="C364" s="6">
        <v>2023</v>
      </c>
      <c r="D364" s="6" t="s">
        <v>20</v>
      </c>
      <c r="E364" s="6" t="str">
        <f t="shared" si="5"/>
        <v>USA</v>
      </c>
      <c r="F364" s="6" t="s">
        <v>37</v>
      </c>
      <c r="G364" s="6" t="s">
        <v>136</v>
      </c>
      <c r="H364" s="7">
        <v>10442</v>
      </c>
    </row>
    <row r="365" spans="2:8" x14ac:dyDescent="0.3">
      <c r="B365" s="6" t="s">
        <v>17</v>
      </c>
      <c r="C365" s="6">
        <v>2023</v>
      </c>
      <c r="D365" s="6" t="s">
        <v>73</v>
      </c>
      <c r="E365" s="6" t="str">
        <f t="shared" si="5"/>
        <v>Germany</v>
      </c>
      <c r="F365" s="6" t="s">
        <v>35</v>
      </c>
      <c r="G365" s="6" t="s">
        <v>135</v>
      </c>
      <c r="H365" s="7">
        <v>9554</v>
      </c>
    </row>
    <row r="366" spans="2:8" x14ac:dyDescent="0.3">
      <c r="B366" s="6" t="s">
        <v>17</v>
      </c>
      <c r="C366" s="6">
        <v>2023</v>
      </c>
      <c r="D366" s="6" t="s">
        <v>55</v>
      </c>
      <c r="E366" s="6" t="str">
        <f t="shared" si="5"/>
        <v>Norway</v>
      </c>
      <c r="F366" s="6" t="s">
        <v>36</v>
      </c>
      <c r="G366" s="6" t="s">
        <v>135</v>
      </c>
      <c r="H366" s="7">
        <v>2505</v>
      </c>
    </row>
    <row r="367" spans="2:8" x14ac:dyDescent="0.3">
      <c r="B367" s="6" t="s">
        <v>17</v>
      </c>
      <c r="C367" s="6">
        <v>2023</v>
      </c>
      <c r="D367" s="6" t="s">
        <v>115</v>
      </c>
      <c r="E367" s="6" t="str">
        <f t="shared" si="5"/>
        <v>Italy</v>
      </c>
      <c r="F367" s="6" t="s">
        <v>36</v>
      </c>
      <c r="G367" s="6" t="s">
        <v>136</v>
      </c>
      <c r="H367" s="7">
        <v>10986</v>
      </c>
    </row>
    <row r="368" spans="2:8" x14ac:dyDescent="0.3">
      <c r="B368" s="6" t="s">
        <v>17</v>
      </c>
      <c r="C368" s="6">
        <v>2023</v>
      </c>
      <c r="D368" s="6" t="s">
        <v>121</v>
      </c>
      <c r="E368" s="6" t="str">
        <f t="shared" si="5"/>
        <v>Italy</v>
      </c>
      <c r="F368" s="6" t="s">
        <v>37</v>
      </c>
      <c r="G368" s="6" t="s">
        <v>134</v>
      </c>
      <c r="H368" s="7">
        <v>16310</v>
      </c>
    </row>
    <row r="369" spans="2:8" x14ac:dyDescent="0.3">
      <c r="B369" s="6" t="s">
        <v>18</v>
      </c>
      <c r="C369" s="6">
        <v>2022</v>
      </c>
      <c r="D369" s="6" t="s">
        <v>79</v>
      </c>
      <c r="E369" s="6" t="str">
        <f t="shared" si="5"/>
        <v>Italy</v>
      </c>
      <c r="F369" s="6" t="s">
        <v>38</v>
      </c>
      <c r="G369" s="6" t="s">
        <v>135</v>
      </c>
      <c r="H369" s="7">
        <v>17512</v>
      </c>
    </row>
    <row r="370" spans="2:8" x14ac:dyDescent="0.3">
      <c r="B370" s="6" t="s">
        <v>18</v>
      </c>
      <c r="C370" s="6">
        <v>2022</v>
      </c>
      <c r="D370" s="6" t="s">
        <v>28</v>
      </c>
      <c r="E370" s="6" t="str">
        <f t="shared" si="5"/>
        <v>Italy</v>
      </c>
      <c r="F370" s="6" t="s">
        <v>36</v>
      </c>
      <c r="G370" s="6" t="s">
        <v>136</v>
      </c>
      <c r="H370" s="7">
        <v>12749</v>
      </c>
    </row>
    <row r="371" spans="2:8" x14ac:dyDescent="0.3">
      <c r="B371" s="6" t="s">
        <v>18</v>
      </c>
      <c r="C371" s="6">
        <v>2022</v>
      </c>
      <c r="D371" s="6" t="s">
        <v>29</v>
      </c>
      <c r="E371" s="6" t="str">
        <f t="shared" si="5"/>
        <v>Germany</v>
      </c>
      <c r="F371" s="6" t="s">
        <v>35</v>
      </c>
      <c r="G371" s="6" t="s">
        <v>135</v>
      </c>
      <c r="H371" s="7">
        <v>10972</v>
      </c>
    </row>
    <row r="372" spans="2:8" x14ac:dyDescent="0.3">
      <c r="B372" s="6" t="s">
        <v>18</v>
      </c>
      <c r="C372" s="6">
        <v>2022</v>
      </c>
      <c r="D372" s="6" t="s">
        <v>126</v>
      </c>
      <c r="E372" s="6" t="str">
        <f t="shared" si="5"/>
        <v>France</v>
      </c>
      <c r="F372" s="6" t="s">
        <v>36</v>
      </c>
      <c r="G372" s="6" t="s">
        <v>134</v>
      </c>
      <c r="H372" s="7">
        <v>17656</v>
      </c>
    </row>
    <row r="373" spans="2:8" x14ac:dyDescent="0.3">
      <c r="B373" s="6" t="s">
        <v>18</v>
      </c>
      <c r="C373" s="6">
        <v>2022</v>
      </c>
      <c r="D373" s="6" t="s">
        <v>100</v>
      </c>
      <c r="E373" s="6" t="str">
        <f t="shared" si="5"/>
        <v>Italy</v>
      </c>
      <c r="F373" s="6" t="s">
        <v>36</v>
      </c>
      <c r="G373" s="6" t="s">
        <v>136</v>
      </c>
      <c r="H373" s="7">
        <v>6493</v>
      </c>
    </row>
    <row r="374" spans="2:8" x14ac:dyDescent="0.3">
      <c r="B374" s="6" t="s">
        <v>18</v>
      </c>
      <c r="C374" s="6">
        <v>2022</v>
      </c>
      <c r="D374" s="6" t="s">
        <v>50</v>
      </c>
      <c r="E374" s="6" t="str">
        <f t="shared" si="5"/>
        <v>Germany</v>
      </c>
      <c r="F374" s="6" t="s">
        <v>35</v>
      </c>
      <c r="G374" s="6" t="s">
        <v>135</v>
      </c>
      <c r="H374" s="7">
        <v>14965</v>
      </c>
    </row>
    <row r="375" spans="2:8" x14ac:dyDescent="0.3">
      <c r="B375" s="6" t="s">
        <v>18</v>
      </c>
      <c r="C375" s="6">
        <v>2022</v>
      </c>
      <c r="D375" s="6" t="s">
        <v>69</v>
      </c>
      <c r="E375" s="6" t="str">
        <f t="shared" si="5"/>
        <v>Italy</v>
      </c>
      <c r="F375" s="6" t="s">
        <v>38</v>
      </c>
      <c r="G375" s="6" t="s">
        <v>135</v>
      </c>
      <c r="H375" s="7">
        <v>6986</v>
      </c>
    </row>
    <row r="376" spans="2:8" x14ac:dyDescent="0.3">
      <c r="B376" s="6" t="s">
        <v>18</v>
      </c>
      <c r="C376" s="6">
        <v>2022</v>
      </c>
      <c r="D376" s="6" t="s">
        <v>41</v>
      </c>
      <c r="E376" s="6" t="str">
        <f t="shared" si="5"/>
        <v>Germany</v>
      </c>
      <c r="F376" s="6" t="s">
        <v>35</v>
      </c>
      <c r="G376" s="6" t="s">
        <v>135</v>
      </c>
      <c r="H376" s="7">
        <v>8640</v>
      </c>
    </row>
    <row r="377" spans="2:8" x14ac:dyDescent="0.3">
      <c r="B377" s="6" t="s">
        <v>18</v>
      </c>
      <c r="C377" s="6">
        <v>2022</v>
      </c>
      <c r="D377" s="6" t="s">
        <v>41</v>
      </c>
      <c r="E377" s="6" t="str">
        <f t="shared" si="5"/>
        <v>Germany</v>
      </c>
      <c r="F377" s="6" t="s">
        <v>35</v>
      </c>
      <c r="G377" s="6" t="s">
        <v>135</v>
      </c>
      <c r="H377" s="7">
        <v>11215</v>
      </c>
    </row>
    <row r="378" spans="2:8" x14ac:dyDescent="0.3">
      <c r="B378" s="6" t="s">
        <v>18</v>
      </c>
      <c r="C378" s="6">
        <v>2022</v>
      </c>
      <c r="D378" s="6" t="s">
        <v>128</v>
      </c>
      <c r="E378" s="6" t="str">
        <f t="shared" si="5"/>
        <v>Italy</v>
      </c>
      <c r="F378" s="6" t="s">
        <v>36</v>
      </c>
      <c r="G378" s="6" t="s">
        <v>136</v>
      </c>
      <c r="H378" s="7">
        <v>11188</v>
      </c>
    </row>
    <row r="379" spans="2:8" x14ac:dyDescent="0.3">
      <c r="B379" s="6" t="s">
        <v>18</v>
      </c>
      <c r="C379" s="6">
        <v>2022</v>
      </c>
      <c r="D379" s="6" t="s">
        <v>72</v>
      </c>
      <c r="E379" s="6" t="str">
        <f t="shared" si="5"/>
        <v>Italy</v>
      </c>
      <c r="F379" s="6" t="s">
        <v>37</v>
      </c>
      <c r="G379" s="6" t="s">
        <v>134</v>
      </c>
      <c r="H379" s="7">
        <v>6000</v>
      </c>
    </row>
    <row r="380" spans="2:8" x14ac:dyDescent="0.3">
      <c r="B380" s="6" t="s">
        <v>18</v>
      </c>
      <c r="C380" s="6">
        <v>2022</v>
      </c>
      <c r="D380" s="6" t="s">
        <v>113</v>
      </c>
      <c r="E380" s="6" t="str">
        <f t="shared" si="5"/>
        <v>Norway</v>
      </c>
      <c r="F380" s="6" t="s">
        <v>36</v>
      </c>
      <c r="G380" s="6" t="s">
        <v>135</v>
      </c>
      <c r="H380" s="7">
        <v>15709</v>
      </c>
    </row>
    <row r="381" spans="2:8" x14ac:dyDescent="0.3">
      <c r="B381" s="6" t="s">
        <v>18</v>
      </c>
      <c r="C381" s="6">
        <v>2022</v>
      </c>
      <c r="D381" s="6" t="s">
        <v>82</v>
      </c>
      <c r="E381" s="6" t="str">
        <f t="shared" si="5"/>
        <v>Italy</v>
      </c>
      <c r="F381" s="6" t="s">
        <v>36</v>
      </c>
      <c r="G381" s="6" t="s">
        <v>136</v>
      </c>
      <c r="H381" s="7">
        <v>13548</v>
      </c>
    </row>
    <row r="382" spans="2:8" x14ac:dyDescent="0.3">
      <c r="B382" s="6" t="s">
        <v>18</v>
      </c>
      <c r="C382" s="6">
        <v>2022</v>
      </c>
      <c r="D382" s="6" t="s">
        <v>80</v>
      </c>
      <c r="E382" s="6" t="str">
        <f t="shared" si="5"/>
        <v>Italy</v>
      </c>
      <c r="F382" s="6" t="s">
        <v>36</v>
      </c>
      <c r="G382" s="6" t="s">
        <v>136</v>
      </c>
      <c r="H382" s="7">
        <v>9332</v>
      </c>
    </row>
    <row r="383" spans="2:8" x14ac:dyDescent="0.3">
      <c r="B383" s="6" t="s">
        <v>18</v>
      </c>
      <c r="C383" s="6">
        <v>2022</v>
      </c>
      <c r="D383" s="6" t="s">
        <v>96</v>
      </c>
      <c r="E383" s="6" t="str">
        <f t="shared" si="5"/>
        <v>USA</v>
      </c>
      <c r="F383" s="6" t="s">
        <v>37</v>
      </c>
      <c r="G383" s="6" t="s">
        <v>136</v>
      </c>
      <c r="H383" s="7">
        <v>5179</v>
      </c>
    </row>
    <row r="384" spans="2:8" x14ac:dyDescent="0.3">
      <c r="B384" s="6" t="s">
        <v>18</v>
      </c>
      <c r="C384" s="6">
        <v>2022</v>
      </c>
      <c r="D384" s="6" t="s">
        <v>62</v>
      </c>
      <c r="E384" s="6" t="str">
        <f t="shared" si="5"/>
        <v>Italy</v>
      </c>
      <c r="F384" s="6" t="s">
        <v>37</v>
      </c>
      <c r="G384" s="6" t="s">
        <v>134</v>
      </c>
      <c r="H384" s="7">
        <v>6311</v>
      </c>
    </row>
    <row r="385" spans="2:8" x14ac:dyDescent="0.3">
      <c r="B385" s="6" t="s">
        <v>18</v>
      </c>
      <c r="C385" s="6">
        <v>2022</v>
      </c>
      <c r="D385" s="6" t="s">
        <v>40</v>
      </c>
      <c r="E385" s="6" t="str">
        <f t="shared" si="5"/>
        <v>Italy</v>
      </c>
      <c r="F385" s="6" t="s">
        <v>38</v>
      </c>
      <c r="G385" s="6" t="s">
        <v>135</v>
      </c>
      <c r="H385" s="7">
        <v>4569</v>
      </c>
    </row>
    <row r="386" spans="2:8" x14ac:dyDescent="0.3">
      <c r="B386" s="6" t="s">
        <v>18</v>
      </c>
      <c r="C386" s="6">
        <v>2022</v>
      </c>
      <c r="D386" s="6" t="s">
        <v>69</v>
      </c>
      <c r="E386" s="6" t="str">
        <f t="shared" si="5"/>
        <v>Italy</v>
      </c>
      <c r="F386" s="6" t="s">
        <v>38</v>
      </c>
      <c r="G386" s="6" t="s">
        <v>135</v>
      </c>
      <c r="H386" s="7">
        <v>9298</v>
      </c>
    </row>
    <row r="387" spans="2:8" x14ac:dyDescent="0.3">
      <c r="B387" s="6" t="s">
        <v>18</v>
      </c>
      <c r="C387" s="6">
        <v>2022</v>
      </c>
      <c r="D387" s="6" t="s">
        <v>41</v>
      </c>
      <c r="E387" s="6" t="str">
        <f t="shared" si="5"/>
        <v>Germany</v>
      </c>
      <c r="F387" s="6" t="s">
        <v>35</v>
      </c>
      <c r="G387" s="6" t="s">
        <v>135</v>
      </c>
      <c r="H387" s="7">
        <v>5707</v>
      </c>
    </row>
    <row r="388" spans="2:8" x14ac:dyDescent="0.3">
      <c r="B388" s="6" t="s">
        <v>18</v>
      </c>
      <c r="C388" s="6">
        <v>2022</v>
      </c>
      <c r="D388" s="6" t="s">
        <v>101</v>
      </c>
      <c r="E388" s="6" t="str">
        <f t="shared" si="5"/>
        <v>France</v>
      </c>
      <c r="F388" s="6" t="s">
        <v>36</v>
      </c>
      <c r="G388" s="6" t="s">
        <v>134</v>
      </c>
      <c r="H388" s="7">
        <v>12291</v>
      </c>
    </row>
    <row r="389" spans="2:8" x14ac:dyDescent="0.3">
      <c r="B389" s="6" t="s">
        <v>18</v>
      </c>
      <c r="C389" s="6">
        <v>2022</v>
      </c>
      <c r="D389" s="6" t="s">
        <v>105</v>
      </c>
      <c r="E389" s="6" t="str">
        <f t="shared" si="5"/>
        <v>USA</v>
      </c>
      <c r="F389" s="6" t="s">
        <v>37</v>
      </c>
      <c r="G389" s="6" t="s">
        <v>136</v>
      </c>
      <c r="H389" s="7">
        <v>12945</v>
      </c>
    </row>
    <row r="390" spans="2:8" x14ac:dyDescent="0.3">
      <c r="B390" s="6" t="s">
        <v>18</v>
      </c>
      <c r="C390" s="6">
        <v>2023</v>
      </c>
      <c r="D390" s="6" t="s">
        <v>94</v>
      </c>
      <c r="E390" s="6" t="str">
        <f t="shared" si="5"/>
        <v>Italy</v>
      </c>
      <c r="F390" s="6" t="s">
        <v>36</v>
      </c>
      <c r="G390" s="6" t="s">
        <v>136</v>
      </c>
      <c r="H390" s="7">
        <v>7341</v>
      </c>
    </row>
    <row r="391" spans="2:8" x14ac:dyDescent="0.3">
      <c r="B391" s="6" t="s">
        <v>18</v>
      </c>
      <c r="C391" s="6">
        <v>2023</v>
      </c>
      <c r="D391" s="6" t="s">
        <v>116</v>
      </c>
      <c r="E391" s="6" t="str">
        <f t="shared" si="5"/>
        <v>Italy</v>
      </c>
      <c r="F391" s="6" t="s">
        <v>36</v>
      </c>
      <c r="G391" s="6" t="s">
        <v>136</v>
      </c>
      <c r="H391" s="7">
        <v>12298</v>
      </c>
    </row>
    <row r="392" spans="2:8" x14ac:dyDescent="0.3">
      <c r="B392" s="6" t="s">
        <v>18</v>
      </c>
      <c r="C392" s="6">
        <v>2023</v>
      </c>
      <c r="D392" s="6" t="s">
        <v>126</v>
      </c>
      <c r="E392" s="6" t="str">
        <f t="shared" ref="E392:E450" si="6">_xlfn.SWITCH(RIGHT(D392,1), "0", "Germany", "1", "USA", "2", "Norway", "3", "France", "Italy")</f>
        <v>France</v>
      </c>
      <c r="F392" s="6" t="s">
        <v>36</v>
      </c>
      <c r="G392" s="6" t="s">
        <v>134</v>
      </c>
      <c r="H392" s="7">
        <v>10373</v>
      </c>
    </row>
    <row r="393" spans="2:8" x14ac:dyDescent="0.3">
      <c r="B393" s="6" t="s">
        <v>18</v>
      </c>
      <c r="C393" s="6">
        <v>2023</v>
      </c>
      <c r="D393" s="6" t="s">
        <v>58</v>
      </c>
      <c r="E393" s="6" t="str">
        <f t="shared" si="6"/>
        <v>Norway</v>
      </c>
      <c r="F393" s="6" t="s">
        <v>36</v>
      </c>
      <c r="G393" s="6" t="s">
        <v>135</v>
      </c>
      <c r="H393" s="7">
        <v>9499</v>
      </c>
    </row>
    <row r="394" spans="2:8" x14ac:dyDescent="0.3">
      <c r="B394" s="6" t="s">
        <v>18</v>
      </c>
      <c r="C394" s="6">
        <v>2023</v>
      </c>
      <c r="D394" s="6" t="s">
        <v>66</v>
      </c>
      <c r="E394" s="6" t="str">
        <f t="shared" si="6"/>
        <v>Italy</v>
      </c>
      <c r="F394" s="6" t="s">
        <v>36</v>
      </c>
      <c r="G394" s="6" t="s">
        <v>136</v>
      </c>
      <c r="H394" s="7">
        <v>8128</v>
      </c>
    </row>
    <row r="395" spans="2:8" x14ac:dyDescent="0.3">
      <c r="B395" s="6" t="s">
        <v>18</v>
      </c>
      <c r="C395" s="6">
        <v>2023</v>
      </c>
      <c r="D395" s="6" t="s">
        <v>133</v>
      </c>
      <c r="E395" s="6" t="str">
        <f t="shared" si="6"/>
        <v>France</v>
      </c>
      <c r="F395" s="6" t="s">
        <v>36</v>
      </c>
      <c r="G395" s="6" t="s">
        <v>134</v>
      </c>
      <c r="H395" s="7">
        <v>7255</v>
      </c>
    </row>
    <row r="396" spans="2:8" x14ac:dyDescent="0.3">
      <c r="B396" s="6" t="s">
        <v>18</v>
      </c>
      <c r="C396" s="6">
        <v>2023</v>
      </c>
      <c r="D396" s="6" t="s">
        <v>75</v>
      </c>
      <c r="E396" s="6" t="str">
        <f t="shared" si="6"/>
        <v>Italy</v>
      </c>
      <c r="F396" s="6" t="s">
        <v>36</v>
      </c>
      <c r="G396" s="6" t="s">
        <v>136</v>
      </c>
      <c r="H396" s="7">
        <v>3054</v>
      </c>
    </row>
    <row r="397" spans="2:8" x14ac:dyDescent="0.3">
      <c r="B397" s="6" t="s">
        <v>18</v>
      </c>
      <c r="C397" s="6">
        <v>2023</v>
      </c>
      <c r="D397" s="6" t="s">
        <v>72</v>
      </c>
      <c r="E397" s="6" t="str">
        <f t="shared" si="6"/>
        <v>Italy</v>
      </c>
      <c r="F397" s="6" t="s">
        <v>37</v>
      </c>
      <c r="G397" s="6" t="s">
        <v>134</v>
      </c>
      <c r="H397" s="7">
        <v>2774</v>
      </c>
    </row>
    <row r="398" spans="2:8" x14ac:dyDescent="0.3">
      <c r="B398" s="6" t="s">
        <v>18</v>
      </c>
      <c r="C398" s="6">
        <v>2023</v>
      </c>
      <c r="D398" s="6" t="s">
        <v>94</v>
      </c>
      <c r="E398" s="6" t="str">
        <f t="shared" si="6"/>
        <v>Italy</v>
      </c>
      <c r="F398" s="6" t="s">
        <v>36</v>
      </c>
      <c r="G398" s="6" t="s">
        <v>136</v>
      </c>
      <c r="H398" s="7">
        <v>10347</v>
      </c>
    </row>
    <row r="399" spans="2:8" x14ac:dyDescent="0.3">
      <c r="B399" s="6" t="s">
        <v>18</v>
      </c>
      <c r="C399" s="6">
        <v>2023</v>
      </c>
      <c r="D399" s="6" t="s">
        <v>84</v>
      </c>
      <c r="E399" s="6" t="str">
        <f t="shared" si="6"/>
        <v>Italy</v>
      </c>
      <c r="F399" s="6" t="s">
        <v>38</v>
      </c>
      <c r="G399" s="6" t="s">
        <v>135</v>
      </c>
      <c r="H399" s="7">
        <v>13842</v>
      </c>
    </row>
    <row r="400" spans="2:8" x14ac:dyDescent="0.3">
      <c r="B400" s="6" t="s">
        <v>18</v>
      </c>
      <c r="C400" s="6">
        <v>2023</v>
      </c>
      <c r="D400" s="6" t="s">
        <v>51</v>
      </c>
      <c r="E400" s="6" t="str">
        <f t="shared" si="6"/>
        <v>Germany</v>
      </c>
      <c r="F400" s="6" t="s">
        <v>35</v>
      </c>
      <c r="G400" s="6" t="s">
        <v>135</v>
      </c>
      <c r="H400" s="7">
        <v>4348</v>
      </c>
    </row>
    <row r="401" spans="2:8" x14ac:dyDescent="0.3">
      <c r="B401" s="6" t="s">
        <v>18</v>
      </c>
      <c r="C401" s="6">
        <v>2023</v>
      </c>
      <c r="D401" s="6" t="s">
        <v>121</v>
      </c>
      <c r="E401" s="6" t="str">
        <f t="shared" si="6"/>
        <v>Italy</v>
      </c>
      <c r="F401" s="6" t="s">
        <v>37</v>
      </c>
      <c r="G401" s="6" t="s">
        <v>134</v>
      </c>
      <c r="H401" s="7">
        <v>9734</v>
      </c>
    </row>
    <row r="402" spans="2:8" x14ac:dyDescent="0.3">
      <c r="B402" s="6" t="s">
        <v>18</v>
      </c>
      <c r="C402" s="6">
        <v>2023</v>
      </c>
      <c r="D402" s="6" t="s">
        <v>61</v>
      </c>
      <c r="E402" s="6" t="str">
        <f t="shared" si="6"/>
        <v>Norway</v>
      </c>
      <c r="F402" s="6" t="s">
        <v>36</v>
      </c>
      <c r="G402" s="6" t="s">
        <v>135</v>
      </c>
      <c r="H402" s="7">
        <v>10389</v>
      </c>
    </row>
    <row r="403" spans="2:8" x14ac:dyDescent="0.3">
      <c r="B403" s="6" t="s">
        <v>18</v>
      </c>
      <c r="C403" s="6">
        <v>2023</v>
      </c>
      <c r="D403" s="6" t="s">
        <v>27</v>
      </c>
      <c r="E403" s="6" t="str">
        <f t="shared" si="6"/>
        <v>Italy</v>
      </c>
      <c r="F403" s="6" t="s">
        <v>36</v>
      </c>
      <c r="G403" s="6" t="s">
        <v>136</v>
      </c>
      <c r="H403" s="7">
        <v>9868</v>
      </c>
    </row>
    <row r="404" spans="2:8" x14ac:dyDescent="0.3">
      <c r="B404" s="6" t="s">
        <v>18</v>
      </c>
      <c r="C404" s="6">
        <v>2023</v>
      </c>
      <c r="D404" s="6" t="s">
        <v>78</v>
      </c>
      <c r="E404" s="6" t="str">
        <f t="shared" si="6"/>
        <v>Italy</v>
      </c>
      <c r="F404" s="6" t="s">
        <v>37</v>
      </c>
      <c r="G404" s="6" t="s">
        <v>134</v>
      </c>
      <c r="H404" s="7">
        <v>9902</v>
      </c>
    </row>
    <row r="405" spans="2:8" x14ac:dyDescent="0.3">
      <c r="B405" s="6" t="s">
        <v>18</v>
      </c>
      <c r="C405" s="6">
        <v>2023</v>
      </c>
      <c r="D405" s="6" t="s">
        <v>115</v>
      </c>
      <c r="E405" s="6" t="str">
        <f t="shared" si="6"/>
        <v>Italy</v>
      </c>
      <c r="F405" s="6" t="s">
        <v>36</v>
      </c>
      <c r="G405" s="6" t="s">
        <v>136</v>
      </c>
      <c r="H405" s="7">
        <v>6744</v>
      </c>
    </row>
    <row r="406" spans="2:8" x14ac:dyDescent="0.3">
      <c r="B406" s="6" t="s">
        <v>18</v>
      </c>
      <c r="C406" s="6">
        <v>2023</v>
      </c>
      <c r="D406" s="6" t="s">
        <v>117</v>
      </c>
      <c r="E406" s="6" t="str">
        <f t="shared" si="6"/>
        <v>France</v>
      </c>
      <c r="F406" s="6" t="s">
        <v>36</v>
      </c>
      <c r="G406" s="6" t="s">
        <v>134</v>
      </c>
      <c r="H406" s="7">
        <v>15297</v>
      </c>
    </row>
    <row r="407" spans="2:8" x14ac:dyDescent="0.3">
      <c r="B407" s="6" t="s">
        <v>18</v>
      </c>
      <c r="C407" s="6">
        <v>2023</v>
      </c>
      <c r="D407" s="6" t="s">
        <v>116</v>
      </c>
      <c r="E407" s="6" t="str">
        <f t="shared" si="6"/>
        <v>Italy</v>
      </c>
      <c r="F407" s="6" t="s">
        <v>36</v>
      </c>
      <c r="G407" s="6" t="s">
        <v>136</v>
      </c>
      <c r="H407" s="7">
        <v>14394</v>
      </c>
    </row>
    <row r="408" spans="2:8" x14ac:dyDescent="0.3">
      <c r="B408" s="6" t="s">
        <v>18</v>
      </c>
      <c r="C408" s="6">
        <v>2023</v>
      </c>
      <c r="D408" s="6" t="s">
        <v>94</v>
      </c>
      <c r="E408" s="6" t="str">
        <f t="shared" si="6"/>
        <v>Italy</v>
      </c>
      <c r="F408" s="6" t="s">
        <v>36</v>
      </c>
      <c r="G408" s="6" t="s">
        <v>136</v>
      </c>
      <c r="H408" s="7">
        <v>9848</v>
      </c>
    </row>
    <row r="409" spans="2:8" x14ac:dyDescent="0.3">
      <c r="B409" s="6" t="s">
        <v>18</v>
      </c>
      <c r="C409" s="6">
        <v>2023</v>
      </c>
      <c r="D409" s="6" t="s">
        <v>113</v>
      </c>
      <c r="E409" s="6" t="str">
        <f t="shared" si="6"/>
        <v>Norway</v>
      </c>
      <c r="F409" s="6" t="s">
        <v>36</v>
      </c>
      <c r="G409" s="6" t="s">
        <v>135</v>
      </c>
      <c r="H409" s="7">
        <v>10152</v>
      </c>
    </row>
    <row r="410" spans="2:8" x14ac:dyDescent="0.3">
      <c r="B410" s="6" t="s">
        <v>18</v>
      </c>
      <c r="C410" s="6">
        <v>2023</v>
      </c>
      <c r="D410" s="6" t="s">
        <v>103</v>
      </c>
      <c r="E410" s="6" t="str">
        <f t="shared" si="6"/>
        <v>Italy</v>
      </c>
      <c r="F410" s="6" t="s">
        <v>37</v>
      </c>
      <c r="G410" s="6" t="s">
        <v>134</v>
      </c>
      <c r="H410" s="7">
        <v>11705</v>
      </c>
    </row>
    <row r="411" spans="2:8" x14ac:dyDescent="0.3">
      <c r="B411" s="6" t="s">
        <v>18</v>
      </c>
      <c r="C411" s="6">
        <v>2023</v>
      </c>
      <c r="D411" s="6" t="s">
        <v>104</v>
      </c>
      <c r="E411" s="6" t="str">
        <f t="shared" si="6"/>
        <v>Italy</v>
      </c>
      <c r="F411" s="6" t="s">
        <v>36</v>
      </c>
      <c r="G411" s="6" t="s">
        <v>136</v>
      </c>
      <c r="H411" s="7">
        <v>17865</v>
      </c>
    </row>
    <row r="412" spans="2:8" x14ac:dyDescent="0.3">
      <c r="B412" s="6" t="s">
        <v>18</v>
      </c>
      <c r="C412" s="6">
        <v>2023</v>
      </c>
      <c r="D412" s="6" t="s">
        <v>104</v>
      </c>
      <c r="E412" s="6" t="str">
        <f t="shared" si="6"/>
        <v>Italy</v>
      </c>
      <c r="F412" s="6" t="s">
        <v>36</v>
      </c>
      <c r="G412" s="6" t="s">
        <v>136</v>
      </c>
      <c r="H412" s="7">
        <v>15079</v>
      </c>
    </row>
    <row r="413" spans="2:8" x14ac:dyDescent="0.3">
      <c r="B413" s="6" t="s">
        <v>18</v>
      </c>
      <c r="C413" s="6">
        <v>2023</v>
      </c>
      <c r="D413" s="6" t="s">
        <v>26</v>
      </c>
      <c r="E413" s="6" t="str">
        <f t="shared" si="6"/>
        <v>Italy</v>
      </c>
      <c r="F413" s="6" t="s">
        <v>36</v>
      </c>
      <c r="G413" s="6" t="s">
        <v>136</v>
      </c>
      <c r="H413" s="7">
        <v>19591</v>
      </c>
    </row>
    <row r="414" spans="2:8" x14ac:dyDescent="0.3">
      <c r="B414" s="6" t="s">
        <v>18</v>
      </c>
      <c r="C414" s="6">
        <v>2023</v>
      </c>
      <c r="D414" s="6" t="s">
        <v>68</v>
      </c>
      <c r="E414" s="6" t="str">
        <f t="shared" si="6"/>
        <v>Norway</v>
      </c>
      <c r="F414" s="6" t="s">
        <v>36</v>
      </c>
      <c r="G414" s="6" t="s">
        <v>135</v>
      </c>
      <c r="H414" s="7">
        <v>1332</v>
      </c>
    </row>
    <row r="415" spans="2:8" x14ac:dyDescent="0.3">
      <c r="B415" s="6" t="s">
        <v>18</v>
      </c>
      <c r="C415" s="6">
        <v>2023</v>
      </c>
      <c r="D415" s="6" t="s">
        <v>113</v>
      </c>
      <c r="E415" s="6" t="str">
        <f t="shared" si="6"/>
        <v>Norway</v>
      </c>
      <c r="F415" s="6" t="s">
        <v>36</v>
      </c>
      <c r="G415" s="6" t="s">
        <v>135</v>
      </c>
      <c r="H415" s="7">
        <v>17025</v>
      </c>
    </row>
    <row r="416" spans="2:8" x14ac:dyDescent="0.3">
      <c r="B416" s="6" t="s">
        <v>18</v>
      </c>
      <c r="C416" s="6">
        <v>2023</v>
      </c>
      <c r="D416" s="6" t="s">
        <v>61</v>
      </c>
      <c r="E416" s="6" t="str">
        <f t="shared" si="6"/>
        <v>Norway</v>
      </c>
      <c r="F416" s="6" t="s">
        <v>36</v>
      </c>
      <c r="G416" s="6" t="s">
        <v>135</v>
      </c>
      <c r="H416" s="7">
        <v>9402</v>
      </c>
    </row>
    <row r="417" spans="2:8" x14ac:dyDescent="0.3">
      <c r="B417" s="6" t="s">
        <v>18</v>
      </c>
      <c r="C417" s="6">
        <v>2023</v>
      </c>
      <c r="D417" s="6" t="s">
        <v>123</v>
      </c>
      <c r="E417" s="6" t="str">
        <f t="shared" si="6"/>
        <v>Italy</v>
      </c>
      <c r="F417" s="6" t="s">
        <v>36</v>
      </c>
      <c r="G417" s="6" t="s">
        <v>136</v>
      </c>
      <c r="H417" s="7">
        <v>15546</v>
      </c>
    </row>
    <row r="418" spans="2:8" x14ac:dyDescent="0.3">
      <c r="B418" s="6" t="s">
        <v>19</v>
      </c>
      <c r="C418" s="6">
        <v>2022</v>
      </c>
      <c r="D418" s="6" t="s">
        <v>117</v>
      </c>
      <c r="E418" s="6" t="str">
        <f t="shared" si="6"/>
        <v>France</v>
      </c>
      <c r="F418" s="6" t="s">
        <v>36</v>
      </c>
      <c r="G418" s="6" t="s">
        <v>134</v>
      </c>
      <c r="H418" s="7">
        <v>17049</v>
      </c>
    </row>
    <row r="419" spans="2:8" x14ac:dyDescent="0.3">
      <c r="B419" s="6" t="s">
        <v>19</v>
      </c>
      <c r="C419" s="6">
        <v>2022</v>
      </c>
      <c r="D419" s="6" t="s">
        <v>69</v>
      </c>
      <c r="E419" s="6" t="str">
        <f t="shared" si="6"/>
        <v>Italy</v>
      </c>
      <c r="F419" s="6" t="s">
        <v>38</v>
      </c>
      <c r="G419" s="6" t="s">
        <v>135</v>
      </c>
      <c r="H419" s="7">
        <v>3699</v>
      </c>
    </row>
    <row r="420" spans="2:8" x14ac:dyDescent="0.3">
      <c r="B420" s="6" t="s">
        <v>19</v>
      </c>
      <c r="C420" s="6">
        <v>2022</v>
      </c>
      <c r="D420" s="6" t="s">
        <v>22</v>
      </c>
      <c r="E420" s="6" t="str">
        <f t="shared" si="6"/>
        <v>France</v>
      </c>
      <c r="F420" s="6" t="s">
        <v>36</v>
      </c>
      <c r="G420" s="6" t="s">
        <v>134</v>
      </c>
      <c r="H420" s="7">
        <v>12686</v>
      </c>
    </row>
    <row r="421" spans="2:8" x14ac:dyDescent="0.3">
      <c r="B421" s="6" t="s">
        <v>19</v>
      </c>
      <c r="C421" s="6">
        <v>2022</v>
      </c>
      <c r="D421" s="6" t="s">
        <v>75</v>
      </c>
      <c r="E421" s="6" t="str">
        <f t="shared" si="6"/>
        <v>Italy</v>
      </c>
      <c r="F421" s="6" t="s">
        <v>36</v>
      </c>
      <c r="G421" s="6" t="s">
        <v>136</v>
      </c>
      <c r="H421" s="7">
        <v>2734</v>
      </c>
    </row>
    <row r="422" spans="2:8" x14ac:dyDescent="0.3">
      <c r="B422" s="6" t="s">
        <v>19</v>
      </c>
      <c r="C422" s="6">
        <v>2022</v>
      </c>
      <c r="D422" s="6" t="s">
        <v>23</v>
      </c>
      <c r="E422" s="6" t="str">
        <f t="shared" si="6"/>
        <v>Italy</v>
      </c>
      <c r="F422" s="6" t="s">
        <v>36</v>
      </c>
      <c r="G422" s="6" t="s">
        <v>136</v>
      </c>
      <c r="H422" s="7">
        <v>5559</v>
      </c>
    </row>
    <row r="423" spans="2:8" x14ac:dyDescent="0.3">
      <c r="B423" s="6" t="s">
        <v>19</v>
      </c>
      <c r="C423" s="6">
        <v>2022</v>
      </c>
      <c r="D423" s="6" t="s">
        <v>130</v>
      </c>
      <c r="E423" s="6" t="str">
        <f t="shared" si="6"/>
        <v>Norway</v>
      </c>
      <c r="F423" s="6" t="s">
        <v>36</v>
      </c>
      <c r="G423" s="6" t="s">
        <v>135</v>
      </c>
      <c r="H423" s="7">
        <v>12780</v>
      </c>
    </row>
    <row r="424" spans="2:8" x14ac:dyDescent="0.3">
      <c r="B424" s="6" t="s">
        <v>19</v>
      </c>
      <c r="C424" s="6">
        <v>2022</v>
      </c>
      <c r="D424" s="6" t="s">
        <v>127</v>
      </c>
      <c r="E424" s="6" t="str">
        <f t="shared" si="6"/>
        <v>France</v>
      </c>
      <c r="F424" s="6" t="s">
        <v>36</v>
      </c>
      <c r="G424" s="6" t="s">
        <v>134</v>
      </c>
      <c r="H424" s="7">
        <v>17581</v>
      </c>
    </row>
    <row r="425" spans="2:8" x14ac:dyDescent="0.3">
      <c r="B425" s="6" t="s">
        <v>19</v>
      </c>
      <c r="C425" s="6">
        <v>2022</v>
      </c>
      <c r="D425" s="6" t="s">
        <v>63</v>
      </c>
      <c r="E425" s="6" t="str">
        <f t="shared" si="6"/>
        <v>Italy</v>
      </c>
      <c r="F425" s="6" t="s">
        <v>37</v>
      </c>
      <c r="G425" s="6" t="s">
        <v>134</v>
      </c>
      <c r="H425" s="7">
        <v>9143</v>
      </c>
    </row>
    <row r="426" spans="2:8" x14ac:dyDescent="0.3">
      <c r="B426" s="6" t="s">
        <v>19</v>
      </c>
      <c r="C426" s="6">
        <v>2022</v>
      </c>
      <c r="D426" s="6" t="s">
        <v>65</v>
      </c>
      <c r="E426" s="6" t="str">
        <f t="shared" si="6"/>
        <v>Germany</v>
      </c>
      <c r="F426" s="6" t="s">
        <v>35</v>
      </c>
      <c r="G426" s="6" t="s">
        <v>135</v>
      </c>
      <c r="H426" s="7">
        <v>1499</v>
      </c>
    </row>
    <row r="427" spans="2:8" x14ac:dyDescent="0.3">
      <c r="B427" s="6" t="s">
        <v>19</v>
      </c>
      <c r="C427" s="6">
        <v>2022</v>
      </c>
      <c r="D427" s="6" t="s">
        <v>94</v>
      </c>
      <c r="E427" s="6" t="str">
        <f t="shared" si="6"/>
        <v>Italy</v>
      </c>
      <c r="F427" s="6" t="s">
        <v>36</v>
      </c>
      <c r="G427" s="6" t="s">
        <v>136</v>
      </c>
      <c r="H427" s="7">
        <v>8582</v>
      </c>
    </row>
    <row r="428" spans="2:8" x14ac:dyDescent="0.3">
      <c r="B428" s="6" t="s">
        <v>19</v>
      </c>
      <c r="C428" s="6">
        <v>2022</v>
      </c>
      <c r="D428" s="6" t="s">
        <v>52</v>
      </c>
      <c r="E428" s="6" t="str">
        <f t="shared" si="6"/>
        <v>Italy</v>
      </c>
      <c r="F428" s="6" t="s">
        <v>36</v>
      </c>
      <c r="G428" s="6" t="s">
        <v>136</v>
      </c>
      <c r="H428" s="7">
        <v>9716</v>
      </c>
    </row>
    <row r="429" spans="2:8" x14ac:dyDescent="0.3">
      <c r="B429" s="6" t="s">
        <v>19</v>
      </c>
      <c r="C429" s="6">
        <v>2022</v>
      </c>
      <c r="D429" s="6" t="s">
        <v>80</v>
      </c>
      <c r="E429" s="6" t="str">
        <f t="shared" si="6"/>
        <v>Italy</v>
      </c>
      <c r="F429" s="6" t="s">
        <v>36</v>
      </c>
      <c r="G429" s="6" t="s">
        <v>136</v>
      </c>
      <c r="H429" s="7">
        <v>4740</v>
      </c>
    </row>
    <row r="430" spans="2:8" x14ac:dyDescent="0.3">
      <c r="B430" s="6" t="s">
        <v>19</v>
      </c>
      <c r="C430" s="6">
        <v>2022</v>
      </c>
      <c r="D430" s="6" t="s">
        <v>39</v>
      </c>
      <c r="E430" s="6" t="str">
        <f t="shared" si="6"/>
        <v>Italy</v>
      </c>
      <c r="F430" s="6" t="s">
        <v>36</v>
      </c>
      <c r="G430" s="6" t="s">
        <v>136</v>
      </c>
      <c r="H430" s="7">
        <v>11839</v>
      </c>
    </row>
    <row r="431" spans="2:8" x14ac:dyDescent="0.3">
      <c r="B431" s="6" t="s">
        <v>19</v>
      </c>
      <c r="C431" s="6">
        <v>2022</v>
      </c>
      <c r="D431" s="6" t="s">
        <v>45</v>
      </c>
      <c r="E431" s="6" t="str">
        <f t="shared" si="6"/>
        <v>France</v>
      </c>
      <c r="F431" s="6" t="s">
        <v>36</v>
      </c>
      <c r="G431" s="6" t="s">
        <v>134</v>
      </c>
      <c r="H431" s="7">
        <v>16032</v>
      </c>
    </row>
    <row r="432" spans="2:8" x14ac:dyDescent="0.3">
      <c r="B432" s="6" t="s">
        <v>19</v>
      </c>
      <c r="C432" s="6">
        <v>2022</v>
      </c>
      <c r="D432" s="6" t="s">
        <v>54</v>
      </c>
      <c r="E432" s="6" t="str">
        <f t="shared" si="6"/>
        <v>France</v>
      </c>
      <c r="F432" s="6" t="s">
        <v>36</v>
      </c>
      <c r="G432" s="6" t="s">
        <v>137</v>
      </c>
      <c r="H432" s="7">
        <v>1321</v>
      </c>
    </row>
    <row r="433" spans="2:8" x14ac:dyDescent="0.3">
      <c r="B433" s="6" t="s">
        <v>19</v>
      </c>
      <c r="C433" s="6">
        <v>2022</v>
      </c>
      <c r="D433" s="6" t="s">
        <v>104</v>
      </c>
      <c r="E433" s="6" t="str">
        <f t="shared" si="6"/>
        <v>Italy</v>
      </c>
      <c r="F433" s="6" t="s">
        <v>36</v>
      </c>
      <c r="G433" s="6" t="s">
        <v>136</v>
      </c>
      <c r="H433" s="7">
        <v>11851</v>
      </c>
    </row>
    <row r="434" spans="2:8" x14ac:dyDescent="0.3">
      <c r="B434" s="6" t="s">
        <v>19</v>
      </c>
      <c r="C434" s="6">
        <v>2022</v>
      </c>
      <c r="D434" s="6" t="s">
        <v>49</v>
      </c>
      <c r="E434" s="6" t="str">
        <f t="shared" si="6"/>
        <v>Italy</v>
      </c>
      <c r="F434" s="6" t="s">
        <v>36</v>
      </c>
      <c r="G434" s="6" t="s">
        <v>136</v>
      </c>
      <c r="H434" s="7">
        <v>12649</v>
      </c>
    </row>
    <row r="435" spans="2:8" x14ac:dyDescent="0.3">
      <c r="B435" s="6" t="s">
        <v>19</v>
      </c>
      <c r="C435" s="6">
        <v>2022</v>
      </c>
      <c r="D435" s="6" t="s">
        <v>39</v>
      </c>
      <c r="E435" s="6" t="str">
        <f t="shared" si="6"/>
        <v>Italy</v>
      </c>
      <c r="F435" s="6" t="s">
        <v>36</v>
      </c>
      <c r="G435" s="6" t="s">
        <v>136</v>
      </c>
      <c r="H435" s="7">
        <v>5156</v>
      </c>
    </row>
    <row r="436" spans="2:8" x14ac:dyDescent="0.3">
      <c r="B436" s="6" t="s">
        <v>19</v>
      </c>
      <c r="C436" s="6">
        <v>2022</v>
      </c>
      <c r="D436" s="6" t="s">
        <v>54</v>
      </c>
      <c r="E436" s="6" t="str">
        <f t="shared" si="6"/>
        <v>France</v>
      </c>
      <c r="F436" s="6" t="s">
        <v>36</v>
      </c>
      <c r="G436" s="6" t="s">
        <v>137</v>
      </c>
      <c r="H436" s="7">
        <v>3259</v>
      </c>
    </row>
    <row r="437" spans="2:8" x14ac:dyDescent="0.3">
      <c r="B437" s="6" t="s">
        <v>19</v>
      </c>
      <c r="C437" s="6">
        <v>2022</v>
      </c>
      <c r="D437" s="6" t="s">
        <v>56</v>
      </c>
      <c r="E437" s="6" t="str">
        <f t="shared" si="6"/>
        <v>Norway</v>
      </c>
      <c r="F437" s="6" t="s">
        <v>36</v>
      </c>
      <c r="G437" s="6" t="s">
        <v>135</v>
      </c>
      <c r="H437" s="7">
        <v>11053</v>
      </c>
    </row>
    <row r="438" spans="2:8" x14ac:dyDescent="0.3">
      <c r="B438" s="6" t="s">
        <v>19</v>
      </c>
      <c r="C438" s="6">
        <v>2023</v>
      </c>
      <c r="D438" s="6" t="s">
        <v>112</v>
      </c>
      <c r="E438" s="6" t="str">
        <f t="shared" si="6"/>
        <v>USA</v>
      </c>
      <c r="F438" s="6" t="s">
        <v>37</v>
      </c>
      <c r="G438" s="6" t="s">
        <v>136</v>
      </c>
      <c r="H438" s="7">
        <v>7228</v>
      </c>
    </row>
    <row r="439" spans="2:8" x14ac:dyDescent="0.3">
      <c r="B439" s="6" t="s">
        <v>19</v>
      </c>
      <c r="C439" s="6">
        <v>2023</v>
      </c>
      <c r="D439" s="6" t="s">
        <v>131</v>
      </c>
      <c r="E439" s="6" t="str">
        <f t="shared" si="6"/>
        <v>USA</v>
      </c>
      <c r="F439" s="6" t="s">
        <v>37</v>
      </c>
      <c r="G439" s="6" t="s">
        <v>136</v>
      </c>
      <c r="H439" s="7">
        <v>2929</v>
      </c>
    </row>
    <row r="440" spans="2:8" x14ac:dyDescent="0.3">
      <c r="B440" s="6" t="s">
        <v>19</v>
      </c>
      <c r="C440" s="6">
        <v>2023</v>
      </c>
      <c r="D440" s="6" t="s">
        <v>64</v>
      </c>
      <c r="E440" s="6" t="str">
        <f t="shared" si="6"/>
        <v>Italy</v>
      </c>
      <c r="F440" s="6" t="s">
        <v>36</v>
      </c>
      <c r="G440" s="6" t="s">
        <v>136</v>
      </c>
      <c r="H440" s="7">
        <v>4882</v>
      </c>
    </row>
    <row r="441" spans="2:8" x14ac:dyDescent="0.3">
      <c r="B441" s="6" t="s">
        <v>19</v>
      </c>
      <c r="C441" s="6">
        <v>2023</v>
      </c>
      <c r="D441" s="6" t="s">
        <v>117</v>
      </c>
      <c r="E441" s="6" t="str">
        <f t="shared" si="6"/>
        <v>France</v>
      </c>
      <c r="F441" s="6" t="s">
        <v>36</v>
      </c>
      <c r="G441" s="6" t="s">
        <v>134</v>
      </c>
      <c r="H441" s="7">
        <v>4054</v>
      </c>
    </row>
    <row r="442" spans="2:8" x14ac:dyDescent="0.3">
      <c r="B442" s="6" t="s">
        <v>19</v>
      </c>
      <c r="C442" s="6">
        <v>2023</v>
      </c>
      <c r="D442" s="6" t="s">
        <v>74</v>
      </c>
      <c r="E442" s="6" t="str">
        <f t="shared" si="6"/>
        <v>Italy</v>
      </c>
      <c r="F442" s="6" t="s">
        <v>36</v>
      </c>
      <c r="G442" s="6" t="s">
        <v>136</v>
      </c>
      <c r="H442" s="7">
        <v>15960</v>
      </c>
    </row>
    <row r="443" spans="2:8" x14ac:dyDescent="0.3">
      <c r="B443" s="6" t="s">
        <v>19</v>
      </c>
      <c r="C443" s="6">
        <v>2023</v>
      </c>
      <c r="D443" s="6" t="s">
        <v>76</v>
      </c>
      <c r="E443" s="6" t="str">
        <f t="shared" si="6"/>
        <v>Italy</v>
      </c>
      <c r="F443" s="6" t="s">
        <v>36</v>
      </c>
      <c r="G443" s="6" t="s">
        <v>136</v>
      </c>
      <c r="H443" s="7">
        <v>5030</v>
      </c>
    </row>
    <row r="444" spans="2:8" x14ac:dyDescent="0.3">
      <c r="B444" s="6" t="s">
        <v>19</v>
      </c>
      <c r="C444" s="6">
        <v>2023</v>
      </c>
      <c r="D444" s="6" t="s">
        <v>128</v>
      </c>
      <c r="E444" s="6" t="str">
        <f t="shared" si="6"/>
        <v>Italy</v>
      </c>
      <c r="F444" s="6" t="s">
        <v>36</v>
      </c>
      <c r="G444" s="6" t="s">
        <v>136</v>
      </c>
      <c r="H444" s="7">
        <v>1920</v>
      </c>
    </row>
    <row r="445" spans="2:8" x14ac:dyDescent="0.3">
      <c r="B445" s="6" t="s">
        <v>19</v>
      </c>
      <c r="C445" s="6">
        <v>2023</v>
      </c>
      <c r="D445" s="6" t="s">
        <v>100</v>
      </c>
      <c r="E445" s="6" t="str">
        <f t="shared" si="6"/>
        <v>Italy</v>
      </c>
      <c r="F445" s="6" t="s">
        <v>36</v>
      </c>
      <c r="G445" s="6" t="s">
        <v>136</v>
      </c>
      <c r="H445" s="7">
        <v>11214</v>
      </c>
    </row>
    <row r="446" spans="2:8" x14ac:dyDescent="0.3">
      <c r="B446" s="6" t="s">
        <v>19</v>
      </c>
      <c r="C446" s="6">
        <v>2023</v>
      </c>
      <c r="D446" s="6" t="s">
        <v>27</v>
      </c>
      <c r="E446" s="6" t="str">
        <f t="shared" si="6"/>
        <v>Italy</v>
      </c>
      <c r="F446" s="6" t="s">
        <v>36</v>
      </c>
      <c r="G446" s="6" t="s">
        <v>136</v>
      </c>
      <c r="H446" s="7">
        <v>3637</v>
      </c>
    </row>
    <row r="447" spans="2:8" x14ac:dyDescent="0.3">
      <c r="B447" s="6" t="s">
        <v>19</v>
      </c>
      <c r="C447" s="6">
        <v>2023</v>
      </c>
      <c r="D447" s="6" t="s">
        <v>133</v>
      </c>
      <c r="E447" s="6" t="str">
        <f t="shared" si="6"/>
        <v>France</v>
      </c>
      <c r="F447" s="6" t="s">
        <v>36</v>
      </c>
      <c r="G447" s="6" t="s">
        <v>134</v>
      </c>
      <c r="H447" s="7">
        <v>5111</v>
      </c>
    </row>
    <row r="448" spans="2:8" x14ac:dyDescent="0.3">
      <c r="B448" s="6" t="s">
        <v>19</v>
      </c>
      <c r="C448" s="6">
        <v>2023</v>
      </c>
      <c r="D448" s="6" t="s">
        <v>61</v>
      </c>
      <c r="E448" s="6" t="str">
        <f t="shared" si="6"/>
        <v>Norway</v>
      </c>
      <c r="F448" s="6" t="s">
        <v>36</v>
      </c>
      <c r="G448" s="6" t="s">
        <v>135</v>
      </c>
      <c r="H448" s="7">
        <v>1834</v>
      </c>
    </row>
    <row r="449" spans="2:8" x14ac:dyDescent="0.3">
      <c r="B449" s="6" t="s">
        <v>19</v>
      </c>
      <c r="C449" s="6">
        <v>2023</v>
      </c>
      <c r="D449" s="6" t="s">
        <v>83</v>
      </c>
      <c r="E449" s="6" t="str">
        <f t="shared" si="6"/>
        <v>Italy</v>
      </c>
      <c r="F449" s="6" t="s">
        <v>36</v>
      </c>
      <c r="G449" s="6" t="s">
        <v>136</v>
      </c>
      <c r="H449" s="7">
        <v>15647</v>
      </c>
    </row>
    <row r="450" spans="2:8" x14ac:dyDescent="0.3">
      <c r="B450" s="6" t="s">
        <v>19</v>
      </c>
      <c r="C450" s="6">
        <v>2023</v>
      </c>
      <c r="D450" s="6" t="s">
        <v>99</v>
      </c>
      <c r="E450" s="6" t="str">
        <f t="shared" si="6"/>
        <v>Italy</v>
      </c>
      <c r="F450" s="6" t="s">
        <v>38</v>
      </c>
      <c r="G450" s="6" t="s">
        <v>135</v>
      </c>
      <c r="H450" s="7">
        <v>9498</v>
      </c>
    </row>
    <row r="455" spans="2:8" x14ac:dyDescent="0.3">
      <c r="E455" s="2" t="s">
        <v>2</v>
      </c>
      <c r="F455" s="2" t="s">
        <v>138</v>
      </c>
    </row>
    <row r="456" spans="2:8" x14ac:dyDescent="0.3">
      <c r="C456" s="41" t="s">
        <v>153</v>
      </c>
      <c r="D456" s="6">
        <v>1</v>
      </c>
      <c r="E456" s="6" t="str">
        <f t="array" ref="E456">INDEX(D$7:D$450,MATCH(1,(COUNTIF(H$451:H451,D$7:D$450)=0)*(LARGE(SUMIF(D$7:D$450,D$7:D$450,H$7:H$450)*(MATCH(D$7:D$450,D$7:D$450,0)=ROW(D$7:D$450)-ROW(D$7)+1),D456)=SUMIF(D$7:D$450,D$7:D$450,H$7:H$450)),0))</f>
        <v>Customer #100</v>
      </c>
      <c r="F456" s="7">
        <f>SUMIF($D$7:$D$450,E456,$H$7:$H$450)</f>
        <v>100485</v>
      </c>
    </row>
    <row r="457" spans="2:8" x14ac:dyDescent="0.3">
      <c r="C457" s="42"/>
      <c r="D457" s="6">
        <v>2</v>
      </c>
      <c r="E457" s="6" t="str">
        <f t="array" ref="E457">INDEX(D$7:D$450,MATCH(1,(COUNTIF(H$451:H456,D$7:D$450)=0)*(LARGE(SUMIF(D$7:D$450,D$7:D$450,H$7:H$450)*(MATCH(D$7:D$450,D$7:D$450,0)=ROW(D$7:D$450)-ROW(D$7)+1),D457)=SUMIF(D$7:D$450,D$7:D$450,H$7:H$450)),0))</f>
        <v>Customer #7</v>
      </c>
      <c r="F457" s="7">
        <f t="shared" ref="F457:F565" si="7">SUMIF($D$7:$D$450,E457,$H$7:$H$450)</f>
        <v>100101</v>
      </c>
    </row>
    <row r="458" spans="2:8" x14ac:dyDescent="0.3">
      <c r="C458" s="42"/>
      <c r="D458" s="6">
        <v>3</v>
      </c>
      <c r="E458" s="6" t="str">
        <f t="array" ref="E458">INDEX(D$7:D$450,MATCH(1,(COUNTIF(H$451:H457,D$7:D$450)=0)*(LARGE(SUMIF(D$7:D$450,D$7:D$450,H$7:H$450)*(MATCH(D$7:D$450,D$7:D$450,0)=ROW(D$7:D$450)-ROW(D$7)+1),D458)=SUMIF(D$7:D$450,D$7:D$450,H$7:H$450)),0))</f>
        <v>Customer #35</v>
      </c>
      <c r="F458" s="7">
        <f t="shared" si="7"/>
        <v>98230</v>
      </c>
    </row>
    <row r="459" spans="2:8" x14ac:dyDescent="0.3">
      <c r="C459" s="42"/>
      <c r="D459" s="6">
        <v>4</v>
      </c>
      <c r="E459" s="6" t="str">
        <f t="array" ref="E459">INDEX(D$7:D$450,MATCH(1,(COUNTIF(H$451:H458,D$7:D$450)=0)*(LARGE(SUMIF(D$7:D$450,D$7:D$450,H$7:H$450)*(MATCH(D$7:D$450,D$7:D$450,0)=ROW(D$7:D$450)-ROW(D$7)+1),D459)=SUMIF(D$7:D$450,D$7:D$450,H$7:H$450)),0))</f>
        <v>Customer #44</v>
      </c>
      <c r="F459" s="7">
        <f t="shared" si="7"/>
        <v>86723</v>
      </c>
    </row>
    <row r="460" spans="2:8" x14ac:dyDescent="0.3">
      <c r="D460" s="6">
        <v>5</v>
      </c>
      <c r="E460" s="6" t="str">
        <f t="array" ref="E460">INDEX(D$7:D$450,MATCH(1,(COUNTIF(H$451:H459,D$7:D$450)=0)*(LARGE(SUMIF(D$7:D$450,D$7:D$450,H$7:H$450)*(MATCH(D$7:D$450,D$7:D$450,0)=ROW(D$7:D$450)-ROW(D$7)+1),D460)=SUMIF(D$7:D$450,D$7:D$450,H$7:H$450)),0))</f>
        <v>Customer #97</v>
      </c>
      <c r="F460" s="7">
        <f t="shared" si="7"/>
        <v>84438</v>
      </c>
    </row>
    <row r="461" spans="2:8" x14ac:dyDescent="0.3">
      <c r="D461" s="6">
        <v>6</v>
      </c>
      <c r="E461" s="6" t="str">
        <f t="array" ref="E461">INDEX(D$7:D$450,MATCH(1,(COUNTIF(H$451:H460,D$7:D$450)=0)*(LARGE(SUMIF(D$7:D$450,D$7:D$450,H$7:H$450)*(MATCH(D$7:D$450,D$7:D$450,0)=ROW(D$7:D$450)-ROW(D$7)+1),D461)=SUMIF(D$7:D$450,D$7:D$450,H$7:H$450)),0))</f>
        <v>Customer #12</v>
      </c>
      <c r="F461" s="7">
        <f t="shared" si="7"/>
        <v>80729</v>
      </c>
    </row>
    <row r="462" spans="2:8" x14ac:dyDescent="0.3">
      <c r="D462" s="6">
        <v>7</v>
      </c>
      <c r="E462" s="6" t="str">
        <f t="array" ref="E462">INDEX(D$7:D$450,MATCH(1,(COUNTIF(H$451:H461,D$7:D$450)=0)*(LARGE(SUMIF(D$7:D$450,D$7:D$450,H$7:H$450)*(MATCH(D$7:D$450,D$7:D$450,0)=ROW(D$7:D$450)-ROW(D$7)+1),D462)=SUMIF(D$7:D$450,D$7:D$450,H$7:H$450)),0))</f>
        <v>Customer #48</v>
      </c>
      <c r="F462" s="7">
        <f t="shared" si="7"/>
        <v>79354</v>
      </c>
    </row>
    <row r="463" spans="2:8" x14ac:dyDescent="0.3">
      <c r="D463" s="6">
        <v>8</v>
      </c>
      <c r="E463" s="6" t="str">
        <f t="array" ref="E463">INDEX(D$7:D$450,MATCH(1,(COUNTIF(H$451:H462,D$7:D$450)=0)*(LARGE(SUMIF(D$7:D$450,D$7:D$450,H$7:H$450)*(MATCH(D$7:D$450,D$7:D$450,0)=ROW(D$7:D$450)-ROW(D$7)+1),D463)=SUMIF(D$7:D$450,D$7:D$450,H$7:H$450)),0))</f>
        <v>Customer #63</v>
      </c>
      <c r="F463" s="7">
        <f t="shared" si="7"/>
        <v>67003</v>
      </c>
    </row>
    <row r="464" spans="2:8" x14ac:dyDescent="0.3">
      <c r="D464" s="6">
        <v>9</v>
      </c>
      <c r="E464" s="6" t="str">
        <f t="array" ref="E464">INDEX(D$7:D$450,MATCH(1,(COUNTIF(H$451:H463,D$7:D$450)=0)*(LARGE(SUMIF(D$7:D$450,D$7:D$450,H$7:H$450)*(MATCH(D$7:D$450,D$7:D$450,0)=ROW(D$7:D$450)-ROW(D$7)+1),D464)=SUMIF(D$7:D$450,D$7:D$450,H$7:H$450)),0))</f>
        <v>Customer #74</v>
      </c>
      <c r="F464" s="7">
        <f t="shared" si="7"/>
        <v>66796</v>
      </c>
    </row>
    <row r="465" spans="4:6" x14ac:dyDescent="0.3">
      <c r="D465" s="6">
        <v>10</v>
      </c>
      <c r="E465" s="6" t="str">
        <f t="array" ref="E465">INDEX(D$7:D$450,MATCH(1,(COUNTIF(H$451:H464,D$7:D$450)=0)*(LARGE(SUMIF(D$7:D$450,D$7:D$450,H$7:H$450)*(MATCH(D$7:D$450,D$7:D$450,0)=ROW(D$7:D$450)-ROW(D$7)+1),D465)=SUMIF(D$7:D$450,D$7:D$450,H$7:H$450)),0))</f>
        <v>Customer #46</v>
      </c>
      <c r="F465" s="7">
        <f t="shared" si="7"/>
        <v>64842</v>
      </c>
    </row>
    <row r="466" spans="4:6" x14ac:dyDescent="0.3">
      <c r="D466" s="6">
        <v>11</v>
      </c>
      <c r="E466" s="6" t="str">
        <f t="array" ref="E466">INDEX(D$7:D$450,MATCH(1,(COUNTIF(H$451:H465,D$7:D$450)=0)*(LARGE(SUMIF(D$7:D$450,D$7:D$450,H$7:H$450)*(MATCH(D$7:D$450,D$7:D$450,0)=ROW(D$7:D$450)-ROW(D$7)+1),D466)=SUMIF(D$7:D$450,D$7:D$450,H$7:H$450)),0))</f>
        <v>Customer #27</v>
      </c>
      <c r="F466" s="7">
        <f t="shared" si="7"/>
        <v>64261</v>
      </c>
    </row>
    <row r="467" spans="4:6" x14ac:dyDescent="0.3">
      <c r="D467" s="6">
        <v>12</v>
      </c>
      <c r="E467" s="6" t="str">
        <f t="array" ref="E467">INDEX(D$7:D$450,MATCH(1,(COUNTIF(H$451:H466,D$7:D$450)=0)*(LARGE(SUMIF(D$7:D$450,D$7:D$450,H$7:H$450)*(MATCH(D$7:D$450,D$7:D$450,0)=ROW(D$7:D$450)-ROW(D$7)+1),D467)=SUMIF(D$7:D$450,D$7:D$450,H$7:H$450)),0))</f>
        <v>Customer #33</v>
      </c>
      <c r="F467" s="7">
        <f t="shared" si="7"/>
        <v>64043</v>
      </c>
    </row>
    <row r="468" spans="4:6" x14ac:dyDescent="0.3">
      <c r="D468" s="6">
        <v>13</v>
      </c>
      <c r="E468" s="6" t="str">
        <f t="array" ref="E468">INDEX(D$7:D$450,MATCH(1,(COUNTIF(H$451:H467,D$7:D$450)=0)*(LARGE(SUMIF(D$7:D$450,D$7:D$450,H$7:H$450)*(MATCH(D$7:D$450,D$7:D$450,0)=ROW(D$7:D$450)-ROW(D$7)+1),D468)=SUMIF(D$7:D$450,D$7:D$450,H$7:H$450)),0))</f>
        <v>Customer #17</v>
      </c>
      <c r="F468" s="7">
        <f t="shared" si="7"/>
        <v>62361</v>
      </c>
    </row>
    <row r="469" spans="4:6" x14ac:dyDescent="0.3">
      <c r="D469" s="6">
        <v>14</v>
      </c>
      <c r="E469" s="6" t="str">
        <f t="array" ref="E469">INDEX(D$7:D$450,MATCH(1,(COUNTIF(H$451:H468,D$7:D$450)=0)*(LARGE(SUMIF(D$7:D$450,D$7:D$450,H$7:H$450)*(MATCH(D$7:D$450,D$7:D$450,0)=ROW(D$7:D$450)-ROW(D$7)+1),D469)=SUMIF(D$7:D$450,D$7:D$450,H$7:H$450)),0))</f>
        <v>Customer #60</v>
      </c>
      <c r="F469" s="7">
        <f t="shared" si="7"/>
        <v>61468</v>
      </c>
    </row>
    <row r="470" spans="4:6" x14ac:dyDescent="0.3">
      <c r="D470" s="6">
        <v>15</v>
      </c>
      <c r="E470" s="6" t="str">
        <f t="array" ref="E470">INDEX(D$7:D$450,MATCH(1,(COUNTIF(H$451:H469,D$7:D$450)=0)*(LARGE(SUMIF(D$7:D$450,D$7:D$450,H$7:H$450)*(MATCH(D$7:D$450,D$7:D$450,0)=ROW(D$7:D$450)-ROW(D$7)+1),D470)=SUMIF(D$7:D$450,D$7:D$450,H$7:H$450)),0))</f>
        <v>Customer #76</v>
      </c>
      <c r="F470" s="7">
        <f t="shared" si="7"/>
        <v>61274</v>
      </c>
    </row>
    <row r="471" spans="4:6" x14ac:dyDescent="0.3">
      <c r="D471" s="6">
        <v>16</v>
      </c>
      <c r="E471" s="6" t="str">
        <f t="array" ref="E471">INDEX(D$7:D$450,MATCH(1,(COUNTIF(H$451:H470,D$7:D$450)=0)*(LARGE(SUMIF(D$7:D$450,D$7:D$450,H$7:H$450)*(MATCH(D$7:D$450,D$7:D$450,0)=ROW(D$7:D$450)-ROW(D$7)+1),D471)=SUMIF(D$7:D$450,D$7:D$450,H$7:H$450)),0))</f>
        <v>Customer #94</v>
      </c>
      <c r="F471" s="7">
        <f t="shared" si="7"/>
        <v>58824</v>
      </c>
    </row>
    <row r="472" spans="4:6" x14ac:dyDescent="0.3">
      <c r="D472" s="6">
        <v>17</v>
      </c>
      <c r="E472" s="6" t="str">
        <f t="array" ref="E472">INDEX(D$7:D$450,MATCH(1,(COUNTIF(H$451:H471,D$7:D$450)=0)*(LARGE(SUMIF(D$7:D$450,D$7:D$450,H$7:H$450)*(MATCH(D$7:D$450,D$7:D$450,0)=ROW(D$7:D$450)-ROW(D$7)+1),D472)=SUMIF(D$7:D$450,D$7:D$450,H$7:H$450)),0))</f>
        <v>Customer #88</v>
      </c>
      <c r="F472" s="7">
        <f t="shared" si="7"/>
        <v>56847</v>
      </c>
    </row>
    <row r="473" spans="4:6" x14ac:dyDescent="0.3">
      <c r="D473" s="6">
        <v>18</v>
      </c>
      <c r="E473" s="6" t="str">
        <f t="array" ref="E473">INDEX(D$7:D$450,MATCH(1,(COUNTIF(H$451:H472,D$7:D$450)=0)*(LARGE(SUMIF(D$7:D$450,D$7:D$450,H$7:H$450)*(MATCH(D$7:D$450,D$7:D$450,0)=ROW(D$7:D$450)-ROW(D$7)+1),D473)=SUMIF(D$7:D$450,D$7:D$450,H$7:H$450)),0))</f>
        <v>Customer #53</v>
      </c>
      <c r="F473" s="7">
        <f t="shared" si="7"/>
        <v>56585</v>
      </c>
    </row>
    <row r="474" spans="4:6" x14ac:dyDescent="0.3">
      <c r="D474" s="6">
        <v>19</v>
      </c>
      <c r="E474" s="6" t="str">
        <f t="array" ref="E474">INDEX(D$7:D$450,MATCH(1,(COUNTIF(H$451:H473,D$7:D$450)=0)*(LARGE(SUMIF(D$7:D$450,D$7:D$450,H$7:H$450)*(MATCH(D$7:D$450,D$7:D$450,0)=ROW(D$7:D$450)-ROW(D$7)+1),D474)=SUMIF(D$7:D$450,D$7:D$450,H$7:H$450)),0))</f>
        <v>Customer #87</v>
      </c>
      <c r="F474" s="7">
        <f t="shared" si="7"/>
        <v>55407</v>
      </c>
    </row>
    <row r="475" spans="4:6" x14ac:dyDescent="0.3">
      <c r="D475" s="6">
        <v>20</v>
      </c>
      <c r="E475" s="6" t="str">
        <f t="array" ref="E475">INDEX(D$7:D$450,MATCH(1,(COUNTIF(H$451:H474,D$7:D$450)=0)*(LARGE(SUMIF(D$7:D$450,D$7:D$450,H$7:H$450)*(MATCH(D$7:D$450,D$7:D$450,0)=ROW(D$7:D$450)-ROW(D$7)+1),D475)=SUMIF(D$7:D$450,D$7:D$450,H$7:H$450)),0))</f>
        <v>Customer #6</v>
      </c>
      <c r="F475" s="7">
        <f t="shared" si="7"/>
        <v>53411</v>
      </c>
    </row>
    <row r="476" spans="4:6" x14ac:dyDescent="0.3">
      <c r="D476" s="6">
        <v>21</v>
      </c>
      <c r="E476" s="6" t="str">
        <f t="array" ref="E476">INDEX(D$7:D$450,MATCH(1,(COUNTIF(H$451:H475,D$7:D$450)=0)*(LARGE(SUMIF(D$7:D$450,D$7:D$450,H$7:H$450)*(MATCH(D$7:D$450,D$7:D$450,0)=ROW(D$7:D$450)-ROW(D$7)+1),D476)=SUMIF(D$7:D$450,D$7:D$450,H$7:H$450)),0))</f>
        <v>Customer #5</v>
      </c>
      <c r="F476" s="7">
        <f t="shared" si="7"/>
        <v>52226</v>
      </c>
    </row>
    <row r="477" spans="4:6" x14ac:dyDescent="0.3">
      <c r="D477" s="6">
        <v>22</v>
      </c>
      <c r="E477" s="6" t="str">
        <f t="array" ref="E477">INDEX(D$7:D$450,MATCH(1,(COUNTIF(H$451:H476,D$7:D$450)=0)*(LARGE(SUMIF(D$7:D$450,D$7:D$450,H$7:H$450)*(MATCH(D$7:D$450,D$7:D$450,0)=ROW(D$7:D$450)-ROW(D$7)+1),D477)=SUMIF(D$7:D$450,D$7:D$450,H$7:H$450)),0))</f>
        <v>Customer #3</v>
      </c>
      <c r="F477" s="7">
        <f t="shared" si="7"/>
        <v>50450</v>
      </c>
    </row>
    <row r="478" spans="4:6" x14ac:dyDescent="0.3">
      <c r="D478" s="6">
        <v>23</v>
      </c>
      <c r="E478" s="6" t="str">
        <f t="array" ref="E478">INDEX(D$7:D$450,MATCH(1,(COUNTIF(H$451:H477,D$7:D$450)=0)*(LARGE(SUMIF(D$7:D$450,D$7:D$450,H$7:H$450)*(MATCH(D$7:D$450,D$7:D$450,0)=ROW(D$7:D$450)-ROW(D$7)+1),D478)=SUMIF(D$7:D$450,D$7:D$450,H$7:H$450)),0))</f>
        <v>Customer #69</v>
      </c>
      <c r="F478" s="7">
        <f t="shared" si="7"/>
        <v>49982</v>
      </c>
    </row>
    <row r="479" spans="4:6" x14ac:dyDescent="0.3">
      <c r="D479" s="6">
        <v>24</v>
      </c>
      <c r="E479" s="6" t="str">
        <f t="array" ref="E479">INDEX(D$7:D$450,MATCH(1,(COUNTIF(H$451:H478,D$7:D$450)=0)*(LARGE(SUMIF(D$7:D$450,D$7:D$450,H$7:H$450)*(MATCH(D$7:D$450,D$7:D$450,0)=ROW(D$7:D$450)-ROW(D$7)+1),D479)=SUMIF(D$7:D$450,D$7:D$450,H$7:H$450)),0))</f>
        <v>Customer #18</v>
      </c>
      <c r="F479" s="7">
        <f t="shared" si="7"/>
        <v>49819</v>
      </c>
    </row>
    <row r="480" spans="4:6" x14ac:dyDescent="0.3">
      <c r="D480" s="6">
        <v>25</v>
      </c>
      <c r="E480" s="6" t="str">
        <f t="array" ref="E480">INDEX(D$7:D$450,MATCH(1,(COUNTIF(H$451:H479,D$7:D$450)=0)*(LARGE(SUMIF(D$7:D$450,D$7:D$450,H$7:H$450)*(MATCH(D$7:D$450,D$7:D$450,0)=ROW(D$7:D$450)-ROW(D$7)+1),D480)=SUMIF(D$7:D$450,D$7:D$450,H$7:H$450)),0))</f>
        <v>Customer #84</v>
      </c>
      <c r="F480" s="7">
        <f t="shared" si="7"/>
        <v>49534</v>
      </c>
    </row>
    <row r="481" spans="4:6" x14ac:dyDescent="0.3">
      <c r="D481" s="6">
        <v>26</v>
      </c>
      <c r="E481" s="6" t="str">
        <f t="array" ref="E481">INDEX(D$7:D$450,MATCH(1,(COUNTIF(H$451:H480,D$7:D$450)=0)*(LARGE(SUMIF(D$7:D$450,D$7:D$450,H$7:H$450)*(MATCH(D$7:D$450,D$7:D$450,0)=ROW(D$7:D$450)-ROW(D$7)+1),D481)=SUMIF(D$7:D$450,D$7:D$450,H$7:H$450)),0))</f>
        <v>Customer #42</v>
      </c>
      <c r="F481" s="7">
        <f t="shared" si="7"/>
        <v>49448</v>
      </c>
    </row>
    <row r="482" spans="4:6" x14ac:dyDescent="0.3">
      <c r="D482" s="6">
        <v>27</v>
      </c>
      <c r="E482" s="6" t="str">
        <f t="array" ref="E482">INDEX(D$7:D$450,MATCH(1,(COUNTIF(H$451:H481,D$7:D$450)=0)*(LARGE(SUMIF(D$7:D$450,D$7:D$450,H$7:H$450)*(MATCH(D$7:D$450,D$7:D$450,0)=ROW(D$7:D$450)-ROW(D$7)+1),D482)=SUMIF(D$7:D$450,D$7:D$450,H$7:H$450)),0))</f>
        <v>Customer #49</v>
      </c>
      <c r="F482" s="7">
        <f t="shared" si="7"/>
        <v>49346</v>
      </c>
    </row>
    <row r="483" spans="4:6" x14ac:dyDescent="0.3">
      <c r="D483" s="6">
        <v>28</v>
      </c>
      <c r="E483" s="6" t="str">
        <f t="array" ref="E483">INDEX(D$7:D$450,MATCH(1,(COUNTIF(H$451:H482,D$7:D$450)=0)*(LARGE(SUMIF(D$7:D$450,D$7:D$450,H$7:H$450)*(MATCH(D$7:D$450,D$7:D$450,0)=ROW(D$7:D$450)-ROW(D$7)+1),D483)=SUMIF(D$7:D$450,D$7:D$450,H$7:H$450)),0))</f>
        <v>Customer #105</v>
      </c>
      <c r="F483" s="7">
        <f t="shared" si="7"/>
        <v>48610</v>
      </c>
    </row>
    <row r="484" spans="4:6" x14ac:dyDescent="0.3">
      <c r="D484" s="6">
        <v>29</v>
      </c>
      <c r="E484" s="6" t="str">
        <f t="array" ref="E484">INDEX(D$7:D$450,MATCH(1,(COUNTIF(H$451:H483,D$7:D$450)=0)*(LARGE(SUMIF(D$7:D$450,D$7:D$450,H$7:H$450)*(MATCH(D$7:D$450,D$7:D$450,0)=ROW(D$7:D$450)-ROW(D$7)+1),D484)=SUMIF(D$7:D$450,D$7:D$450,H$7:H$450)),0))</f>
        <v>Customer #103</v>
      </c>
      <c r="F484" s="7">
        <f t="shared" si="7"/>
        <v>48173</v>
      </c>
    </row>
    <row r="485" spans="4:6" x14ac:dyDescent="0.3">
      <c r="D485" s="6">
        <v>30</v>
      </c>
      <c r="E485" s="6" t="str">
        <f t="array" ref="E485">INDEX(D$7:D$450,MATCH(1,(COUNTIF(H$451:H484,D$7:D$450)=0)*(LARGE(SUMIF(D$7:D$450,D$7:D$450,H$7:H$450)*(MATCH(D$7:D$450,D$7:D$450,0)=ROW(D$7:D$450)-ROW(D$7)+1),D485)=SUMIF(D$7:D$450,D$7:D$450,H$7:H$450)),0))</f>
        <v>Customer #80</v>
      </c>
      <c r="F485" s="7">
        <f t="shared" si="7"/>
        <v>47630</v>
      </c>
    </row>
    <row r="486" spans="4:6" x14ac:dyDescent="0.3">
      <c r="D486" s="6">
        <v>31</v>
      </c>
      <c r="E486" s="6" t="str">
        <f t="array" ref="E486">INDEX(D$7:D$450,MATCH(1,(COUNTIF(H$451:H485,D$7:D$450)=0)*(LARGE(SUMIF(D$7:D$450,D$7:D$450,H$7:H$450)*(MATCH(D$7:D$450,D$7:D$450,0)=ROW(D$7:D$450)-ROW(D$7)+1),D486)=SUMIF(D$7:D$450,D$7:D$450,H$7:H$450)),0))</f>
        <v>Customer #104</v>
      </c>
      <c r="F486" s="7">
        <f t="shared" si="7"/>
        <v>47385</v>
      </c>
    </row>
    <row r="487" spans="4:6" x14ac:dyDescent="0.3">
      <c r="D487" s="6">
        <v>32</v>
      </c>
      <c r="E487" s="6" t="str">
        <f t="array" ref="E487">INDEX(D$7:D$450,MATCH(1,(COUNTIF(H$451:H486,D$7:D$450)=0)*(LARGE(SUMIF(D$7:D$450,D$7:D$450,H$7:H$450)*(MATCH(D$7:D$450,D$7:D$450,0)=ROW(D$7:D$450)-ROW(D$7)+1),D487)=SUMIF(D$7:D$450,D$7:D$450,H$7:H$450)),0))</f>
        <v>Customer #24</v>
      </c>
      <c r="F487" s="7">
        <f t="shared" si="7"/>
        <v>46542</v>
      </c>
    </row>
    <row r="488" spans="4:6" x14ac:dyDescent="0.3">
      <c r="D488" s="6">
        <v>33</v>
      </c>
      <c r="E488" s="6" t="str">
        <f t="array" ref="E488">INDEX(D$7:D$450,MATCH(1,(COUNTIF(H$451:H487,D$7:D$450)=0)*(LARGE(SUMIF(D$7:D$450,D$7:D$450,H$7:H$450)*(MATCH(D$7:D$450,D$7:D$450,0)=ROW(D$7:D$450)-ROW(D$7)+1),D488)=SUMIF(D$7:D$450,D$7:D$450,H$7:H$450)),0))</f>
        <v>Customer #51</v>
      </c>
      <c r="F488" s="7">
        <f t="shared" si="7"/>
        <v>46471</v>
      </c>
    </row>
    <row r="489" spans="4:6" x14ac:dyDescent="0.3">
      <c r="D489" s="6">
        <v>34</v>
      </c>
      <c r="E489" s="6" t="str">
        <f t="array" ref="E489">INDEX(D$7:D$450,MATCH(1,(COUNTIF(H$451:H488,D$7:D$450)=0)*(LARGE(SUMIF(D$7:D$450,D$7:D$450,H$7:H$450)*(MATCH(D$7:D$450,D$7:D$450,0)=ROW(D$7:D$450)-ROW(D$7)+1),D489)=SUMIF(D$7:D$450,D$7:D$450,H$7:H$450)),0))</f>
        <v>Customer #90</v>
      </c>
      <c r="F489" s="7">
        <f t="shared" si="7"/>
        <v>45980</v>
      </c>
    </row>
    <row r="490" spans="4:6" x14ac:dyDescent="0.3">
      <c r="D490" s="6">
        <v>35</v>
      </c>
      <c r="E490" s="6" t="str">
        <f t="array" ref="E490">INDEX(D$7:D$450,MATCH(1,(COUNTIF(H$451:H489,D$7:D$450)=0)*(LARGE(SUMIF(D$7:D$450,D$7:D$450,H$7:H$450)*(MATCH(D$7:D$450,D$7:D$450,0)=ROW(D$7:D$450)-ROW(D$7)+1),D490)=SUMIF(D$7:D$450,D$7:D$450,H$7:H$450)),0))</f>
        <v>Customer #72</v>
      </c>
      <c r="F490" s="7">
        <f t="shared" si="7"/>
        <v>45521</v>
      </c>
    </row>
    <row r="491" spans="4:6" x14ac:dyDescent="0.3">
      <c r="D491" s="6">
        <v>36</v>
      </c>
      <c r="E491" s="6" t="str">
        <f t="array" ref="E491">INDEX(D$7:D$450,MATCH(1,(COUNTIF(H$451:H490,D$7:D$450)=0)*(LARGE(SUMIF(D$7:D$450,D$7:D$450,H$7:H$450)*(MATCH(D$7:D$450,D$7:D$450,0)=ROW(D$7:D$450)-ROW(D$7)+1),D491)=SUMIF(D$7:D$450,D$7:D$450,H$7:H$450)),0))</f>
        <v>Customer #23</v>
      </c>
      <c r="F491" s="7">
        <f t="shared" si="7"/>
        <v>43344</v>
      </c>
    </row>
    <row r="492" spans="4:6" x14ac:dyDescent="0.3">
      <c r="D492" s="6">
        <v>37</v>
      </c>
      <c r="E492" s="6" t="str">
        <f t="array" ref="E492">INDEX(D$7:D$450,MATCH(1,(COUNTIF(H$451:H491,D$7:D$450)=0)*(LARGE(SUMIF(D$7:D$450,D$7:D$450,H$7:H$450)*(MATCH(D$7:D$450,D$7:D$450,0)=ROW(D$7:D$450)-ROW(D$7)+1),D492)=SUMIF(D$7:D$450,D$7:D$450,H$7:H$450)),0))</f>
        <v>Customer #106</v>
      </c>
      <c r="F492" s="7">
        <f t="shared" si="7"/>
        <v>43050</v>
      </c>
    </row>
    <row r="493" spans="4:6" x14ac:dyDescent="0.3">
      <c r="D493" s="6">
        <v>38</v>
      </c>
      <c r="E493" s="6" t="str">
        <f t="array" ref="E493">INDEX(D$7:D$450,MATCH(1,(COUNTIF(H$451:H492,D$7:D$450)=0)*(LARGE(SUMIF(D$7:D$450,D$7:D$450,H$7:H$450)*(MATCH(D$7:D$450,D$7:D$450,0)=ROW(D$7:D$450)-ROW(D$7)+1),D493)=SUMIF(D$7:D$450,D$7:D$450,H$7:H$450)),0))</f>
        <v>Customer #101</v>
      </c>
      <c r="F493" s="7">
        <f t="shared" si="7"/>
        <v>43032</v>
      </c>
    </row>
    <row r="494" spans="4:6" x14ac:dyDescent="0.3">
      <c r="D494" s="6">
        <v>39</v>
      </c>
      <c r="E494" s="6" t="str">
        <f t="array" ref="E494">INDEX(D$7:D$450,MATCH(1,(COUNTIF(H$451:H493,D$7:D$450)=0)*(LARGE(SUMIF(D$7:D$450,D$7:D$450,H$7:H$450)*(MATCH(D$7:D$450,D$7:D$450,0)=ROW(D$7:D$450)-ROW(D$7)+1),D494)=SUMIF(D$7:D$450,D$7:D$450,H$7:H$450)),0))</f>
        <v>Customer #47</v>
      </c>
      <c r="F494" s="7">
        <f t="shared" si="7"/>
        <v>42839</v>
      </c>
    </row>
    <row r="495" spans="4:6" x14ac:dyDescent="0.3">
      <c r="D495" s="6">
        <v>40</v>
      </c>
      <c r="E495" s="6" t="str">
        <f t="array" ref="E495">INDEX(D$7:D$450,MATCH(1,(COUNTIF(H$451:H494,D$7:D$450)=0)*(LARGE(SUMIF(D$7:D$450,D$7:D$450,H$7:H$450)*(MATCH(D$7:D$450,D$7:D$450,0)=ROW(D$7:D$450)-ROW(D$7)+1),D495)=SUMIF(D$7:D$450,D$7:D$450,H$7:H$450)),0))</f>
        <v>Customer #56</v>
      </c>
      <c r="F495" s="7">
        <f t="shared" si="7"/>
        <v>41698</v>
      </c>
    </row>
    <row r="496" spans="4:6" x14ac:dyDescent="0.3">
      <c r="D496" s="6">
        <v>41</v>
      </c>
      <c r="E496" s="6" t="str">
        <f t="array" ref="E496">INDEX(D$7:D$450,MATCH(1,(COUNTIF(H$451:H495,D$7:D$450)=0)*(LARGE(SUMIF(D$7:D$450,D$7:D$450,H$7:H$450)*(MATCH(D$7:D$450,D$7:D$450,0)=ROW(D$7:D$450)-ROW(D$7)+1),D496)=SUMIF(D$7:D$450,D$7:D$450,H$7:H$450)),0))</f>
        <v>Customer #61</v>
      </c>
      <c r="F496" s="7">
        <f t="shared" si="7"/>
        <v>41489</v>
      </c>
    </row>
    <row r="497" spans="4:6" x14ac:dyDescent="0.3">
      <c r="D497" s="6">
        <v>42</v>
      </c>
      <c r="E497" s="6" t="str">
        <f t="array" ref="E497">INDEX(D$7:D$450,MATCH(1,(COUNTIF(H$451:H496,D$7:D$450)=0)*(LARGE(SUMIF(D$7:D$450,D$7:D$450,H$7:H$450)*(MATCH(D$7:D$450,D$7:D$450,0)=ROW(D$7:D$450)-ROW(D$7)+1),D497)=SUMIF(D$7:D$450,D$7:D$450,H$7:H$450)),0))</f>
        <v>Customer #28</v>
      </c>
      <c r="F497" s="7">
        <f t="shared" si="7"/>
        <v>40315</v>
      </c>
    </row>
    <row r="498" spans="4:6" x14ac:dyDescent="0.3">
      <c r="D498" s="6">
        <v>43</v>
      </c>
      <c r="E498" s="6" t="str">
        <f t="array" ref="E498">INDEX(D$7:D$450,MATCH(1,(COUNTIF(H$451:H497,D$7:D$450)=0)*(LARGE(SUMIF(D$7:D$450,D$7:D$450,H$7:H$450)*(MATCH(D$7:D$450,D$7:D$450,0)=ROW(D$7:D$450)-ROW(D$7)+1),D498)=SUMIF(D$7:D$450,D$7:D$450,H$7:H$450)),0))</f>
        <v>Customer #92</v>
      </c>
      <c r="F498" s="7">
        <f t="shared" si="7"/>
        <v>39849</v>
      </c>
    </row>
    <row r="499" spans="4:6" x14ac:dyDescent="0.3">
      <c r="D499" s="6">
        <v>44</v>
      </c>
      <c r="E499" s="6" t="str">
        <f t="array" ref="E499">INDEX(D$7:D$450,MATCH(1,(COUNTIF(H$451:H498,D$7:D$450)=0)*(LARGE(SUMIF(D$7:D$450,D$7:D$450,H$7:H$450)*(MATCH(D$7:D$450,D$7:D$450,0)=ROW(D$7:D$450)-ROW(D$7)+1),D499)=SUMIF(D$7:D$450,D$7:D$450,H$7:H$450)),0))</f>
        <v>Customer #26</v>
      </c>
      <c r="F499" s="7">
        <f t="shared" si="7"/>
        <v>39798</v>
      </c>
    </row>
    <row r="500" spans="4:6" x14ac:dyDescent="0.3">
      <c r="D500" s="6">
        <v>45</v>
      </c>
      <c r="E500" s="6" t="str">
        <f t="array" ref="E500">INDEX(D$7:D$450,MATCH(1,(COUNTIF(H$451:H499,D$7:D$450)=0)*(LARGE(SUMIF(D$7:D$450,D$7:D$450,H$7:H$450)*(MATCH(D$7:D$450,D$7:D$450,0)=ROW(D$7:D$450)-ROW(D$7)+1),D500)=SUMIF(D$7:D$450,D$7:D$450,H$7:H$450)),0))</f>
        <v>Customer #14</v>
      </c>
      <c r="F500" s="7">
        <f t="shared" si="7"/>
        <v>38502</v>
      </c>
    </row>
    <row r="501" spans="4:6" x14ac:dyDescent="0.3">
      <c r="D501" s="6">
        <v>46</v>
      </c>
      <c r="E501" s="6" t="str">
        <f t="array" ref="E501">INDEX(D$7:D$450,MATCH(1,(COUNTIF(H$451:H500,D$7:D$450)=0)*(LARGE(SUMIF(D$7:D$450,D$7:D$450,H$7:H$450)*(MATCH(D$7:D$450,D$7:D$450,0)=ROW(D$7:D$450)-ROW(D$7)+1),D501)=SUMIF(D$7:D$450,D$7:D$450,H$7:H$450)),0))</f>
        <v>Customer #43</v>
      </c>
      <c r="F501" s="7">
        <f t="shared" si="7"/>
        <v>38206</v>
      </c>
    </row>
    <row r="502" spans="4:6" x14ac:dyDescent="0.3">
      <c r="D502" s="6">
        <v>47</v>
      </c>
      <c r="E502" s="6" t="str">
        <f t="array" ref="E502">INDEX(D$7:D$450,MATCH(1,(COUNTIF(H$451:H501,D$7:D$450)=0)*(LARGE(SUMIF(D$7:D$450,D$7:D$450,H$7:H$450)*(MATCH(D$7:D$450,D$7:D$450,0)=ROW(D$7:D$450)-ROW(D$7)+1),D502)=SUMIF(D$7:D$450,D$7:D$450,H$7:H$450)),0))</f>
        <v>Customer #86</v>
      </c>
      <c r="F502" s="7">
        <f t="shared" si="7"/>
        <v>37792</v>
      </c>
    </row>
    <row r="503" spans="4:6" x14ac:dyDescent="0.3">
      <c r="D503" s="6">
        <v>48</v>
      </c>
      <c r="E503" s="6" t="str">
        <f t="array" ref="E503">INDEX(D$7:D$450,MATCH(1,(COUNTIF(H$451:H502,D$7:D$450)=0)*(LARGE(SUMIF(D$7:D$450,D$7:D$450,H$7:H$450)*(MATCH(D$7:D$450,D$7:D$450,0)=ROW(D$7:D$450)-ROW(D$7)+1),D503)=SUMIF(D$7:D$450,D$7:D$450,H$7:H$450)),0))</f>
        <v>Customer #82</v>
      </c>
      <c r="F503" s="7">
        <f t="shared" si="7"/>
        <v>37718</v>
      </c>
    </row>
    <row r="504" spans="4:6" x14ac:dyDescent="0.3">
      <c r="D504" s="6">
        <v>49</v>
      </c>
      <c r="E504" s="6" t="str">
        <f t="array" ref="E504">INDEX(D$7:D$450,MATCH(1,(COUNTIF(H$451:H503,D$7:D$450)=0)*(LARGE(SUMIF(D$7:D$450,D$7:D$450,H$7:H$450)*(MATCH(D$7:D$450,D$7:D$450,0)=ROW(D$7:D$450)-ROW(D$7)+1),D504)=SUMIF(D$7:D$450,D$7:D$450,H$7:H$450)),0))</f>
        <v>Customer #31</v>
      </c>
      <c r="F504" s="7">
        <f t="shared" si="7"/>
        <v>37686</v>
      </c>
    </row>
    <row r="505" spans="4:6" x14ac:dyDescent="0.3">
      <c r="D505" s="6">
        <v>50</v>
      </c>
      <c r="E505" s="6" t="str">
        <f t="array" ref="E505">INDEX(D$7:D$450,MATCH(1,(COUNTIF(H$451:H504,D$7:D$450)=0)*(LARGE(SUMIF(D$7:D$450,D$7:D$450,H$7:H$450)*(MATCH(D$7:D$450,D$7:D$450,0)=ROW(D$7:D$450)-ROW(D$7)+1),D505)=SUMIF(D$7:D$450,D$7:D$450,H$7:H$450)),0))</f>
        <v>Customer #75</v>
      </c>
      <c r="F505" s="7">
        <f t="shared" si="7"/>
        <v>37483</v>
      </c>
    </row>
    <row r="506" spans="4:6" x14ac:dyDescent="0.3">
      <c r="D506" s="6">
        <v>51</v>
      </c>
      <c r="E506" s="6" t="str">
        <f t="array" ref="E506">INDEX(D$7:D$450,MATCH(1,(COUNTIF(H$451:H505,D$7:D$450)=0)*(LARGE(SUMIF(D$7:D$450,D$7:D$450,H$7:H$450)*(MATCH(D$7:D$450,D$7:D$450,0)=ROW(D$7:D$450)-ROW(D$7)+1),D506)=SUMIF(D$7:D$450,D$7:D$450,H$7:H$450)),0))</f>
        <v>Customer #36</v>
      </c>
      <c r="F506" s="7">
        <f t="shared" si="7"/>
        <v>37089</v>
      </c>
    </row>
    <row r="507" spans="4:6" x14ac:dyDescent="0.3">
      <c r="D507" s="6">
        <v>52</v>
      </c>
      <c r="E507" s="6" t="str">
        <f t="array" ref="E507">INDEX(D$7:D$450,MATCH(1,(COUNTIF(H$451:H506,D$7:D$450)=0)*(LARGE(SUMIF(D$7:D$450,D$7:D$450,H$7:H$450)*(MATCH(D$7:D$450,D$7:D$450,0)=ROW(D$7:D$450)-ROW(D$7)+1),D507)=SUMIF(D$7:D$450,D$7:D$450,H$7:H$450)),0))</f>
        <v>Customer #20</v>
      </c>
      <c r="F507" s="7">
        <f t="shared" si="7"/>
        <v>36787</v>
      </c>
    </row>
    <row r="508" spans="4:6" x14ac:dyDescent="0.3">
      <c r="D508" s="6">
        <v>53</v>
      </c>
      <c r="E508" s="6" t="str">
        <f t="array" ref="E508">INDEX(D$7:D$450,MATCH(1,(COUNTIF(H$451:H507,D$7:D$450)=0)*(LARGE(SUMIF(D$7:D$450,D$7:D$450,H$7:H$450)*(MATCH(D$7:D$450,D$7:D$450,0)=ROW(D$7:D$450)-ROW(D$7)+1),D508)=SUMIF(D$7:D$450,D$7:D$450,H$7:H$450)),0))</f>
        <v>Customer #96</v>
      </c>
      <c r="F508" s="7">
        <f t="shared" si="7"/>
        <v>36050</v>
      </c>
    </row>
    <row r="509" spans="4:6" x14ac:dyDescent="0.3">
      <c r="D509" s="6">
        <v>54</v>
      </c>
      <c r="E509" s="6" t="str">
        <f t="array" ref="E509">INDEX(D$7:D$450,MATCH(1,(COUNTIF(H$451:H508,D$7:D$450)=0)*(LARGE(SUMIF(D$7:D$450,D$7:D$450,H$7:H$450)*(MATCH(D$7:D$450,D$7:D$450,0)=ROW(D$7:D$450)-ROW(D$7)+1),D509)=SUMIF(D$7:D$450,D$7:D$450,H$7:H$450)),0))</f>
        <v>Customer #50</v>
      </c>
      <c r="F509" s="7">
        <f t="shared" si="7"/>
        <v>35858</v>
      </c>
    </row>
    <row r="510" spans="4:6" x14ac:dyDescent="0.3">
      <c r="D510" s="6">
        <v>55</v>
      </c>
      <c r="E510" s="6" t="str">
        <f t="array" ref="E510">INDEX(D$7:D$450,MATCH(1,(COUNTIF(H$451:H509,D$7:D$450)=0)*(LARGE(SUMIF(D$7:D$450,D$7:D$450,H$7:H$450)*(MATCH(D$7:D$450,D$7:D$450,0)=ROW(D$7:D$450)-ROW(D$7)+1),D510)=SUMIF(D$7:D$450,D$7:D$450,H$7:H$450)),0))</f>
        <v>Customer #34</v>
      </c>
      <c r="F510" s="7">
        <f t="shared" si="7"/>
        <v>35653</v>
      </c>
    </row>
    <row r="511" spans="4:6" x14ac:dyDescent="0.3">
      <c r="D511" s="6">
        <v>56</v>
      </c>
      <c r="E511" s="6" t="str">
        <f t="array" ref="E511">INDEX(D$7:D$450,MATCH(1,(COUNTIF(H$451:H510,D$7:D$450)=0)*(LARGE(SUMIF(D$7:D$450,D$7:D$450,H$7:H$450)*(MATCH(D$7:D$450,D$7:D$450,0)=ROW(D$7:D$450)-ROW(D$7)+1),D511)=SUMIF(D$7:D$450,D$7:D$450,H$7:H$450)),0))</f>
        <v>Customer #58</v>
      </c>
      <c r="F511" s="7">
        <f t="shared" si="7"/>
        <v>35425</v>
      </c>
    </row>
    <row r="512" spans="4:6" x14ac:dyDescent="0.3">
      <c r="D512" s="6">
        <v>57</v>
      </c>
      <c r="E512" s="6" t="str">
        <f t="array" ref="E512">INDEX(D$7:D$450,MATCH(1,(COUNTIF(H$451:H511,D$7:D$450)=0)*(LARGE(SUMIF(D$7:D$450,D$7:D$450,H$7:H$450)*(MATCH(D$7:D$450,D$7:D$450,0)=ROW(D$7:D$450)-ROW(D$7)+1),D512)=SUMIF(D$7:D$450,D$7:D$450,H$7:H$450)),0))</f>
        <v>Customer #59</v>
      </c>
      <c r="F512" s="7">
        <f t="shared" si="7"/>
        <v>34357</v>
      </c>
    </row>
    <row r="513" spans="4:6" x14ac:dyDescent="0.3">
      <c r="D513" s="6">
        <v>58</v>
      </c>
      <c r="E513" s="6" t="str">
        <f t="array" ref="E513">INDEX(D$7:D$450,MATCH(1,(COUNTIF(H$451:H512,D$7:D$450)=0)*(LARGE(SUMIF(D$7:D$450,D$7:D$450,H$7:H$450)*(MATCH(D$7:D$450,D$7:D$450,0)=ROW(D$7:D$450)-ROW(D$7)+1),D513)=SUMIF(D$7:D$450,D$7:D$450,H$7:H$450)),0))</f>
        <v>Customer #22</v>
      </c>
      <c r="F513" s="7">
        <f t="shared" si="7"/>
        <v>34333</v>
      </c>
    </row>
    <row r="514" spans="4:6" x14ac:dyDescent="0.3">
      <c r="D514" s="6">
        <v>59</v>
      </c>
      <c r="E514" s="6" t="str">
        <f t="array" ref="E514">INDEX(D$7:D$450,MATCH(1,(COUNTIF(H$451:H513,D$7:D$450)=0)*(LARGE(SUMIF(D$7:D$450,D$7:D$450,H$7:H$450)*(MATCH(D$7:D$450,D$7:D$450,0)=ROW(D$7:D$450)-ROW(D$7)+1),D514)=SUMIF(D$7:D$450,D$7:D$450,H$7:H$450)),0))</f>
        <v>Customer #73</v>
      </c>
      <c r="F514" s="7">
        <f t="shared" si="7"/>
        <v>34185</v>
      </c>
    </row>
    <row r="515" spans="4:6" x14ac:dyDescent="0.3">
      <c r="D515" s="6">
        <v>60</v>
      </c>
      <c r="E515" s="6" t="str">
        <f t="array" ref="E515">INDEX(D$7:D$450,MATCH(1,(COUNTIF(H$451:H514,D$7:D$450)=0)*(LARGE(SUMIF(D$7:D$450,D$7:D$450,H$7:H$450)*(MATCH(D$7:D$450,D$7:D$450,0)=ROW(D$7:D$450)-ROW(D$7)+1),D515)=SUMIF(D$7:D$450,D$7:D$450,H$7:H$450)),0))</f>
        <v>Customer #40</v>
      </c>
      <c r="F515" s="7">
        <f t="shared" si="7"/>
        <v>33799</v>
      </c>
    </row>
    <row r="516" spans="4:6" x14ac:dyDescent="0.3">
      <c r="D516" s="6">
        <v>61</v>
      </c>
      <c r="E516" s="6" t="str">
        <f t="array" ref="E516">INDEX(D$7:D$450,MATCH(1,(COUNTIF(H$451:H515,D$7:D$450)=0)*(LARGE(SUMIF(D$7:D$450,D$7:D$450,H$7:H$450)*(MATCH(D$7:D$450,D$7:D$450,0)=ROW(D$7:D$450)-ROW(D$7)+1),D516)=SUMIF(D$7:D$450,D$7:D$450,H$7:H$450)),0))</f>
        <v>Customer #107</v>
      </c>
      <c r="F516" s="7">
        <f t="shared" si="7"/>
        <v>33558</v>
      </c>
    </row>
    <row r="517" spans="4:6" x14ac:dyDescent="0.3">
      <c r="D517" s="6">
        <v>62</v>
      </c>
      <c r="E517" s="6" t="str">
        <f t="array" ref="E517">INDEX(D$7:D$450,MATCH(1,(COUNTIF(H$451:H516,D$7:D$450)=0)*(LARGE(SUMIF(D$7:D$450,D$7:D$450,H$7:H$450)*(MATCH(D$7:D$450,D$7:D$450,0)=ROW(D$7:D$450)-ROW(D$7)+1),D517)=SUMIF(D$7:D$450,D$7:D$450,H$7:H$450)),0))</f>
        <v>Customer #1</v>
      </c>
      <c r="F517" s="7">
        <f t="shared" si="7"/>
        <v>32539</v>
      </c>
    </row>
    <row r="518" spans="4:6" x14ac:dyDescent="0.3">
      <c r="D518" s="6">
        <v>63</v>
      </c>
      <c r="E518" s="6" t="str">
        <f t="array" ref="E518">INDEX(D$7:D$450,MATCH(1,(COUNTIF(H$451:H517,D$7:D$450)=0)*(LARGE(SUMIF(D$7:D$450,D$7:D$450,H$7:H$450)*(MATCH(D$7:D$450,D$7:D$450,0)=ROW(D$7:D$450)-ROW(D$7)+1),D518)=SUMIF(D$7:D$450,D$7:D$450,H$7:H$450)),0))</f>
        <v>Customer #39</v>
      </c>
      <c r="F518" s="7">
        <f t="shared" si="7"/>
        <v>32529</v>
      </c>
    </row>
    <row r="519" spans="4:6" x14ac:dyDescent="0.3">
      <c r="D519" s="6">
        <v>64</v>
      </c>
      <c r="E519" s="6" t="str">
        <f t="array" ref="E519">INDEX(D$7:D$450,MATCH(1,(COUNTIF(H$451:H518,D$7:D$450)=0)*(LARGE(SUMIF(D$7:D$450,D$7:D$450,H$7:H$450)*(MATCH(D$7:D$450,D$7:D$450,0)=ROW(D$7:D$450)-ROW(D$7)+1),D519)=SUMIF(D$7:D$450,D$7:D$450,H$7:H$450)),0))</f>
        <v>Customer #71</v>
      </c>
      <c r="F519" s="7">
        <f t="shared" si="7"/>
        <v>32482</v>
      </c>
    </row>
    <row r="520" spans="4:6" x14ac:dyDescent="0.3">
      <c r="D520" s="6">
        <v>65</v>
      </c>
      <c r="E520" s="6" t="str">
        <f t="array" ref="E520">INDEX(D$7:D$450,MATCH(1,(COUNTIF(H$451:H519,D$7:D$450)=0)*(LARGE(SUMIF(D$7:D$450,D$7:D$450,H$7:H$450)*(MATCH(D$7:D$450,D$7:D$450,0)=ROW(D$7:D$450)-ROW(D$7)+1),D520)=SUMIF(D$7:D$450,D$7:D$450,H$7:H$450)),0))</f>
        <v>Customer #8</v>
      </c>
      <c r="F520" s="7">
        <f t="shared" si="7"/>
        <v>31795</v>
      </c>
    </row>
    <row r="521" spans="4:6" x14ac:dyDescent="0.3">
      <c r="D521" s="6">
        <v>66</v>
      </c>
      <c r="E521" s="6" t="str">
        <f t="array" ref="E521">INDEX(D$7:D$450,MATCH(1,(COUNTIF(H$451:H520,D$7:D$450)=0)*(LARGE(SUMIF(D$7:D$450,D$7:D$450,H$7:H$450)*(MATCH(D$7:D$450,D$7:D$450,0)=ROW(D$7:D$450)-ROW(D$7)+1),D521)=SUMIF(D$7:D$450,D$7:D$450,H$7:H$450)),0))</f>
        <v>Customer #98</v>
      </c>
      <c r="F521" s="7">
        <f t="shared" si="7"/>
        <v>31626</v>
      </c>
    </row>
    <row r="522" spans="4:6" x14ac:dyDescent="0.3">
      <c r="D522" s="6">
        <v>67</v>
      </c>
      <c r="E522" s="6" t="str">
        <f t="array" ref="E522">INDEX(D$7:D$450,MATCH(1,(COUNTIF(H$451:H521,D$7:D$450)=0)*(LARGE(SUMIF(D$7:D$450,D$7:D$450,H$7:H$450)*(MATCH(D$7:D$450,D$7:D$450,0)=ROW(D$7:D$450)-ROW(D$7)+1),D522)=SUMIF(D$7:D$450,D$7:D$450,H$7:H$450)),0))</f>
        <v>Customer #52</v>
      </c>
      <c r="F522" s="7">
        <f t="shared" si="7"/>
        <v>31368</v>
      </c>
    </row>
    <row r="523" spans="4:6" x14ac:dyDescent="0.3">
      <c r="D523" s="6">
        <v>68</v>
      </c>
      <c r="E523" s="6" t="str">
        <f t="array" ref="E523">INDEX(D$7:D$450,MATCH(1,(COUNTIF(H$451:H522,D$7:D$450)=0)*(LARGE(SUMIF(D$7:D$450,D$7:D$450,H$7:H$450)*(MATCH(D$7:D$450,D$7:D$450,0)=ROW(D$7:D$450)-ROW(D$7)+1),D523)=SUMIF(D$7:D$450,D$7:D$450,H$7:H$450)),0))</f>
        <v>Customer #30</v>
      </c>
      <c r="F523" s="7">
        <f t="shared" si="7"/>
        <v>31167</v>
      </c>
    </row>
    <row r="524" spans="4:6" x14ac:dyDescent="0.3">
      <c r="D524" s="6">
        <v>69</v>
      </c>
      <c r="E524" s="6" t="str">
        <f t="array" ref="E524">INDEX(D$7:D$450,MATCH(1,(COUNTIF(H$451:H523,D$7:D$450)=0)*(LARGE(SUMIF(D$7:D$450,D$7:D$450,H$7:H$450)*(MATCH(D$7:D$450,D$7:D$450,0)=ROW(D$7:D$450)-ROW(D$7)+1),D524)=SUMIF(D$7:D$450,D$7:D$450,H$7:H$450)),0))</f>
        <v>Customer #66</v>
      </c>
      <c r="F524" s="7">
        <f t="shared" si="7"/>
        <v>29793</v>
      </c>
    </row>
    <row r="525" spans="4:6" x14ac:dyDescent="0.3">
      <c r="D525" s="6">
        <v>70</v>
      </c>
      <c r="E525" s="6" t="str">
        <f t="array" ref="E525">INDEX(D$7:D$450,MATCH(1,(COUNTIF(H$451:H524,D$7:D$450)=0)*(LARGE(SUMIF(D$7:D$450,D$7:D$450,H$7:H$450)*(MATCH(D$7:D$450,D$7:D$450,0)=ROW(D$7:D$450)-ROW(D$7)+1),D525)=SUMIF(D$7:D$450,D$7:D$450,H$7:H$450)),0))</f>
        <v>Customer #64</v>
      </c>
      <c r="F525" s="7">
        <f t="shared" si="7"/>
        <v>29300</v>
      </c>
    </row>
    <row r="526" spans="4:6" x14ac:dyDescent="0.3">
      <c r="D526" s="6">
        <v>71</v>
      </c>
      <c r="E526" s="6" t="str">
        <f t="array" ref="E526">INDEX(D$7:D$450,MATCH(1,(COUNTIF(H$451:H525,D$7:D$450)=0)*(LARGE(SUMIF(D$7:D$450,D$7:D$450,H$7:H$450)*(MATCH(D$7:D$450,D$7:D$450,0)=ROW(D$7:D$450)-ROW(D$7)+1),D526)=SUMIF(D$7:D$450,D$7:D$450,H$7:H$450)),0))</f>
        <v>Customer #62</v>
      </c>
      <c r="F526" s="7">
        <f t="shared" si="7"/>
        <v>28950</v>
      </c>
    </row>
    <row r="527" spans="4:6" x14ac:dyDescent="0.3">
      <c r="D527" s="6">
        <v>72</v>
      </c>
      <c r="E527" s="6" t="str">
        <f t="array" ref="E527">INDEX(D$7:D$450,MATCH(1,(COUNTIF(H$451:H526,D$7:D$450)=0)*(LARGE(SUMIF(D$7:D$450,D$7:D$450,H$7:H$450)*(MATCH(D$7:D$450,D$7:D$450,0)=ROW(D$7:D$450)-ROW(D$7)+1),D527)=SUMIF(D$7:D$450,D$7:D$450,H$7:H$450)),0))</f>
        <v>Customer #99</v>
      </c>
      <c r="F527" s="7">
        <f t="shared" si="7"/>
        <v>28789</v>
      </c>
    </row>
    <row r="528" spans="4:6" x14ac:dyDescent="0.3">
      <c r="D528" s="6">
        <v>73</v>
      </c>
      <c r="E528" s="6" t="str">
        <f t="array" ref="E528">INDEX(D$7:D$450,MATCH(1,(COUNTIF(H$451:H527,D$7:D$450)=0)*(LARGE(SUMIF(D$7:D$450,D$7:D$450,H$7:H$450)*(MATCH(D$7:D$450,D$7:D$450,0)=ROW(D$7:D$450)-ROW(D$7)+1),D528)=SUMIF(D$7:D$450,D$7:D$450,H$7:H$450)),0))</f>
        <v>Customer #11</v>
      </c>
      <c r="F528" s="7">
        <f t="shared" si="7"/>
        <v>28015</v>
      </c>
    </row>
    <row r="529" spans="4:6" x14ac:dyDescent="0.3">
      <c r="D529" s="6">
        <v>74</v>
      </c>
      <c r="E529" s="6" t="str">
        <f t="array" ref="E529">INDEX(D$7:D$450,MATCH(1,(COUNTIF(H$451:H528,D$7:D$450)=0)*(LARGE(SUMIF(D$7:D$450,D$7:D$450,H$7:H$450)*(MATCH(D$7:D$450,D$7:D$450,0)=ROW(D$7:D$450)-ROW(D$7)+1),D529)=SUMIF(D$7:D$450,D$7:D$450,H$7:H$450)),0))</f>
        <v>Customer #70</v>
      </c>
      <c r="F529" s="7">
        <f t="shared" si="7"/>
        <v>26682</v>
      </c>
    </row>
    <row r="530" spans="4:6" x14ac:dyDescent="0.3">
      <c r="D530" s="6">
        <v>75</v>
      </c>
      <c r="E530" s="6" t="str">
        <f t="array" ref="E530">INDEX(D$7:D$450,MATCH(1,(COUNTIF(H$451:H529,D$7:D$450)=0)*(LARGE(SUMIF(D$7:D$450,D$7:D$450,H$7:H$450)*(MATCH(D$7:D$450,D$7:D$450,0)=ROW(D$7:D$450)-ROW(D$7)+1),D530)=SUMIF(D$7:D$450,D$7:D$450,H$7:H$450)),0))</f>
        <v>Customer #45</v>
      </c>
      <c r="F530" s="7">
        <f t="shared" si="7"/>
        <v>25884</v>
      </c>
    </row>
    <row r="531" spans="4:6" x14ac:dyDescent="0.3">
      <c r="D531" s="6">
        <v>76</v>
      </c>
      <c r="E531" s="6" t="str">
        <f t="array" ref="E531">INDEX(D$7:D$450,MATCH(1,(COUNTIF(H$451:H530,D$7:D$450)=0)*(LARGE(SUMIF(D$7:D$450,D$7:D$450,H$7:H$450)*(MATCH(D$7:D$450,D$7:D$450,0)=ROW(D$7:D$450)-ROW(D$7)+1),D531)=SUMIF(D$7:D$450,D$7:D$450,H$7:H$450)),0))</f>
        <v>Customer #4</v>
      </c>
      <c r="F531" s="7">
        <f t="shared" si="7"/>
        <v>25803</v>
      </c>
    </row>
    <row r="532" spans="4:6" x14ac:dyDescent="0.3">
      <c r="D532" s="6">
        <v>77</v>
      </c>
      <c r="E532" s="6" t="str">
        <f t="array" ref="E532">INDEX(D$7:D$450,MATCH(1,(COUNTIF(H$451:H531,D$7:D$450)=0)*(LARGE(SUMIF(D$7:D$450,D$7:D$450,H$7:H$450)*(MATCH(D$7:D$450,D$7:D$450,0)=ROW(D$7:D$450)-ROW(D$7)+1),D532)=SUMIF(D$7:D$450,D$7:D$450,H$7:H$450)),0))</f>
        <v>Customer #2</v>
      </c>
      <c r="F532" s="7">
        <f t="shared" si="7"/>
        <v>25048</v>
      </c>
    </row>
    <row r="533" spans="4:6" x14ac:dyDescent="0.3">
      <c r="D533" s="6">
        <v>78</v>
      </c>
      <c r="E533" s="6" t="str">
        <f t="array" ref="E533">INDEX(D$7:D$450,MATCH(1,(COUNTIF(H$451:H532,D$7:D$450)=0)*(LARGE(SUMIF(D$7:D$450,D$7:D$450,H$7:H$450)*(MATCH(D$7:D$450,D$7:D$450,0)=ROW(D$7:D$450)-ROW(D$7)+1),D533)=SUMIF(D$7:D$450,D$7:D$450,H$7:H$450)),0))</f>
        <v>Customer #65</v>
      </c>
      <c r="F533" s="7">
        <f t="shared" si="7"/>
        <v>24466</v>
      </c>
    </row>
    <row r="534" spans="4:6" x14ac:dyDescent="0.3">
      <c r="D534" s="6">
        <v>79</v>
      </c>
      <c r="E534" s="6" t="str">
        <f t="array" ref="E534">INDEX(D$7:D$450,MATCH(1,(COUNTIF(H$451:H533,D$7:D$450)=0)*(LARGE(SUMIF(D$7:D$450,D$7:D$450,H$7:H$450)*(MATCH(D$7:D$450,D$7:D$450,0)=ROW(D$7:D$450)-ROW(D$7)+1),D534)=SUMIF(D$7:D$450,D$7:D$450,H$7:H$450)),0))</f>
        <v>Customer #19</v>
      </c>
      <c r="F534" s="7">
        <f t="shared" si="7"/>
        <v>24237</v>
      </c>
    </row>
    <row r="535" spans="4:6" x14ac:dyDescent="0.3">
      <c r="D535" s="6">
        <v>80</v>
      </c>
      <c r="E535" s="6" t="str">
        <f t="array" ref="E535">INDEX(D$7:D$450,MATCH(1,(COUNTIF(H$451:H534,D$7:D$450)=0)*(LARGE(SUMIF(D$7:D$450,D$7:D$450,H$7:H$450)*(MATCH(D$7:D$450,D$7:D$450,0)=ROW(D$7:D$450)-ROW(D$7)+1),D535)=SUMIF(D$7:D$450,D$7:D$450,H$7:H$450)),0))</f>
        <v>Customer #91</v>
      </c>
      <c r="F535" s="7">
        <f t="shared" si="7"/>
        <v>23840</v>
      </c>
    </row>
    <row r="536" spans="4:6" x14ac:dyDescent="0.3">
      <c r="D536" s="6">
        <v>81</v>
      </c>
      <c r="E536" s="6" t="str">
        <f t="array" ref="E536">INDEX(D$7:D$450,MATCH(1,(COUNTIF(H$451:H535,D$7:D$450)=0)*(LARGE(SUMIF(D$7:D$450,D$7:D$450,H$7:H$450)*(MATCH(D$7:D$450,D$7:D$450,0)=ROW(D$7:D$450)-ROW(D$7)+1),D536)=SUMIF(D$7:D$450,D$7:D$450,H$7:H$450)),0))</f>
        <v>Customer #81</v>
      </c>
      <c r="F536" s="7">
        <f t="shared" si="7"/>
        <v>23672</v>
      </c>
    </row>
    <row r="537" spans="4:6" x14ac:dyDescent="0.3">
      <c r="D537" s="6">
        <v>82</v>
      </c>
      <c r="E537" s="6" t="str">
        <f t="array" ref="E537">INDEX(D$7:D$450,MATCH(1,(COUNTIF(H$451:H536,D$7:D$450)=0)*(LARGE(SUMIF(D$7:D$450,D$7:D$450,H$7:H$450)*(MATCH(D$7:D$450,D$7:D$450,0)=ROW(D$7:D$450)-ROW(D$7)+1),D537)=SUMIF(D$7:D$450,D$7:D$450,H$7:H$450)),0))</f>
        <v>Customer #55</v>
      </c>
      <c r="F537" s="7">
        <f t="shared" si="7"/>
        <v>23496</v>
      </c>
    </row>
    <row r="538" spans="4:6" x14ac:dyDescent="0.3">
      <c r="D538" s="6">
        <v>83</v>
      </c>
      <c r="E538" s="6" t="str">
        <f t="array" ref="E538">INDEX(D$7:D$450,MATCH(1,(COUNTIF(H$451:H537,D$7:D$450)=0)*(LARGE(SUMIF(D$7:D$450,D$7:D$450,H$7:H$450)*(MATCH(D$7:D$450,D$7:D$450,0)=ROW(D$7:D$450)-ROW(D$7)+1),D538)=SUMIF(D$7:D$450,D$7:D$450,H$7:H$450)),0))</f>
        <v>Customer #77</v>
      </c>
      <c r="F538" s="7">
        <f t="shared" si="7"/>
        <v>23439</v>
      </c>
    </row>
    <row r="539" spans="4:6" x14ac:dyDescent="0.3">
      <c r="D539" s="6">
        <v>84</v>
      </c>
      <c r="E539" s="6" t="str">
        <f t="array" ref="E539">INDEX(D$7:D$450,MATCH(1,(COUNTIF(H$451:H538,D$7:D$450)=0)*(LARGE(SUMIF(D$7:D$450,D$7:D$450,H$7:H$450)*(MATCH(D$7:D$450,D$7:D$450,0)=ROW(D$7:D$450)-ROW(D$7)+1),D539)=SUMIF(D$7:D$450,D$7:D$450,H$7:H$450)),0))</f>
        <v>Customer #15</v>
      </c>
      <c r="F539" s="7">
        <f t="shared" si="7"/>
        <v>23282</v>
      </c>
    </row>
    <row r="540" spans="4:6" x14ac:dyDescent="0.3">
      <c r="D540" s="6">
        <v>85</v>
      </c>
      <c r="E540" s="6" t="str">
        <f t="array" ref="E540">INDEX(D$7:D$450,MATCH(1,(COUNTIF(H$451:H539,D$7:D$450)=0)*(LARGE(SUMIF(D$7:D$450,D$7:D$450,H$7:H$450)*(MATCH(D$7:D$450,D$7:D$450,0)=ROW(D$7:D$450)-ROW(D$7)+1),D540)=SUMIF(D$7:D$450,D$7:D$450,H$7:H$450)),0))</f>
        <v>Customer #13</v>
      </c>
      <c r="F540" s="7">
        <f t="shared" si="7"/>
        <v>23266</v>
      </c>
    </row>
    <row r="541" spans="4:6" x14ac:dyDescent="0.3">
      <c r="D541" s="6">
        <v>86</v>
      </c>
      <c r="E541" s="6" t="str">
        <f t="array" ref="E541">INDEX(D$7:D$450,MATCH(1,(COUNTIF(H$451:H540,D$7:D$450)=0)*(LARGE(SUMIF(D$7:D$450,D$7:D$450,H$7:H$450)*(MATCH(D$7:D$450,D$7:D$450,0)=ROW(D$7:D$450)-ROW(D$7)+1),D541)=SUMIF(D$7:D$450,D$7:D$450,H$7:H$450)),0))</f>
        <v>Customer #16</v>
      </c>
      <c r="F541" s="7">
        <f t="shared" si="7"/>
        <v>23077</v>
      </c>
    </row>
    <row r="542" spans="4:6" x14ac:dyDescent="0.3">
      <c r="D542" s="6">
        <v>87</v>
      </c>
      <c r="E542" s="6" t="str">
        <f t="array" ref="E542">INDEX(D$7:D$450,MATCH(1,(COUNTIF(H$451:H541,D$7:D$450)=0)*(LARGE(SUMIF(D$7:D$450,D$7:D$450,H$7:H$450)*(MATCH(D$7:D$450,D$7:D$450,0)=ROW(D$7:D$450)-ROW(D$7)+1),D542)=SUMIF(D$7:D$450,D$7:D$450,H$7:H$450)),0))</f>
        <v>Customer #9</v>
      </c>
      <c r="F542" s="7">
        <f t="shared" si="7"/>
        <v>22457</v>
      </c>
    </row>
    <row r="543" spans="4:6" x14ac:dyDescent="0.3">
      <c r="D543" s="6">
        <v>88</v>
      </c>
      <c r="E543" s="6" t="str">
        <f t="array" ref="E543">INDEX(D$7:D$450,MATCH(1,(COUNTIF(H$451:H542,D$7:D$450)=0)*(LARGE(SUMIF(D$7:D$450,D$7:D$450,H$7:H$450)*(MATCH(D$7:D$450,D$7:D$450,0)=ROW(D$7:D$450)-ROW(D$7)+1),D543)=SUMIF(D$7:D$450,D$7:D$450,H$7:H$450)),0))</f>
        <v>Customer #32</v>
      </c>
      <c r="F543" s="7">
        <f t="shared" si="7"/>
        <v>21857</v>
      </c>
    </row>
    <row r="544" spans="4:6" x14ac:dyDescent="0.3">
      <c r="D544" s="6">
        <v>89</v>
      </c>
      <c r="E544" s="6" t="str">
        <f t="array" ref="E544">INDEX(D$7:D$450,MATCH(1,(COUNTIF(H$451:H543,D$7:D$450)=0)*(LARGE(SUMIF(D$7:D$450,D$7:D$450,H$7:H$450)*(MATCH(D$7:D$450,D$7:D$450,0)=ROW(D$7:D$450)-ROW(D$7)+1),D544)=SUMIF(D$7:D$450,D$7:D$450,H$7:H$450)),0))</f>
        <v>Customer #89</v>
      </c>
      <c r="F544" s="7">
        <f t="shared" si="7"/>
        <v>20611</v>
      </c>
    </row>
    <row r="545" spans="4:6" x14ac:dyDescent="0.3">
      <c r="D545" s="6">
        <v>90</v>
      </c>
      <c r="E545" s="6" t="str">
        <f t="array" ref="E545">INDEX(D$7:D$450,MATCH(1,(COUNTIF(H$451:H544,D$7:D$450)=0)*(LARGE(SUMIF(D$7:D$450,D$7:D$450,H$7:H$450)*(MATCH(D$7:D$450,D$7:D$450,0)=ROW(D$7:D$450)-ROW(D$7)+1),D545)=SUMIF(D$7:D$450,D$7:D$450,H$7:H$450)),0))</f>
        <v>Customer #83</v>
      </c>
      <c r="F545" s="7">
        <f t="shared" si="7"/>
        <v>19378</v>
      </c>
    </row>
    <row r="546" spans="4:6" x14ac:dyDescent="0.3">
      <c r="D546" s="6">
        <v>91</v>
      </c>
      <c r="E546" s="6" t="str">
        <f t="array" ref="E546">INDEX(D$7:D$450,MATCH(1,(COUNTIF(H$451:H545,D$7:D$450)=0)*(LARGE(SUMIF(D$7:D$450,D$7:D$450,H$7:H$450)*(MATCH(D$7:D$450,D$7:D$450,0)=ROW(D$7:D$450)-ROW(D$7)+1),D546)=SUMIF(D$7:D$450,D$7:D$450,H$7:H$450)),0))</f>
        <v>Customer #21</v>
      </c>
      <c r="F546" s="7">
        <f t="shared" si="7"/>
        <v>18731</v>
      </c>
    </row>
    <row r="547" spans="4:6" x14ac:dyDescent="0.3">
      <c r="D547" s="6">
        <v>92</v>
      </c>
      <c r="E547" s="6" t="str">
        <f t="array" ref="E547">INDEX(D$7:D$450,MATCH(1,(COUNTIF(H$451:H546,D$7:D$450)=0)*(LARGE(SUMIF(D$7:D$450,D$7:D$450,H$7:H$450)*(MATCH(D$7:D$450,D$7:D$450,0)=ROW(D$7:D$450)-ROW(D$7)+1),D547)=SUMIF(D$7:D$450,D$7:D$450,H$7:H$450)),0))</f>
        <v>Customer #29</v>
      </c>
      <c r="F547" s="7">
        <f t="shared" si="7"/>
        <v>16774</v>
      </c>
    </row>
    <row r="548" spans="4:6" x14ac:dyDescent="0.3">
      <c r="D548" s="6">
        <v>93</v>
      </c>
      <c r="E548" s="6" t="str">
        <f t="array" ref="E548">INDEX(D$7:D$450,MATCH(1,(COUNTIF(H$451:H547,D$7:D$450)=0)*(LARGE(SUMIF(D$7:D$450,D$7:D$450,H$7:H$450)*(MATCH(D$7:D$450,D$7:D$450,0)=ROW(D$7:D$450)-ROW(D$7)+1),D548)=SUMIF(D$7:D$450,D$7:D$450,H$7:H$450)),0))</f>
        <v>Customer #93</v>
      </c>
      <c r="F548" s="7">
        <f t="shared" si="7"/>
        <v>15626</v>
      </c>
    </row>
    <row r="549" spans="4:6" x14ac:dyDescent="0.3">
      <c r="D549" s="6">
        <v>94</v>
      </c>
      <c r="E549" s="6" t="str">
        <f t="array" ref="E549">INDEX(D$7:D$450,MATCH(1,(COUNTIF(H$451:H548,D$7:D$450)=0)*(LARGE(SUMIF(D$7:D$450,D$7:D$450,H$7:H$450)*(MATCH(D$7:D$450,D$7:D$450,0)=ROW(D$7:D$450)-ROW(D$7)+1),D549)=SUMIF(D$7:D$450,D$7:D$450,H$7:H$450)),0))</f>
        <v>Customer #67</v>
      </c>
      <c r="F549" s="7">
        <f t="shared" si="7"/>
        <v>15397</v>
      </c>
    </row>
    <row r="550" spans="4:6" x14ac:dyDescent="0.3">
      <c r="D550" s="6">
        <v>95</v>
      </c>
      <c r="E550" s="6" t="str">
        <f t="array" ref="E550">INDEX(D$7:D$450,MATCH(1,(COUNTIF(H$451:H549,D$7:D$450)=0)*(LARGE(SUMIF(D$7:D$450,D$7:D$450,H$7:H$450)*(MATCH(D$7:D$450,D$7:D$450,0)=ROW(D$7:D$450)-ROW(D$7)+1),D550)=SUMIF(D$7:D$450,D$7:D$450,H$7:H$450)),0))</f>
        <v>Customer #10</v>
      </c>
      <c r="F550" s="7">
        <f t="shared" si="7"/>
        <v>13758</v>
      </c>
    </row>
    <row r="551" spans="4:6" x14ac:dyDescent="0.3">
      <c r="D551" s="6">
        <v>96</v>
      </c>
      <c r="E551" s="6" t="str">
        <f t="array" ref="E551">INDEX(D$7:D$450,MATCH(1,(COUNTIF(H$451:H550,D$7:D$450)=0)*(LARGE(SUMIF(D$7:D$450,D$7:D$450,H$7:H$450)*(MATCH(D$7:D$450,D$7:D$450,0)=ROW(D$7:D$450)-ROW(D$7)+1),D551)=SUMIF(D$7:D$450,D$7:D$450,H$7:H$450)),0))</f>
        <v>Customer #41</v>
      </c>
      <c r="F551" s="7">
        <f t="shared" si="7"/>
        <v>13488</v>
      </c>
    </row>
    <row r="552" spans="4:6" x14ac:dyDescent="0.3">
      <c r="D552" s="6">
        <v>97</v>
      </c>
      <c r="E552" s="6" t="str">
        <f t="array" ref="E552">INDEX(D$7:D$450,MATCH(1,(COUNTIF(H$451:H551,D$7:D$450)=0)*(LARGE(SUMIF(D$7:D$450,D$7:D$450,H$7:H$450)*(MATCH(D$7:D$450,D$7:D$450,0)=ROW(D$7:D$450)-ROW(D$7)+1),D552)=SUMIF(D$7:D$450,D$7:D$450,H$7:H$450)),0))</f>
        <v>Customer #54</v>
      </c>
      <c r="F552" s="7">
        <f t="shared" si="7"/>
        <v>12688</v>
      </c>
    </row>
    <row r="553" spans="4:6" x14ac:dyDescent="0.3">
      <c r="D553" s="6">
        <v>98</v>
      </c>
      <c r="E553" s="6" t="str">
        <f t="array" ref="E553">INDEX(D$7:D$450,MATCH(1,(COUNTIF(H$451:H552,D$7:D$450)=0)*(LARGE(SUMIF(D$7:D$450,D$7:D$450,H$7:H$450)*(MATCH(D$7:D$450,D$7:D$450,0)=ROW(D$7:D$450)-ROW(D$7)+1),D553)=SUMIF(D$7:D$450,D$7:D$450,H$7:H$450)),0))</f>
        <v>Customer #95</v>
      </c>
      <c r="F553" s="7">
        <f t="shared" si="7"/>
        <v>12447</v>
      </c>
    </row>
    <row r="554" spans="4:6" x14ac:dyDescent="0.3">
      <c r="D554" s="6">
        <v>99</v>
      </c>
      <c r="E554" s="6" t="str">
        <f t="array" ref="E554">INDEX(D$7:D$450,MATCH(1,(COUNTIF(H$451:H553,D$7:D$450)=0)*(LARGE(SUMIF(D$7:D$450,D$7:D$450,H$7:H$450)*(MATCH(D$7:D$450,D$7:D$450,0)=ROW(D$7:D$450)-ROW(D$7)+1),D554)=SUMIF(D$7:D$450,D$7:D$450,H$7:H$450)),0))</f>
        <v>Customer #79</v>
      </c>
      <c r="F554" s="7">
        <f t="shared" si="7"/>
        <v>12050</v>
      </c>
    </row>
    <row r="555" spans="4:6" x14ac:dyDescent="0.3">
      <c r="D555" s="6">
        <v>100</v>
      </c>
      <c r="E555" s="6" t="str">
        <f t="array" ref="E555">INDEX(D$7:D$450,MATCH(1,(COUNTIF(H$451:H554,D$7:D$450)=0)*(LARGE(SUMIF(D$7:D$450,D$7:D$450,H$7:H$450)*(MATCH(D$7:D$450,D$7:D$450,0)=ROW(D$7:D$450)-ROW(D$7)+1),D555)=SUMIF(D$7:D$450,D$7:D$450,H$7:H$450)),0))</f>
        <v>Customer #38</v>
      </c>
      <c r="F555" s="7">
        <f t="shared" si="7"/>
        <v>10232</v>
      </c>
    </row>
    <row r="556" spans="4:6" x14ac:dyDescent="0.3">
      <c r="D556" s="6">
        <v>101</v>
      </c>
      <c r="E556" s="6" t="str">
        <f t="array" ref="E556">INDEX(D$7:D$450,MATCH(1,(COUNTIF(H$451:H555,D$7:D$450)=0)*(LARGE(SUMIF(D$7:D$450,D$7:D$450,H$7:H$450)*(MATCH(D$7:D$450,D$7:D$450,0)=ROW(D$7:D$450)-ROW(D$7)+1),D556)=SUMIF(D$7:D$450,D$7:D$450,H$7:H$450)),0))</f>
        <v>Customer #57</v>
      </c>
      <c r="F556" s="7">
        <f t="shared" si="7"/>
        <v>8315</v>
      </c>
    </row>
    <row r="557" spans="4:6" x14ac:dyDescent="0.3">
      <c r="D557" s="6">
        <v>102</v>
      </c>
      <c r="E557" s="6" t="str">
        <f t="array" ref="E557">INDEX(D$7:D$450,MATCH(1,(COUNTIF(H$451:H556,D$7:D$450)=0)*(LARGE(SUMIF(D$7:D$450,D$7:D$450,H$7:H$450)*(MATCH(D$7:D$450,D$7:D$450,0)=ROW(D$7:D$450)-ROW(D$7)+1),D557)=SUMIF(D$7:D$450,D$7:D$450,H$7:H$450)),0))</f>
        <v>Customer #85</v>
      </c>
      <c r="F557" s="7">
        <f t="shared" si="7"/>
        <v>7327</v>
      </c>
    </row>
    <row r="558" spans="4:6" x14ac:dyDescent="0.3">
      <c r="D558" s="6">
        <v>103</v>
      </c>
      <c r="E558" s="6" t="str">
        <f t="array" ref="E558">INDEX(D$7:D$450,MATCH(1,(COUNTIF(H$451:H557,D$7:D$450)=0)*(LARGE(SUMIF(D$7:D$450,D$7:D$450,H$7:H$450)*(MATCH(D$7:D$450,D$7:D$450,0)=ROW(D$7:D$450)-ROW(D$7)+1),D558)=SUMIF(D$7:D$450,D$7:D$450,H$7:H$450)),0))</f>
        <v>Customer #25</v>
      </c>
      <c r="F558" s="7">
        <f t="shared" si="7"/>
        <v>7064</v>
      </c>
    </row>
    <row r="559" spans="4:6" x14ac:dyDescent="0.3">
      <c r="D559" s="6">
        <v>104</v>
      </c>
      <c r="E559" s="6" t="str">
        <f t="array" ref="E559">INDEX(D$7:D$450,MATCH(1,(COUNTIF(H$451:H558,D$7:D$450)=0)*(LARGE(SUMIF(D$7:D$450,D$7:D$450,H$7:H$450)*(MATCH(D$7:D$450,D$7:D$450,0)=ROW(D$7:D$450)-ROW(D$7)+1),D559)=SUMIF(D$7:D$450,D$7:D$450,H$7:H$450)),0))</f>
        <v>Customer #102</v>
      </c>
      <c r="F559" s="7">
        <f t="shared" si="7"/>
        <v>6273</v>
      </c>
    </row>
    <row r="560" spans="4:6" x14ac:dyDescent="0.3">
      <c r="D560" s="6">
        <v>105</v>
      </c>
      <c r="E560" s="6" t="str">
        <f t="array" ref="E560">INDEX(D$7:D$450,MATCH(1,(COUNTIF(H$451:H559,D$7:D$450)=0)*(LARGE(SUMIF(D$7:D$450,D$7:D$450,H$7:H$450)*(MATCH(D$7:D$450,D$7:D$450,0)=ROW(D$7:D$450)-ROW(D$7)+1),D560)=SUMIF(D$7:D$450,D$7:D$450,H$7:H$450)),0))</f>
        <v>Customer #37</v>
      </c>
      <c r="F560" s="7">
        <f t="shared" si="7"/>
        <v>4571</v>
      </c>
    </row>
    <row r="561" spans="4:6" x14ac:dyDescent="0.3">
      <c r="D561" s="6">
        <v>106</v>
      </c>
      <c r="E561" s="6" t="e">
        <f t="array" ref="E561">INDEX(D$7:D$450,MATCH(1,(COUNTIF(H$451:H560,D$7:D$450)=0)*(LARGE(SUMIF(D$7:D$450,D$7:D$450,H$7:H$450)*(MATCH(D$7:D$450,D$7:D$450,0)=ROW(D$7:D$450)-ROW(D$7)+1),D561)=SUMIF(D$7:D$450,D$7:D$450,H$7:H$450)),0))</f>
        <v>#N/A</v>
      </c>
      <c r="F561" s="7">
        <f t="shared" si="7"/>
        <v>0</v>
      </c>
    </row>
    <row r="562" spans="4:6" x14ac:dyDescent="0.3">
      <c r="D562" s="6">
        <v>107</v>
      </c>
      <c r="E562" s="6" t="e">
        <f t="array" ref="E562">INDEX(D$7:D$450,MATCH(1,(COUNTIF(H$451:H561,D$7:D$450)=0)*(LARGE(SUMIF(D$7:D$450,D$7:D$450,H$7:H$450)*(MATCH(D$7:D$450,D$7:D$450,0)=ROW(D$7:D$450)-ROW(D$7)+1),D562)=SUMIF(D$7:D$450,D$7:D$450,H$7:H$450)),0))</f>
        <v>#N/A</v>
      </c>
      <c r="F562" s="7">
        <f t="shared" si="7"/>
        <v>0</v>
      </c>
    </row>
    <row r="563" spans="4:6" x14ac:dyDescent="0.3">
      <c r="D563" s="6">
        <v>108</v>
      </c>
      <c r="E563" s="6" t="e">
        <f t="array" ref="E563">INDEX(D$7:D$450,MATCH(1,(COUNTIF(H$451:H562,D$7:D$450)=0)*(LARGE(SUMIF(D$7:D$450,D$7:D$450,H$7:H$450)*(MATCH(D$7:D$450,D$7:D$450,0)=ROW(D$7:D$450)-ROW(D$7)+1),D563)=SUMIF(D$7:D$450,D$7:D$450,H$7:H$450)),0))</f>
        <v>#N/A</v>
      </c>
      <c r="F563" s="7">
        <f t="shared" si="7"/>
        <v>0</v>
      </c>
    </row>
    <row r="564" spans="4:6" x14ac:dyDescent="0.3">
      <c r="D564" s="6">
        <v>109</v>
      </c>
      <c r="E564" s="6" t="e">
        <f t="array" ref="E564">INDEX(D$7:D$450,MATCH(1,(COUNTIF(H$451:H563,D$7:D$450)=0)*(LARGE(SUMIF(D$7:D$450,D$7:D$450,H$7:H$450)*(MATCH(D$7:D$450,D$7:D$450,0)=ROW(D$7:D$450)-ROW(D$7)+1),D564)=SUMIF(D$7:D$450,D$7:D$450,H$7:H$450)),0))</f>
        <v>#N/A</v>
      </c>
      <c r="F564" s="7">
        <f t="shared" si="7"/>
        <v>0</v>
      </c>
    </row>
    <row r="565" spans="4:6" x14ac:dyDescent="0.3">
      <c r="D565" s="6">
        <v>110</v>
      </c>
      <c r="E565" s="6" t="e">
        <f t="array" ref="E565">INDEX(D$7:D$450,MATCH(1,(COUNTIF(H$451:H564,D$7:D$450)=0)*(LARGE(SUMIF(D$7:D$450,D$7:D$450,H$7:H$450)*(MATCH(D$7:D$450,D$7:D$450,0)=ROW(D$7:D$450)-ROW(D$7)+1),D565)=SUMIF(D$7:D$450,D$7:D$450,H$7:H$450)),0))</f>
        <v>#N/A</v>
      </c>
      <c r="F565" s="7">
        <f t="shared" si="7"/>
        <v>0</v>
      </c>
    </row>
  </sheetData>
  <mergeCells count="1">
    <mergeCell ref="C456:C459"/>
  </mergeCells>
  <phoneticPr fontId="3" type="noConversion"/>
  <dataValidations disablePrompts="1" count="4">
    <dataValidation type="list" allowBlank="1" showInputMessage="1" showErrorMessage="1" sqref="B7:B450" xr:uid="{61AA2B5C-642E-4F61-BFE4-3DB6303386D8}">
      <formula1>$J$3:$J$14</formula1>
    </dataValidation>
    <dataValidation type="list" allowBlank="1" showInputMessage="1" showErrorMessage="1" sqref="F7:F450" xr:uid="{1E660AC3-689D-4270-8769-9805F4A312E6}">
      <formula1>$N$3:$N$14</formula1>
    </dataValidation>
    <dataValidation type="list" allowBlank="1" showInputMessage="1" showErrorMessage="1" sqref="E7:E450" xr:uid="{FE93241D-0155-4794-A298-B63832CAD74D}">
      <formula1>$M$3:$M$14</formula1>
    </dataValidation>
    <dataValidation type="list" allowBlank="1" showInputMessage="1" showErrorMessage="1" sqref="G7:G450" xr:uid="{7C57684A-F8FB-41E0-AFC8-C1ECBD7556A5}">
      <formula1>$O$3:$O$14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0D330-A3C7-498C-9005-3FEEC0AD0703}">
  <dimension ref="B2:N125"/>
  <sheetViews>
    <sheetView zoomScale="70" zoomScaleNormal="70" workbookViewId="0">
      <selection activeCell="D27" sqref="D27"/>
    </sheetView>
  </sheetViews>
  <sheetFormatPr defaultRowHeight="13.8" x14ac:dyDescent="0.25"/>
  <cols>
    <col min="1" max="1" width="8.88671875" style="9"/>
    <col min="2" max="2" width="20.33203125" style="9" customWidth="1"/>
    <col min="3" max="3" width="16" style="9" bestFit="1" customWidth="1"/>
    <col min="4" max="4" width="22.88671875" style="9" customWidth="1"/>
    <col min="5" max="5" width="14.88671875" style="9" bestFit="1" customWidth="1"/>
    <col min="6" max="6" width="23.6640625" style="9" customWidth="1"/>
    <col min="7" max="7" width="14.6640625" style="9" customWidth="1"/>
    <col min="8" max="8" width="22.88671875" style="9" customWidth="1"/>
    <col min="9" max="9" width="30" style="9" customWidth="1"/>
    <col min="10" max="10" width="22.44140625" style="9" customWidth="1"/>
    <col min="11" max="11" width="18.33203125" style="9" customWidth="1"/>
    <col min="12" max="12" width="18.21875" style="9" customWidth="1"/>
    <col min="13" max="13" width="29.21875" style="9" customWidth="1"/>
    <col min="14" max="14" width="27.33203125" style="9" customWidth="1"/>
    <col min="15" max="15" width="19" style="9" customWidth="1"/>
    <col min="16" max="16384" width="8.88671875" style="9"/>
  </cols>
  <sheetData>
    <row r="2" spans="2:14" x14ac:dyDescent="0.25">
      <c r="B2" s="12" t="s">
        <v>140</v>
      </c>
      <c r="D2" s="12" t="s">
        <v>138</v>
      </c>
      <c r="F2" s="12" t="s">
        <v>139</v>
      </c>
      <c r="G2" s="10"/>
      <c r="I2" s="12" t="s">
        <v>142</v>
      </c>
    </row>
    <row r="3" spans="2:14" x14ac:dyDescent="0.25">
      <c r="B3" s="13">
        <f>SUMPRODUCT(1/COUNTIF(Data!D7:D450,Data!D7:D450))</f>
        <v>105.0000000000001</v>
      </c>
      <c r="D3" s="14">
        <f>J21</f>
        <v>2111024</v>
      </c>
      <c r="F3" s="14">
        <f>D3/B3</f>
        <v>20104.990476190458</v>
      </c>
      <c r="G3" s="18"/>
      <c r="I3" s="17">
        <f>D3/Data!K15</f>
        <v>1.0825764102564102</v>
      </c>
    </row>
    <row r="6" spans="2:14" ht="14.4" x14ac:dyDescent="0.3">
      <c r="B6" s="28" t="s">
        <v>1</v>
      </c>
      <c r="C6" s="11">
        <v>2022</v>
      </c>
      <c r="E6" s="28" t="s">
        <v>1</v>
      </c>
      <c r="F6" s="11">
        <v>2023</v>
      </c>
      <c r="G6" s="8"/>
      <c r="M6" s="9" t="s">
        <v>152</v>
      </c>
      <c r="N6" s="9" t="s">
        <v>152</v>
      </c>
    </row>
    <row r="7" spans="2:14" x14ac:dyDescent="0.25">
      <c r="I7" s="20">
        <v>2022</v>
      </c>
      <c r="J7" s="20">
        <v>2023</v>
      </c>
      <c r="K7" s="20">
        <v>2023</v>
      </c>
      <c r="L7" s="20">
        <v>2023</v>
      </c>
      <c r="M7" s="20">
        <v>2023</v>
      </c>
      <c r="N7" s="20">
        <v>2023</v>
      </c>
    </row>
    <row r="8" spans="2:14" ht="14.4" x14ac:dyDescent="0.3">
      <c r="B8" s="28" t="s">
        <v>143</v>
      </c>
      <c r="C8" s="1" t="s">
        <v>145</v>
      </c>
      <c r="D8"/>
      <c r="E8" s="28" t="s">
        <v>143</v>
      </c>
      <c r="F8" s="1" t="s">
        <v>145</v>
      </c>
      <c r="G8"/>
      <c r="H8" s="21" t="s">
        <v>146</v>
      </c>
      <c r="I8" s="19" t="s">
        <v>147</v>
      </c>
      <c r="J8" s="19" t="s">
        <v>148</v>
      </c>
      <c r="K8" s="19" t="s">
        <v>150</v>
      </c>
      <c r="L8" s="19" t="s">
        <v>151</v>
      </c>
      <c r="M8" s="19" t="s">
        <v>148</v>
      </c>
      <c r="N8" s="19" t="s">
        <v>151</v>
      </c>
    </row>
    <row r="9" spans="2:14" ht="14.4" x14ac:dyDescent="0.3">
      <c r="B9" s="11" t="s">
        <v>8</v>
      </c>
      <c r="C9" s="29">
        <v>153984</v>
      </c>
      <c r="D9"/>
      <c r="E9" s="11" t="s">
        <v>8</v>
      </c>
      <c r="F9" s="29">
        <v>105103</v>
      </c>
      <c r="G9"/>
      <c r="H9" s="21" t="s">
        <v>8</v>
      </c>
      <c r="I9" s="30">
        <f>SUMIFS(Data!$H$7:$H$450, Data!$B$7:$B$450, "January", Data!$C$7:$C$450, "2022")</f>
        <v>153984</v>
      </c>
      <c r="J9" s="30">
        <f>SUMIFS(Data!$H$7:$H$450, Data!$B$7:$B$450, "January", Data!$C$7:$C$450, "2023")</f>
        <v>105103</v>
      </c>
      <c r="K9" s="31">
        <f>J9/$J$21</f>
        <v>4.9787685976095016E-2</v>
      </c>
      <c r="L9" s="30">
        <f>Data!K3</f>
        <v>160000</v>
      </c>
      <c r="M9" s="30">
        <f>J9</f>
        <v>105103</v>
      </c>
      <c r="N9" s="30">
        <f>L9</f>
        <v>160000</v>
      </c>
    </row>
    <row r="10" spans="2:14" ht="14.4" x14ac:dyDescent="0.3">
      <c r="B10" s="11" t="s">
        <v>9</v>
      </c>
      <c r="C10" s="29">
        <v>114830</v>
      </c>
      <c r="D10"/>
      <c r="E10" s="11" t="s">
        <v>9</v>
      </c>
      <c r="F10" s="29">
        <v>243271</v>
      </c>
      <c r="G10"/>
      <c r="H10" s="21" t="s">
        <v>9</v>
      </c>
      <c r="I10" s="30">
        <f>SUMIFS(Data!$H$7:$H$450, Data!$B$7:$B$450, "February", Data!$C$7:$C$450, "2022")</f>
        <v>114830</v>
      </c>
      <c r="J10" s="30">
        <f>SUMIFS(Data!$H$7:$H$450, Data!$B$7:$B$450, "February", Data!$C$7:$C$450, "2023")</f>
        <v>243271</v>
      </c>
      <c r="K10" s="31">
        <f t="shared" ref="K10:K20" si="0">J10/$J$21</f>
        <v>0.11523838667869242</v>
      </c>
      <c r="L10" s="30">
        <f>Data!K4</f>
        <v>155000</v>
      </c>
      <c r="M10" s="30">
        <f>SUM($J$9:J10)</f>
        <v>348374</v>
      </c>
      <c r="N10" s="30">
        <f>SUM($L$9:L10)</f>
        <v>315000</v>
      </c>
    </row>
    <row r="11" spans="2:14" ht="14.4" x14ac:dyDescent="0.3">
      <c r="B11" s="11" t="s">
        <v>10</v>
      </c>
      <c r="C11" s="29">
        <v>237556</v>
      </c>
      <c r="D11"/>
      <c r="E11" s="11" t="s">
        <v>10</v>
      </c>
      <c r="F11" s="29">
        <v>312458</v>
      </c>
      <c r="G11"/>
      <c r="H11" s="21" t="s">
        <v>10</v>
      </c>
      <c r="I11" s="30">
        <f>SUMIFS(Data!$H$7:$H$450, Data!$B$7:$B$450, "March", Data!$C$7:$C$450, "2022")</f>
        <v>237556</v>
      </c>
      <c r="J11" s="30">
        <f>SUMIFS(Data!$H$7:$H$450, Data!$B$7:$B$450, "March", Data!$C$7:$C$450, "2023")</f>
        <v>312458</v>
      </c>
      <c r="K11" s="31">
        <f t="shared" si="0"/>
        <v>0.14801252851696617</v>
      </c>
      <c r="L11" s="30">
        <f>Data!K5</f>
        <v>175000</v>
      </c>
      <c r="M11" s="30">
        <f>SUM($J$9:J11)</f>
        <v>660832</v>
      </c>
      <c r="N11" s="30">
        <f>SUM($L$9:L11)</f>
        <v>490000</v>
      </c>
    </row>
    <row r="12" spans="2:14" ht="14.4" x14ac:dyDescent="0.3">
      <c r="B12" s="11" t="s">
        <v>11</v>
      </c>
      <c r="C12" s="29">
        <v>143986</v>
      </c>
      <c r="D12"/>
      <c r="E12" s="11" t="s">
        <v>11</v>
      </c>
      <c r="F12" s="29">
        <v>129701</v>
      </c>
      <c r="G12"/>
      <c r="H12" s="21" t="s">
        <v>11</v>
      </c>
      <c r="I12" s="30">
        <f>SUMIFS(Data!$H$7:$H$450, Data!$B$7:$B$450, "April", Data!$C$7:$C$450, "2022")</f>
        <v>143986</v>
      </c>
      <c r="J12" s="30">
        <f>SUMIFS(Data!$H$7:$H$450, Data!$B$7:$B$450, "April", Data!$C$7:$C$450, "2023")</f>
        <v>129701</v>
      </c>
      <c r="K12" s="31">
        <f t="shared" si="0"/>
        <v>6.1439850991746182E-2</v>
      </c>
      <c r="L12" s="30">
        <f>Data!K6</f>
        <v>140000</v>
      </c>
      <c r="M12" s="30">
        <f>SUM($J$9:J12)</f>
        <v>790533</v>
      </c>
      <c r="N12" s="30">
        <f>SUM($L$9:L12)</f>
        <v>630000</v>
      </c>
    </row>
    <row r="13" spans="2:14" ht="14.4" x14ac:dyDescent="0.3">
      <c r="B13" s="11" t="s">
        <v>12</v>
      </c>
      <c r="C13" s="29">
        <v>167641</v>
      </c>
      <c r="D13"/>
      <c r="E13" s="11" t="s">
        <v>12</v>
      </c>
      <c r="F13" s="29">
        <v>166286</v>
      </c>
      <c r="G13"/>
      <c r="H13" s="21" t="s">
        <v>12</v>
      </c>
      <c r="I13" s="30">
        <f>SUMIFS(Data!$H$7:$H$450, Data!$B$7:$B$450, "May", Data!$C$7:$C$450, "2022")</f>
        <v>167641</v>
      </c>
      <c r="J13" s="30">
        <f>SUMIFS(Data!$H$7:$H$450, Data!$B$7:$B$450, "May", Data!$C$7:$C$450, "2023")</f>
        <v>166286</v>
      </c>
      <c r="K13" s="31">
        <f t="shared" si="0"/>
        <v>7.8770302943026699E-2</v>
      </c>
      <c r="L13" s="30">
        <f>Data!K7</f>
        <v>175000</v>
      </c>
      <c r="M13" s="30">
        <f>SUM($J$9:J13)</f>
        <v>956819</v>
      </c>
      <c r="N13" s="30">
        <f>SUM($L$9:L13)</f>
        <v>805000</v>
      </c>
    </row>
    <row r="14" spans="2:14" ht="14.4" x14ac:dyDescent="0.3">
      <c r="B14" s="11" t="s">
        <v>13</v>
      </c>
      <c r="C14" s="29">
        <v>107904</v>
      </c>
      <c r="D14"/>
      <c r="E14" s="11" t="s">
        <v>13</v>
      </c>
      <c r="F14" s="29">
        <v>76713</v>
      </c>
      <c r="G14"/>
      <c r="H14" s="21" t="s">
        <v>13</v>
      </c>
      <c r="I14" s="30">
        <f>SUMIFS(Data!$H$7:$H$450, Data!$B$7:$B$450, "June", Data!$C$7:$C$450, "2022")</f>
        <v>107904</v>
      </c>
      <c r="J14" s="30">
        <f>SUMIFS(Data!$H$7:$H$450, Data!$B$7:$B$450, "June", Data!$C$7:$C$450, "2023")</f>
        <v>76713</v>
      </c>
      <c r="K14" s="31">
        <f t="shared" si="0"/>
        <v>3.633923631375105E-2</v>
      </c>
      <c r="L14" s="30">
        <f>Data!K8</f>
        <v>125000</v>
      </c>
      <c r="M14" s="30">
        <f>SUM($J$9:J14)</f>
        <v>1033532</v>
      </c>
      <c r="N14" s="30">
        <f>SUM($L$9:L14)</f>
        <v>930000</v>
      </c>
    </row>
    <row r="15" spans="2:14" ht="14.4" x14ac:dyDescent="0.3">
      <c r="B15" s="11" t="s">
        <v>14</v>
      </c>
      <c r="C15" s="29">
        <v>81203</v>
      </c>
      <c r="D15"/>
      <c r="E15" s="11" t="s">
        <v>14</v>
      </c>
      <c r="F15" s="29">
        <v>90496</v>
      </c>
      <c r="G15"/>
      <c r="H15" s="21" t="s">
        <v>14</v>
      </c>
      <c r="I15" s="30">
        <f>SUMIFS(Data!$H$7:$H$450, Data!$B$7:$B$450, "July", Data!$C$7:$C$450, "2022")</f>
        <v>81203</v>
      </c>
      <c r="J15" s="30">
        <f>SUMIFS(Data!$H$7:$H$450, Data!$B$7:$B$450, "July", Data!$C$7:$C$450, "2023")</f>
        <v>90496</v>
      </c>
      <c r="K15" s="31">
        <f t="shared" si="0"/>
        <v>4.2868295197022864E-2</v>
      </c>
      <c r="L15" s="30">
        <f>Data!K9</f>
        <v>130000</v>
      </c>
      <c r="M15" s="30">
        <f>SUM($J$9:J15)</f>
        <v>1124028</v>
      </c>
      <c r="N15" s="30">
        <f>SUM($L$9:L15)</f>
        <v>1060000</v>
      </c>
    </row>
    <row r="16" spans="2:14" ht="14.4" x14ac:dyDescent="0.3">
      <c r="B16" s="11" t="s">
        <v>15</v>
      </c>
      <c r="C16" s="29">
        <v>211475</v>
      </c>
      <c r="D16"/>
      <c r="E16" s="11" t="s">
        <v>15</v>
      </c>
      <c r="F16" s="29">
        <v>167439</v>
      </c>
      <c r="G16"/>
      <c r="H16" s="21" t="s">
        <v>15</v>
      </c>
      <c r="I16" s="30">
        <f>SUMIFS(Data!$H$7:$H$450, Data!$B$7:$B$450, "August", Data!$C$7:$C$450, "2022")</f>
        <v>211475</v>
      </c>
      <c r="J16" s="30">
        <f>SUMIFS(Data!$H$7:$H$450, Data!$B$7:$B$450, "August", Data!$C$7:$C$450, "2023")</f>
        <v>167439</v>
      </c>
      <c r="K16" s="31">
        <f t="shared" si="0"/>
        <v>7.9316483374892943E-2</v>
      </c>
      <c r="L16" s="30">
        <f>Data!K10</f>
        <v>160000</v>
      </c>
      <c r="M16" s="30">
        <f>SUM($J$9:J16)</f>
        <v>1291467</v>
      </c>
      <c r="N16" s="30">
        <f>SUM($L$9:L16)</f>
        <v>1220000</v>
      </c>
    </row>
    <row r="17" spans="2:14" ht="14.4" x14ac:dyDescent="0.3">
      <c r="B17" s="11" t="s">
        <v>16</v>
      </c>
      <c r="C17" s="29">
        <v>175700</v>
      </c>
      <c r="D17"/>
      <c r="E17" s="11" t="s">
        <v>16</v>
      </c>
      <c r="F17" s="29">
        <v>90389</v>
      </c>
      <c r="G17"/>
      <c r="H17" s="21" t="s">
        <v>16</v>
      </c>
      <c r="I17" s="30">
        <f>SUMIFS(Data!$H$7:$H$450, Data!$B$7:$B$450, "September", Data!$C$7:$C$450, "2022")</f>
        <v>175700</v>
      </c>
      <c r="J17" s="30">
        <f>SUMIFS(Data!$H$7:$H$450, Data!$B$7:$B$450, "September", Data!$C$7:$C$450, "2023")</f>
        <v>90389</v>
      </c>
      <c r="K17" s="31">
        <f t="shared" si="0"/>
        <v>4.281760889501967E-2</v>
      </c>
      <c r="L17" s="30">
        <f>Data!K11</f>
        <v>220000</v>
      </c>
      <c r="M17" s="30">
        <f>SUM($J$9:J17)</f>
        <v>1381856</v>
      </c>
      <c r="N17" s="30">
        <f>SUM($L$9:L17)</f>
        <v>1440000</v>
      </c>
    </row>
    <row r="18" spans="2:14" ht="14.4" x14ac:dyDescent="0.3">
      <c r="B18" s="11" t="s">
        <v>17</v>
      </c>
      <c r="C18" s="29">
        <v>180287</v>
      </c>
      <c r="D18"/>
      <c r="E18" s="11" t="s">
        <v>17</v>
      </c>
      <c r="F18" s="29">
        <v>347092</v>
      </c>
      <c r="G18"/>
      <c r="H18" s="21" t="s">
        <v>17</v>
      </c>
      <c r="I18" s="30">
        <f>SUMIFS(Data!$H$7:$H$450, Data!$B$7:$B$450, "October", Data!$C$7:$C$450, "2022")</f>
        <v>180287</v>
      </c>
      <c r="J18" s="30">
        <f>SUMIFS(Data!$H$7:$H$450, Data!$B$7:$B$450, "October", Data!$C$7:$C$450, "2023")</f>
        <v>347092</v>
      </c>
      <c r="K18" s="31">
        <f t="shared" si="0"/>
        <v>0.16441878443826313</v>
      </c>
      <c r="L18" s="30">
        <f>Data!K12</f>
        <v>200000</v>
      </c>
      <c r="M18" s="30">
        <f>SUM($J$9:J18)</f>
        <v>1728948</v>
      </c>
      <c r="N18" s="30">
        <f>SUM($L$9:L18)</f>
        <v>1640000</v>
      </c>
    </row>
    <row r="19" spans="2:14" ht="14.4" x14ac:dyDescent="0.3">
      <c r="B19" s="11" t="s">
        <v>18</v>
      </c>
      <c r="C19" s="29">
        <v>219265</v>
      </c>
      <c r="D19"/>
      <c r="E19" s="11" t="s">
        <v>18</v>
      </c>
      <c r="F19" s="29">
        <v>293132</v>
      </c>
      <c r="G19"/>
      <c r="H19" s="21" t="s">
        <v>18</v>
      </c>
      <c r="I19" s="30">
        <f>SUMIFS(Data!$H$7:$H$450, Data!$B$7:$B$450, "November", Data!$C$7:$C$450, "2022")</f>
        <v>219265</v>
      </c>
      <c r="J19" s="30">
        <f>SUMIFS(Data!$H$7:$H$450, Data!$B$7:$B$450, "November", Data!$C$7:$C$450, "2023")</f>
        <v>293132</v>
      </c>
      <c r="K19" s="31">
        <f t="shared" si="0"/>
        <v>0.13885772970842586</v>
      </c>
      <c r="L19" s="30">
        <f>Data!K13</f>
        <v>170000</v>
      </c>
      <c r="M19" s="30">
        <f>SUM($J$9:J19)</f>
        <v>2022080</v>
      </c>
      <c r="N19" s="30">
        <f>SUM($L$9:L19)</f>
        <v>1810000</v>
      </c>
    </row>
    <row r="20" spans="2:14" ht="14.4" x14ac:dyDescent="0.3">
      <c r="B20" s="11" t="s">
        <v>19</v>
      </c>
      <c r="C20" s="29">
        <v>178928</v>
      </c>
      <c r="D20"/>
      <c r="E20" s="11" t="s">
        <v>19</v>
      </c>
      <c r="F20" s="29">
        <v>88944</v>
      </c>
      <c r="G20"/>
      <c r="H20" s="21" t="s">
        <v>19</v>
      </c>
      <c r="I20" s="30">
        <f>SUMIFS(Data!$H$7:$H$450, Data!$B$7:$B$450, "December", Data!$C$7:$C$450, "2022")</f>
        <v>178928</v>
      </c>
      <c r="J20" s="30">
        <f>SUMIFS(Data!$H$7:$H$450, Data!$B$7:$B$450, "December", Data!$C$7:$C$450, "2023")</f>
        <v>88944</v>
      </c>
      <c r="K20" s="31">
        <f t="shared" si="0"/>
        <v>4.2133106966097969E-2</v>
      </c>
      <c r="L20" s="30">
        <f>Data!K14</f>
        <v>140000</v>
      </c>
      <c r="M20" s="30">
        <f>SUM($J$9:J20)</f>
        <v>2111024</v>
      </c>
      <c r="N20" s="30">
        <f>SUM($L$9:L20)</f>
        <v>1950000</v>
      </c>
    </row>
    <row r="21" spans="2:14" ht="14.4" x14ac:dyDescent="0.3">
      <c r="B21" s="11" t="s">
        <v>144</v>
      </c>
      <c r="C21" s="29">
        <v>1972759</v>
      </c>
      <c r="D21"/>
      <c r="E21" s="11" t="s">
        <v>144</v>
      </c>
      <c r="F21" s="29">
        <v>2111024</v>
      </c>
      <c r="G21"/>
      <c r="I21" s="32">
        <f>SUM(I9:I20)</f>
        <v>1972759</v>
      </c>
      <c r="J21" s="32">
        <f>SUM(J9:J20)</f>
        <v>2111024</v>
      </c>
      <c r="K21" s="33">
        <f>SUM(K9:K20)</f>
        <v>1</v>
      </c>
      <c r="L21" s="32">
        <f>SUM(L9:L20)</f>
        <v>1950000</v>
      </c>
      <c r="M21" s="32"/>
      <c r="N21" s="32"/>
    </row>
    <row r="22" spans="2:14" ht="14.4" x14ac:dyDescent="0.3">
      <c r="B22"/>
      <c r="C22"/>
      <c r="D22"/>
    </row>
    <row r="23" spans="2:14" ht="14.4" x14ac:dyDescent="0.3">
      <c r="B23"/>
      <c r="C23"/>
      <c r="D23"/>
    </row>
    <row r="24" spans="2:14" ht="18" customHeight="1" x14ac:dyDescent="0.25">
      <c r="H24" s="35" t="s">
        <v>154</v>
      </c>
      <c r="I24" s="35" t="s">
        <v>155</v>
      </c>
    </row>
    <row r="25" spans="2:14" x14ac:dyDescent="0.25">
      <c r="H25" s="37" t="str">
        <f>Data!N3</f>
        <v>1-10 Employees</v>
      </c>
      <c r="I25" s="36">
        <f>COUNTIF(Data!$F$7:$F$450,Calculations!H25)</f>
        <v>47</v>
      </c>
      <c r="J25" s="2"/>
      <c r="K25" s="2"/>
    </row>
    <row r="26" spans="2:14" x14ac:dyDescent="0.25">
      <c r="H26" s="37" t="str">
        <f>Data!N4</f>
        <v>11-50 Employees</v>
      </c>
      <c r="I26" s="36">
        <f>COUNTIF(Data!$F$7:$F$450,Calculations!H26)</f>
        <v>266</v>
      </c>
      <c r="J26" s="2"/>
      <c r="K26" s="2"/>
    </row>
    <row r="27" spans="2:14" x14ac:dyDescent="0.25">
      <c r="H27" s="37" t="str">
        <f>Data!N5</f>
        <v>51-100 Employees</v>
      </c>
      <c r="I27" s="36">
        <f>COUNTIF(Data!$F$7:$F$450,Calculations!H27)</f>
        <v>81</v>
      </c>
      <c r="J27" s="2"/>
      <c r="K27" s="2"/>
    </row>
    <row r="28" spans="2:14" x14ac:dyDescent="0.25">
      <c r="H28" s="37" t="str">
        <f>Data!N6</f>
        <v>100-1000 Employees</v>
      </c>
      <c r="I28" s="36">
        <f>COUNTIF(Data!$F$7:$F$450,Calculations!H28)</f>
        <v>50</v>
      </c>
      <c r="J28" s="2"/>
      <c r="K28" s="2"/>
    </row>
    <row r="29" spans="2:14" x14ac:dyDescent="0.25">
      <c r="I29" s="34"/>
      <c r="J29" s="2"/>
      <c r="K29" s="2"/>
    </row>
    <row r="30" spans="2:14" x14ac:dyDescent="0.25">
      <c r="H30" s="35" t="s">
        <v>156</v>
      </c>
      <c r="I30" s="35" t="s">
        <v>155</v>
      </c>
    </row>
    <row r="31" spans="2:14" x14ac:dyDescent="0.25">
      <c r="H31" s="37" t="s">
        <v>134</v>
      </c>
      <c r="I31" s="36">
        <f>COUNTIF(Data!$G$7:$G$450,Calculations!H31)</f>
        <v>83</v>
      </c>
    </row>
    <row r="32" spans="2:14" x14ac:dyDescent="0.25">
      <c r="H32" s="37" t="s">
        <v>135</v>
      </c>
      <c r="I32" s="36">
        <f>COUNTIF(Data!$G$7:$G$450,Calculations!H32)</f>
        <v>143</v>
      </c>
    </row>
    <row r="33" spans="6:13" x14ac:dyDescent="0.25">
      <c r="F33" s="2"/>
      <c r="G33" s="2"/>
      <c r="H33" s="37" t="s">
        <v>136</v>
      </c>
      <c r="I33" s="36">
        <f>COUNTIF(Data!$G$7:$G$450,Calculations!H33)</f>
        <v>208</v>
      </c>
    </row>
    <row r="34" spans="6:13" x14ac:dyDescent="0.25">
      <c r="H34" s="37" t="s">
        <v>137</v>
      </c>
      <c r="I34" s="36">
        <f>COUNTIF(Data!$G$7:$G$450,Calculations!H34)</f>
        <v>10</v>
      </c>
    </row>
    <row r="35" spans="6:13" x14ac:dyDescent="0.25">
      <c r="I35" s="34"/>
    </row>
    <row r="36" spans="6:13" x14ac:dyDescent="0.25">
      <c r="I36" s="34"/>
    </row>
    <row r="37" spans="6:13" x14ac:dyDescent="0.25">
      <c r="I37" s="34"/>
    </row>
    <row r="39" spans="6:13" x14ac:dyDescent="0.25">
      <c r="H39" s="21" t="s">
        <v>146</v>
      </c>
      <c r="I39" s="5" t="str">
        <f>Data!M3</f>
        <v>Germany</v>
      </c>
      <c r="J39" s="5" t="str">
        <f>Data!M4</f>
        <v>USA</v>
      </c>
      <c r="K39" s="5" t="str">
        <f>Data!M5</f>
        <v>France</v>
      </c>
      <c r="L39" s="5" t="str">
        <f>Data!M6</f>
        <v>Italy</v>
      </c>
      <c r="M39" s="5" t="str">
        <f>Data!M7</f>
        <v>Norway</v>
      </c>
    </row>
    <row r="40" spans="6:13" x14ac:dyDescent="0.25">
      <c r="H40" s="21" t="s">
        <v>8</v>
      </c>
      <c r="I40" s="30">
        <f>SUMIFS(Data!$H$7:$H$450, Data!$B$7:$B$450, "January", Data!$E$7:$E$450, I$39)</f>
        <v>48688</v>
      </c>
      <c r="J40" s="30">
        <f>SUMIFS(Data!$H$7:$H$450, Data!$B$7:$B$450, "January", Data!$E$7:$E$450, J$39)</f>
        <v>16907</v>
      </c>
      <c r="K40" s="30">
        <f>SUMIFS(Data!$H$7:$H$450, Data!$B$7:$B$450, "January", Data!$E$7:$E$450, K$39)</f>
        <v>49652</v>
      </c>
      <c r="L40" s="30">
        <f>SUMIFS(Data!$H$7:$H$450, Data!$B$7:$B$450, "January", Data!$E$7:$E$450, L$39)</f>
        <v>95240</v>
      </c>
      <c r="M40" s="30">
        <f>SUMIFS(Data!$H$7:$H$450, Data!$B$7:$B$450, "January", Data!$E$7:$E$450, M$39)</f>
        <v>48600</v>
      </c>
    </row>
    <row r="41" spans="6:13" x14ac:dyDescent="0.25">
      <c r="H41" s="21" t="s">
        <v>9</v>
      </c>
      <c r="I41" s="30">
        <f>SUMIFS(Data!$H$7:$H$450, Data!$B$7:$B$450, "February", Data!$E$7:$E$450, I$39)</f>
        <v>70667</v>
      </c>
      <c r="J41" s="30">
        <f>SUMIFS(Data!$H$7:$H$450, Data!$B$7:$B$450, "February", Data!$E$7:$E$450, J$39)</f>
        <v>8349</v>
      </c>
      <c r="K41" s="30">
        <f>SUMIFS(Data!$H$7:$H$450, Data!$B$7:$B$450, "February", Data!$E$7:$E$450, K$39)</f>
        <v>16173</v>
      </c>
      <c r="L41" s="30">
        <f>SUMIFS(Data!$H$7:$H$450, Data!$B$7:$B$450, "February", Data!$E$7:$E$450, L$39)</f>
        <v>251415</v>
      </c>
      <c r="M41" s="30">
        <f>SUMIFS(Data!$H$7:$H$450, Data!$B$7:$B$450, "February", Data!$E$7:$E$450, M$39)</f>
        <v>11497</v>
      </c>
    </row>
    <row r="42" spans="6:13" x14ac:dyDescent="0.25">
      <c r="H42" s="21" t="s">
        <v>10</v>
      </c>
      <c r="I42" s="30">
        <f>SUMIFS(Data!$H$7:$H$450, Data!$B$7:$B$450, "March", Data!$E$7:$E$450, I$39)</f>
        <v>37433</v>
      </c>
      <c r="J42" s="30">
        <f>SUMIFS(Data!$H$7:$H$450, Data!$B$7:$B$450, "March", Data!$E$7:$E$450, J$39)</f>
        <v>30120</v>
      </c>
      <c r="K42" s="30">
        <f>SUMIFS(Data!$H$7:$H$450, Data!$B$7:$B$450, "March", Data!$E$7:$E$450, K$39)</f>
        <v>44875</v>
      </c>
      <c r="L42" s="30">
        <f>SUMIFS(Data!$H$7:$H$450, Data!$B$7:$B$450, "March", Data!$E$7:$E$450, L$39)</f>
        <v>363771</v>
      </c>
      <c r="M42" s="30">
        <f>SUMIFS(Data!$H$7:$H$450, Data!$B$7:$B$450, "March", Data!$E$7:$E$450, M$39)</f>
        <v>73815</v>
      </c>
    </row>
    <row r="43" spans="6:13" x14ac:dyDescent="0.25">
      <c r="H43" s="21" t="s">
        <v>11</v>
      </c>
      <c r="I43" s="30">
        <f>SUMIFS(Data!$H$7:$H$450, Data!$B$7:$B$450, "April", Data!$E$7:$E$450, I$39)</f>
        <v>10942</v>
      </c>
      <c r="J43" s="30">
        <f>SUMIFS(Data!$H$7:$H$450, Data!$B$7:$B$450, "April", Data!$E$7:$E$450, J$39)</f>
        <v>16161</v>
      </c>
      <c r="K43" s="30">
        <f>SUMIFS(Data!$H$7:$H$450, Data!$B$7:$B$450, "April", Data!$E$7:$E$450, K$39)</f>
        <v>23572</v>
      </c>
      <c r="L43" s="30">
        <f>SUMIFS(Data!$H$7:$H$450, Data!$B$7:$B$450, "April", Data!$E$7:$E$450, L$39)</f>
        <v>203945</v>
      </c>
      <c r="M43" s="30">
        <f>SUMIFS(Data!$H$7:$H$450, Data!$B$7:$B$450, "April", Data!$E$7:$E$450, M$39)</f>
        <v>19067</v>
      </c>
    </row>
    <row r="44" spans="6:13" x14ac:dyDescent="0.25">
      <c r="H44" s="21" t="s">
        <v>12</v>
      </c>
      <c r="I44" s="30">
        <f>SUMIFS(Data!$H$7:$H$450, Data!$B$7:$B$450, "May", Data!$E$7:$E$450, I$39)</f>
        <v>27962</v>
      </c>
      <c r="J44" s="30">
        <f>SUMIFS(Data!$H$7:$H$450, Data!$B$7:$B$450, "May", Data!$E$7:$E$450, J$39)</f>
        <v>57318</v>
      </c>
      <c r="K44" s="30">
        <f>SUMIFS(Data!$H$7:$H$450, Data!$B$7:$B$450, "May", Data!$E$7:$E$450, K$39)</f>
        <v>27213</v>
      </c>
      <c r="L44" s="30">
        <f>SUMIFS(Data!$H$7:$H$450, Data!$B$7:$B$450, "May", Data!$E$7:$E$450, L$39)</f>
        <v>177849</v>
      </c>
      <c r="M44" s="30">
        <f>SUMIFS(Data!$H$7:$H$450, Data!$B$7:$B$450, "May", Data!$E$7:$E$450, M$39)</f>
        <v>43585</v>
      </c>
    </row>
    <row r="45" spans="6:13" x14ac:dyDescent="0.25">
      <c r="H45" s="21" t="s">
        <v>13</v>
      </c>
      <c r="I45" s="30">
        <f>SUMIFS(Data!$H$7:$H$450, Data!$B$7:$B$450, "June", Data!$E$7:$E$450, I$39)</f>
        <v>25807</v>
      </c>
      <c r="J45" s="30">
        <f>SUMIFS(Data!$H$7:$H$450, Data!$B$7:$B$450, "June", Data!$E$7:$E$450, J$39)</f>
        <v>61968</v>
      </c>
      <c r="K45" s="30">
        <f>SUMIFS(Data!$H$7:$H$450, Data!$B$7:$B$450, "June", Data!$E$7:$E$450, K$39)</f>
        <v>15257</v>
      </c>
      <c r="L45" s="30">
        <f>SUMIFS(Data!$H$7:$H$450, Data!$B$7:$B$450, "June", Data!$E$7:$E$450, L$39)</f>
        <v>71034</v>
      </c>
      <c r="M45" s="30">
        <f>SUMIFS(Data!$H$7:$H$450, Data!$B$7:$B$450, "June", Data!$E$7:$E$450, M$39)</f>
        <v>10551</v>
      </c>
    </row>
    <row r="46" spans="6:13" x14ac:dyDescent="0.25">
      <c r="H46" s="21" t="s">
        <v>14</v>
      </c>
      <c r="I46" s="30">
        <f>SUMIFS(Data!$H$7:$H$450, Data!$B$7:$B$450, "July", Data!$E$7:$E$450, I$39)</f>
        <v>16920</v>
      </c>
      <c r="J46" s="30">
        <f>SUMIFS(Data!$H$7:$H$450, Data!$B$7:$B$450, "July", Data!$E$7:$E$450, J$39)</f>
        <v>1603</v>
      </c>
      <c r="K46" s="30">
        <f>SUMIFS(Data!$H$7:$H$450, Data!$B$7:$B$450, "July", Data!$E$7:$E$450, K$39)</f>
        <v>0</v>
      </c>
      <c r="L46" s="30">
        <f>SUMIFS(Data!$H$7:$H$450, Data!$B$7:$B$450, "July", Data!$E$7:$E$450, L$39)</f>
        <v>153176</v>
      </c>
      <c r="M46" s="30">
        <f>SUMIFS(Data!$H$7:$H$450, Data!$B$7:$B$450, "July", Data!$E$7:$E$450, M$39)</f>
        <v>0</v>
      </c>
    </row>
    <row r="47" spans="6:13" x14ac:dyDescent="0.25">
      <c r="H47" s="21" t="s">
        <v>15</v>
      </c>
      <c r="I47" s="30">
        <f>SUMIFS(Data!$H$7:$H$450, Data!$B$7:$B$450, "August", Data!$E$7:$E$450, I$39)</f>
        <v>74402</v>
      </c>
      <c r="J47" s="30">
        <f>SUMIFS(Data!$H$7:$H$450, Data!$B$7:$B$450, "August", Data!$E$7:$E$450, J$39)</f>
        <v>19000</v>
      </c>
      <c r="K47" s="30">
        <f>SUMIFS(Data!$H$7:$H$450, Data!$B$7:$B$450, "August", Data!$E$7:$E$450, K$39)</f>
        <v>50852</v>
      </c>
      <c r="L47" s="30">
        <f>SUMIFS(Data!$H$7:$H$450, Data!$B$7:$B$450, "August", Data!$E$7:$E$450, L$39)</f>
        <v>176995</v>
      </c>
      <c r="M47" s="30">
        <f>SUMIFS(Data!$H$7:$H$450, Data!$B$7:$B$450, "August", Data!$E$7:$E$450, M$39)</f>
        <v>57665</v>
      </c>
    </row>
    <row r="48" spans="6:13" x14ac:dyDescent="0.25">
      <c r="H48" s="21" t="s">
        <v>16</v>
      </c>
      <c r="I48" s="30">
        <f>SUMIFS(Data!$H$7:$H$450, Data!$B$7:$B$450, "September", Data!$E$7:$E$450, I$39)</f>
        <v>29366</v>
      </c>
      <c r="J48" s="30">
        <f>SUMIFS(Data!$H$7:$H$450, Data!$B$7:$B$450, "September", Data!$E$7:$E$450, J$39)</f>
        <v>18078</v>
      </c>
      <c r="K48" s="30">
        <f>SUMIFS(Data!$H$7:$H$450, Data!$B$7:$B$450, "September", Data!$E$7:$E$450, K$39)</f>
        <v>41228</v>
      </c>
      <c r="L48" s="30">
        <f>SUMIFS(Data!$H$7:$H$450, Data!$B$7:$B$450, "September", Data!$E$7:$E$450, L$39)</f>
        <v>145350</v>
      </c>
      <c r="M48" s="30">
        <f>SUMIFS(Data!$H$7:$H$450, Data!$B$7:$B$450, "September", Data!$E$7:$E$450, M$39)</f>
        <v>32067</v>
      </c>
    </row>
    <row r="49" spans="8:14" x14ac:dyDescent="0.25">
      <c r="H49" s="21" t="s">
        <v>17</v>
      </c>
      <c r="I49" s="30">
        <f>SUMIFS(Data!$H$7:$H$450, Data!$B$7:$B$450, "October", Data!$E$7:$E$450, I$39)</f>
        <v>34081</v>
      </c>
      <c r="J49" s="30">
        <f>SUMIFS(Data!$H$7:$H$450, Data!$B$7:$B$450, "October", Data!$E$7:$E$450, J$39)</f>
        <v>83660</v>
      </c>
      <c r="K49" s="30">
        <f>SUMIFS(Data!$H$7:$H$450, Data!$B$7:$B$450, "October", Data!$E$7:$E$450, K$39)</f>
        <v>51472</v>
      </c>
      <c r="L49" s="30">
        <f>SUMIFS(Data!$H$7:$H$450, Data!$B$7:$B$450, "October", Data!$E$7:$E$450, L$39)</f>
        <v>353094</v>
      </c>
      <c r="M49" s="30">
        <f>SUMIFS(Data!$H$7:$H$450, Data!$B$7:$B$450, "October", Data!$E$7:$E$450, M$39)</f>
        <v>5072</v>
      </c>
    </row>
    <row r="50" spans="8:14" x14ac:dyDescent="0.25">
      <c r="H50" s="21" t="s">
        <v>18</v>
      </c>
      <c r="I50" s="30">
        <f>SUMIFS(Data!$H$7:$H$450, Data!$B$7:$B$450, "November", Data!$E$7:$E$450, I$39)</f>
        <v>55847</v>
      </c>
      <c r="J50" s="30">
        <f>SUMIFS(Data!$H$7:$H$450, Data!$B$7:$B$450, "November", Data!$E$7:$E$450, J$39)</f>
        <v>18124</v>
      </c>
      <c r="K50" s="30">
        <f>SUMIFS(Data!$H$7:$H$450, Data!$B$7:$B$450, "November", Data!$E$7:$E$450, K$39)</f>
        <v>62872</v>
      </c>
      <c r="L50" s="30">
        <f>SUMIFS(Data!$H$7:$H$450, Data!$B$7:$B$450, "November", Data!$E$7:$E$450, L$39)</f>
        <v>302046</v>
      </c>
      <c r="M50" s="30">
        <f>SUMIFS(Data!$H$7:$H$450, Data!$B$7:$B$450, "November", Data!$E$7:$E$450, M$39)</f>
        <v>73508</v>
      </c>
    </row>
    <row r="51" spans="8:14" x14ac:dyDescent="0.25">
      <c r="H51" s="21" t="s">
        <v>19</v>
      </c>
      <c r="I51" s="30">
        <f>SUMIFS(Data!$H$7:$H$450, Data!$B$7:$B$450, "December", Data!$E$7:$E$450, I$39)</f>
        <v>1499</v>
      </c>
      <c r="J51" s="30">
        <f>SUMIFS(Data!$H$7:$H$450, Data!$B$7:$B$450, "December", Data!$E$7:$E$450, J$39)</f>
        <v>10157</v>
      </c>
      <c r="K51" s="30">
        <f>SUMIFS(Data!$H$7:$H$450, Data!$B$7:$B$450, "December", Data!$E$7:$E$450, K$39)</f>
        <v>77093</v>
      </c>
      <c r="L51" s="30">
        <f>SUMIFS(Data!$H$7:$H$450, Data!$B$7:$B$450, "December", Data!$E$7:$E$450, L$39)</f>
        <v>153456</v>
      </c>
      <c r="M51" s="30">
        <f>SUMIFS(Data!$H$7:$H$450, Data!$B$7:$B$450, "December", Data!$E$7:$E$450, M$39)</f>
        <v>25667</v>
      </c>
    </row>
    <row r="52" spans="8:14" x14ac:dyDescent="0.25">
      <c r="H52" s="38" t="s">
        <v>157</v>
      </c>
      <c r="I52" s="32">
        <f>SUM(I40:I51)</f>
        <v>433614</v>
      </c>
      <c r="J52" s="32">
        <f t="shared" ref="J52:M52" si="1">SUM(J40:J51)</f>
        <v>341445</v>
      </c>
      <c r="K52" s="32">
        <f t="shared" si="1"/>
        <v>460259</v>
      </c>
      <c r="L52" s="32">
        <f t="shared" si="1"/>
        <v>2447371</v>
      </c>
      <c r="M52" s="32">
        <f t="shared" si="1"/>
        <v>401094</v>
      </c>
      <c r="N52" s="39">
        <f>SUM(I52:M52)</f>
        <v>4083783</v>
      </c>
    </row>
    <row r="53" spans="8:14" x14ac:dyDescent="0.25">
      <c r="I53" s="34"/>
    </row>
    <row r="54" spans="8:14" x14ac:dyDescent="0.25">
      <c r="I54" s="34"/>
    </row>
    <row r="55" spans="8:14" x14ac:dyDescent="0.25">
      <c r="I55" s="34"/>
    </row>
    <row r="56" spans="8:14" x14ac:dyDescent="0.25">
      <c r="I56" s="34"/>
    </row>
    <row r="57" spans="8:14" x14ac:dyDescent="0.25">
      <c r="I57" s="34"/>
    </row>
    <row r="58" spans="8:14" x14ac:dyDescent="0.25">
      <c r="I58" s="34"/>
    </row>
    <row r="59" spans="8:14" x14ac:dyDescent="0.25">
      <c r="I59" s="34"/>
    </row>
    <row r="60" spans="8:14" x14ac:dyDescent="0.25">
      <c r="I60" s="34"/>
    </row>
    <row r="61" spans="8:14" x14ac:dyDescent="0.25">
      <c r="I61" s="34"/>
    </row>
    <row r="62" spans="8:14" x14ac:dyDescent="0.25">
      <c r="I62" s="34"/>
    </row>
    <row r="63" spans="8:14" x14ac:dyDescent="0.25">
      <c r="I63" s="34"/>
    </row>
    <row r="64" spans="8:14" x14ac:dyDescent="0.25">
      <c r="I64" s="34"/>
    </row>
    <row r="65" spans="9:9" x14ac:dyDescent="0.25">
      <c r="I65" s="34"/>
    </row>
    <row r="66" spans="9:9" x14ac:dyDescent="0.25">
      <c r="I66" s="34"/>
    </row>
    <row r="67" spans="9:9" x14ac:dyDescent="0.25">
      <c r="I67" s="34"/>
    </row>
    <row r="68" spans="9:9" x14ac:dyDescent="0.25">
      <c r="I68" s="34"/>
    </row>
    <row r="69" spans="9:9" x14ac:dyDescent="0.25">
      <c r="I69" s="34"/>
    </row>
    <row r="70" spans="9:9" x14ac:dyDescent="0.25">
      <c r="I70" s="34"/>
    </row>
    <row r="71" spans="9:9" x14ac:dyDescent="0.25">
      <c r="I71" s="34"/>
    </row>
    <row r="72" spans="9:9" x14ac:dyDescent="0.25">
      <c r="I72" s="34"/>
    </row>
    <row r="73" spans="9:9" x14ac:dyDescent="0.25">
      <c r="I73" s="34"/>
    </row>
    <row r="74" spans="9:9" x14ac:dyDescent="0.25">
      <c r="I74" s="34"/>
    </row>
    <row r="75" spans="9:9" x14ac:dyDescent="0.25">
      <c r="I75" s="34"/>
    </row>
    <row r="76" spans="9:9" x14ac:dyDescent="0.25">
      <c r="I76" s="34"/>
    </row>
    <row r="77" spans="9:9" x14ac:dyDescent="0.25">
      <c r="I77" s="34"/>
    </row>
    <row r="78" spans="9:9" x14ac:dyDescent="0.25">
      <c r="I78" s="34"/>
    </row>
    <row r="79" spans="9:9" x14ac:dyDescent="0.25">
      <c r="I79" s="34"/>
    </row>
    <row r="80" spans="9:9" x14ac:dyDescent="0.25">
      <c r="I80" s="34"/>
    </row>
    <row r="81" spans="9:9" x14ac:dyDescent="0.25">
      <c r="I81" s="34"/>
    </row>
    <row r="82" spans="9:9" x14ac:dyDescent="0.25">
      <c r="I82" s="34"/>
    </row>
    <row r="83" spans="9:9" x14ac:dyDescent="0.25">
      <c r="I83" s="34"/>
    </row>
    <row r="84" spans="9:9" x14ac:dyDescent="0.25">
      <c r="I84" s="34"/>
    </row>
    <row r="85" spans="9:9" x14ac:dyDescent="0.25">
      <c r="I85" s="34"/>
    </row>
    <row r="86" spans="9:9" x14ac:dyDescent="0.25">
      <c r="I86" s="34"/>
    </row>
    <row r="87" spans="9:9" x14ac:dyDescent="0.25">
      <c r="I87" s="34"/>
    </row>
    <row r="88" spans="9:9" x14ac:dyDescent="0.25">
      <c r="I88" s="34"/>
    </row>
    <row r="89" spans="9:9" x14ac:dyDescent="0.25">
      <c r="I89" s="34"/>
    </row>
    <row r="90" spans="9:9" x14ac:dyDescent="0.25">
      <c r="I90" s="34"/>
    </row>
    <row r="91" spans="9:9" x14ac:dyDescent="0.25">
      <c r="I91" s="34"/>
    </row>
    <row r="92" spans="9:9" x14ac:dyDescent="0.25">
      <c r="I92" s="34"/>
    </row>
    <row r="93" spans="9:9" x14ac:dyDescent="0.25">
      <c r="I93" s="34"/>
    </row>
    <row r="94" spans="9:9" x14ac:dyDescent="0.25">
      <c r="I94" s="34"/>
    </row>
    <row r="95" spans="9:9" x14ac:dyDescent="0.25">
      <c r="I95" s="34"/>
    </row>
    <row r="96" spans="9:9" x14ac:dyDescent="0.25">
      <c r="I96" s="34"/>
    </row>
    <row r="97" spans="9:9" x14ac:dyDescent="0.25">
      <c r="I97" s="34"/>
    </row>
    <row r="98" spans="9:9" x14ac:dyDescent="0.25">
      <c r="I98" s="34"/>
    </row>
    <row r="99" spans="9:9" x14ac:dyDescent="0.25">
      <c r="I99" s="34"/>
    </row>
    <row r="100" spans="9:9" x14ac:dyDescent="0.25">
      <c r="I100" s="34"/>
    </row>
    <row r="101" spans="9:9" x14ac:dyDescent="0.25">
      <c r="I101" s="34"/>
    </row>
    <row r="102" spans="9:9" x14ac:dyDescent="0.25">
      <c r="I102" s="34"/>
    </row>
    <row r="103" spans="9:9" x14ac:dyDescent="0.25">
      <c r="I103" s="34"/>
    </row>
    <row r="104" spans="9:9" x14ac:dyDescent="0.25">
      <c r="I104" s="34"/>
    </row>
    <row r="105" spans="9:9" x14ac:dyDescent="0.25">
      <c r="I105" s="34"/>
    </row>
    <row r="106" spans="9:9" x14ac:dyDescent="0.25">
      <c r="I106" s="34"/>
    </row>
    <row r="107" spans="9:9" x14ac:dyDescent="0.25">
      <c r="I107" s="34"/>
    </row>
    <row r="108" spans="9:9" x14ac:dyDescent="0.25">
      <c r="I108" s="34"/>
    </row>
    <row r="109" spans="9:9" x14ac:dyDescent="0.25">
      <c r="I109" s="34"/>
    </row>
    <row r="110" spans="9:9" x14ac:dyDescent="0.25">
      <c r="I110" s="34"/>
    </row>
    <row r="111" spans="9:9" x14ac:dyDescent="0.25">
      <c r="I111" s="34"/>
    </row>
    <row r="112" spans="9:9" x14ac:dyDescent="0.25">
      <c r="I112" s="34"/>
    </row>
    <row r="113" spans="9:9" x14ac:dyDescent="0.25">
      <c r="I113" s="34"/>
    </row>
    <row r="114" spans="9:9" x14ac:dyDescent="0.25">
      <c r="I114" s="34"/>
    </row>
    <row r="115" spans="9:9" x14ac:dyDescent="0.25">
      <c r="I115" s="34"/>
    </row>
    <row r="116" spans="9:9" x14ac:dyDescent="0.25">
      <c r="I116" s="34"/>
    </row>
    <row r="117" spans="9:9" x14ac:dyDescent="0.25">
      <c r="I117" s="34"/>
    </row>
    <row r="118" spans="9:9" x14ac:dyDescent="0.25">
      <c r="I118" s="34"/>
    </row>
    <row r="119" spans="9:9" x14ac:dyDescent="0.25">
      <c r="I119" s="34"/>
    </row>
    <row r="120" spans="9:9" x14ac:dyDescent="0.25">
      <c r="I120" s="34"/>
    </row>
    <row r="121" spans="9:9" x14ac:dyDescent="0.25">
      <c r="I121" s="34"/>
    </row>
    <row r="122" spans="9:9" x14ac:dyDescent="0.25">
      <c r="I122" s="34"/>
    </row>
    <row r="123" spans="9:9" x14ac:dyDescent="0.25">
      <c r="I123" s="34"/>
    </row>
    <row r="124" spans="9:9" x14ac:dyDescent="0.25">
      <c r="I124" s="34"/>
    </row>
    <row r="125" spans="9:9" x14ac:dyDescent="0.25">
      <c r="I125" s="3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7B12-851A-40E1-AF89-B1D662CC6E73}">
  <dimension ref="A1:L41"/>
  <sheetViews>
    <sheetView tabSelected="1" zoomScale="75" zoomScaleNormal="75" workbookViewId="0">
      <selection activeCell="K1" sqref="K1"/>
    </sheetView>
  </sheetViews>
  <sheetFormatPr defaultRowHeight="13.8" x14ac:dyDescent="0.3"/>
  <cols>
    <col min="1" max="1" width="2.77734375" style="10" customWidth="1"/>
    <col min="2" max="2" width="21.77734375" style="10" customWidth="1"/>
    <col min="3" max="3" width="2.33203125" style="10" customWidth="1"/>
    <col min="4" max="4" width="21.77734375" style="10" customWidth="1"/>
    <col min="5" max="5" width="2.33203125" style="10" customWidth="1"/>
    <col min="6" max="6" width="21.77734375" style="10" customWidth="1"/>
    <col min="7" max="7" width="2.33203125" style="10" customWidth="1"/>
    <col min="8" max="8" width="21.77734375" style="10" customWidth="1"/>
    <col min="9" max="9" width="2.33203125" style="10" customWidth="1"/>
    <col min="10" max="10" width="46.6640625" style="10" customWidth="1"/>
    <col min="11" max="11" width="2.77734375" style="10" customWidth="1"/>
    <col min="12" max="12" width="147.44140625" style="10" customWidth="1"/>
    <col min="13" max="16384" width="8.88671875" style="10"/>
  </cols>
  <sheetData>
    <row r="1" spans="1:12" x14ac:dyDescent="0.3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ht="42.6" customHeight="1" x14ac:dyDescent="0.45">
      <c r="A2" s="26"/>
      <c r="B2" s="22">
        <f>Calculations!B3</f>
        <v>105.0000000000001</v>
      </c>
      <c r="C2" s="27"/>
      <c r="D2" s="23" t="str">
        <f>"€ "&amp;ROUND(Calculations!D3, -3)/1000&amp;"K"</f>
        <v>€ 2111K</v>
      </c>
      <c r="E2" s="26"/>
      <c r="F2" s="23" t="str">
        <f>"€ "&amp;ROUND(Calculations!F3, -3)/1000&amp;"K"</f>
        <v>€ 20K</v>
      </c>
      <c r="G2" s="26"/>
      <c r="H2" s="25">
        <f>Calculations!I3</f>
        <v>1.0825764102564102</v>
      </c>
      <c r="I2" s="26"/>
      <c r="J2" s="26"/>
      <c r="K2" s="26"/>
      <c r="L2" s="26"/>
    </row>
    <row r="3" spans="1:12" ht="19.2" customHeight="1" x14ac:dyDescent="0.3">
      <c r="A3" s="26"/>
      <c r="B3" s="24" t="s">
        <v>158</v>
      </c>
      <c r="C3" s="26"/>
      <c r="D3" s="24" t="s">
        <v>138</v>
      </c>
      <c r="E3" s="26"/>
      <c r="F3" s="24" t="s">
        <v>149</v>
      </c>
      <c r="G3" s="26"/>
      <c r="H3" s="24" t="s">
        <v>142</v>
      </c>
      <c r="I3" s="26"/>
      <c r="J3" s="26"/>
      <c r="K3" s="26"/>
      <c r="L3" s="26"/>
    </row>
    <row r="4" spans="1:12" x14ac:dyDescent="0.3">
      <c r="A4" s="26"/>
      <c r="B4" s="12"/>
      <c r="C4" s="26"/>
      <c r="D4" s="12"/>
      <c r="E4" s="26"/>
      <c r="F4" s="12"/>
      <c r="G4" s="26"/>
      <c r="H4" s="12"/>
      <c r="I4" s="26"/>
      <c r="J4" s="26"/>
      <c r="K4" s="26"/>
      <c r="L4" s="26"/>
    </row>
    <row r="5" spans="1:12" x14ac:dyDescent="0.3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1:12" x14ac:dyDescent="0.3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1:12" x14ac:dyDescent="0.3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 x14ac:dyDescent="0.3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</row>
    <row r="10" spans="1:12" x14ac:dyDescent="0.3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</row>
    <row r="11" spans="1:12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</row>
    <row r="12" spans="1:12" x14ac:dyDescent="0.3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</row>
    <row r="13" spans="1:12" x14ac:dyDescent="0.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</row>
    <row r="14" spans="1:12" x14ac:dyDescent="0.3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</row>
    <row r="15" spans="1:12" x14ac:dyDescent="0.3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</row>
    <row r="16" spans="1:12" x14ac:dyDescent="0.3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</row>
    <row r="17" spans="1:12" x14ac:dyDescent="0.3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</row>
    <row r="18" spans="1:12" x14ac:dyDescent="0.3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1:12" x14ac:dyDescent="0.3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  <row r="20" spans="1:12" x14ac:dyDescent="0.3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1:12" x14ac:dyDescent="0.3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</row>
    <row r="22" spans="1:12" x14ac:dyDescent="0.3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</row>
    <row r="23" spans="1:12" x14ac:dyDescent="0.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</row>
    <row r="24" spans="1:12" x14ac:dyDescent="0.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1:12" x14ac:dyDescent="0.3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</row>
    <row r="26" spans="1:12" x14ac:dyDescent="0.3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</row>
    <row r="27" spans="1:12" x14ac:dyDescent="0.3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</row>
    <row r="28" spans="1:12" x14ac:dyDescent="0.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</row>
    <row r="29" spans="1:12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</row>
    <row r="30" spans="1:12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</row>
    <row r="31" spans="1:12" x14ac:dyDescent="0.3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</row>
    <row r="32" spans="1:12" x14ac:dyDescent="0.3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</row>
    <row r="33" spans="1:12" x14ac:dyDescent="0.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</row>
    <row r="34" spans="1:12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</row>
    <row r="35" spans="1:12" x14ac:dyDescent="0.3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</row>
    <row r="36" spans="1:12" x14ac:dyDescent="0.3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</row>
    <row r="37" spans="1:12" x14ac:dyDescent="0.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</row>
    <row r="38" spans="1:12" x14ac:dyDescent="0.3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</row>
    <row r="39" spans="1:12" x14ac:dyDescent="0.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</row>
    <row r="40" spans="1:12" x14ac:dyDescent="0.3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</row>
    <row r="41" spans="1:12" ht="228" customHeight="1" x14ac:dyDescent="0.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</row>
  </sheetData>
  <pageMargins left="0" right="0" top="0" bottom="0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2296F-55DA-4B13-A039-51A78428CAA0}">
  <dimension ref="B6"/>
  <sheetViews>
    <sheetView workbookViewId="0">
      <selection activeCell="B6" sqref="B6"/>
    </sheetView>
  </sheetViews>
  <sheetFormatPr defaultRowHeight="14.4" x14ac:dyDescent="0.3"/>
  <cols>
    <col min="2" max="2" width="31.88671875" customWidth="1"/>
  </cols>
  <sheetData>
    <row r="6" spans="2:2" x14ac:dyDescent="0.3">
      <c r="B6" s="40" t="s">
        <v>159</v>
      </c>
    </row>
  </sheetData>
  <hyperlinks>
    <hyperlink ref="B6" r:id="rId1" xr:uid="{DA26B5B7-7EE2-4F60-86F2-84F04DEF9ED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Calculations</vt:lpstr>
      <vt:lpstr>Dashboard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Bratislav Milojevic | ELMED d.o.o.</cp:lastModifiedBy>
  <cp:lastPrinted>2022-10-21T23:06:12Z</cp:lastPrinted>
  <dcterms:created xsi:type="dcterms:W3CDTF">2022-10-21T17:26:46Z</dcterms:created>
  <dcterms:modified xsi:type="dcterms:W3CDTF">2022-10-21T23:11:39Z</dcterms:modified>
</cp:coreProperties>
</file>